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activeTab="1"/>
  </bookViews>
  <sheets>
    <sheet name="úpravy" sheetId="1" r:id="rId1"/>
    <sheet name="súhrnná po A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MP98">#REF!</definedName>
    <definedName name="__par18">#REF!</definedName>
    <definedName name="__par1801">#REF!</definedName>
    <definedName name="__pie97">#REF!</definedName>
    <definedName name="__pie98">#REF!</definedName>
    <definedName name="__Pr2">'[3]vyk95'!#REF!</definedName>
    <definedName name="__Pr3">'[3]vyk95'!#REF!</definedName>
    <definedName name="_pie99">'[10]VYR99-E'!$AK$45</definedName>
    <definedName name="AU_paiDOK2000" localSheetId="1">#REF!</definedName>
    <definedName name="AU_paiDOK2000">#REF!</definedName>
    <definedName name="AU_pD2001_DS_bKA" localSheetId="1">#REF!</definedName>
    <definedName name="AU_pD2001_DS_bKA">#REF!</definedName>
    <definedName name="AU_pP2000_DS_bKA" localSheetId="1">#REF!</definedName>
    <definedName name="AU_pP2000_DS_bKA">#REF!</definedName>
    <definedName name="AU_pP2001_DS_bKA" localSheetId="1">#REF!</definedName>
    <definedName name="AU_pP2001_DS_bKA">#REF!</definedName>
    <definedName name="AU_pP2001_DS_sKA" localSheetId="1">#REF!</definedName>
    <definedName name="AU_pP2001_DS_sKA">#REF!</definedName>
    <definedName name="AU_ppa2000_bDOK" localSheetId="1">#REF!</definedName>
    <definedName name="AU_ppa2000_bDOK">#REF!</definedName>
    <definedName name="AU_pps_bKA" localSheetId="1">#REF!</definedName>
    <definedName name="AU_pps_bKA">#REF!</definedName>
    <definedName name="AU_pps_bKA_bDOK" localSheetId="1">#REF!</definedName>
    <definedName name="AU_pps_bKA_bDOK">#REF!</definedName>
    <definedName name="AU_pps_sKA" localSheetId="1">#REF!</definedName>
    <definedName name="AU_pps_sKA">#REF!</definedName>
    <definedName name="AU_pps_sKA_bDOK" localSheetId="1">#REF!</definedName>
    <definedName name="AU_pps_sKA_bDOK">#REF!</definedName>
    <definedName name="AU_vKEN_aiDOK" localSheetId="1">#REF!</definedName>
    <definedName name="AU_vKEN_aiDOK">#REF!</definedName>
    <definedName name="AU_vKEN_bKA" localSheetId="1">#REF!</definedName>
    <definedName name="AU_vKEN_bKA">#REF!</definedName>
    <definedName name="AU_vKEN_bKA_bDOK" localSheetId="1">#REF!</definedName>
    <definedName name="AU_vKEN_bKA_bDOK">#REF!</definedName>
    <definedName name="AU_vKEN_bKA_PDS" localSheetId="1">#REF!</definedName>
    <definedName name="AU_vKEN_bKA_PDS">#REF!</definedName>
    <definedName name="AU_vKEN_sKA" localSheetId="1">#REF!</definedName>
    <definedName name="AU_vKEN_sKA">#REF!</definedName>
    <definedName name="AU_vKEN_sKA_bDOK" localSheetId="1">#REF!</definedName>
    <definedName name="AU_vKEN_sKA_bDOK">#REF!</definedName>
    <definedName name="AU_vKEN_sKA_PDS" localSheetId="1">#REF!</definedName>
    <definedName name="AU_vKEN_sKA_PDS">#REF!</definedName>
    <definedName name="AU_vKPN_aiDOK" localSheetId="1">#REF!</definedName>
    <definedName name="AU_vKPN_aiDOK">#REF!</definedName>
    <definedName name="AU_vKPN_bKA" localSheetId="1">#REF!</definedName>
    <definedName name="AU_vKPN_bKA">#REF!</definedName>
    <definedName name="AU_vKPN_bKA_bDOK" localSheetId="1">#REF!</definedName>
    <definedName name="AU_vKPN_bKA_bDOK">#REF!</definedName>
    <definedName name="AU_vKPN_bKA_PDS" localSheetId="1">#REF!</definedName>
    <definedName name="AU_vKPN_bKA_PDS">#REF!</definedName>
    <definedName name="AU_vKPN_sKA" localSheetId="1">#REF!</definedName>
    <definedName name="AU_vKPN_sKA">#REF!</definedName>
    <definedName name="AU_vKPN_sKA_bDOK" localSheetId="1">#REF!</definedName>
    <definedName name="AU_vKPN_sKA_bDOK">#REF!</definedName>
    <definedName name="AU_vKPN_sKA_PDS" localSheetId="1">#REF!</definedName>
    <definedName name="AU_vKPN_sKA_PDS">#REF!</definedName>
    <definedName name="AV" localSheetId="1">'[3]Mz01-96'!#REF!</definedName>
    <definedName name="AV" localSheetId="0">'[3]Mz01-96'!#REF!</definedName>
    <definedName name="AV">'[3]Mz01-96'!#REF!</definedName>
    <definedName name="AVN" localSheetId="1">'[3]Pr-6'!#REF!</definedName>
    <definedName name="AVN" localSheetId="0">'[3]Pr-6'!#REF!</definedName>
    <definedName name="AVN">'[3]Pr-6'!#REF!</definedName>
    <definedName name="avnoi" localSheetId="1">'[4]Pr-6'!#REF!</definedName>
    <definedName name="avnoi" localSheetId="0">'[5]Pr-6'!#REF!</definedName>
    <definedName name="avnoi">'[5]Pr-6'!#REF!</definedName>
    <definedName name="c.1" localSheetId="1">'[3]vyk95'!#REF!</definedName>
    <definedName name="c.1" localSheetId="0">'[3]vyk95'!#REF!</definedName>
    <definedName name="c.1">'[3]vyk95'!#REF!</definedName>
    <definedName name="c.2" localSheetId="1">'[3]vyk95'!#REF!</definedName>
    <definedName name="c.2" localSheetId="0">'[3]vyk95'!#REF!</definedName>
    <definedName name="c.2">'[3]vyk95'!#REF!</definedName>
    <definedName name="c.3" localSheetId="1">'[3]vyk95'!#REF!</definedName>
    <definedName name="c.3" localSheetId="0">'[3]vyk95'!#REF!</definedName>
    <definedName name="c.3">'[3]vyk95'!#REF!</definedName>
    <definedName name="c.4" localSheetId="1">'[3]vyk95'!#REF!</definedName>
    <definedName name="c.4" localSheetId="0">'[3]vyk95'!#REF!</definedName>
    <definedName name="c.4">'[3]vyk95'!#REF!</definedName>
    <definedName name="c.5" localSheetId="1">'[3]vyk95'!#REF!</definedName>
    <definedName name="c.5" localSheetId="0">'[3]vyk95'!#REF!</definedName>
    <definedName name="c.5">'[3]vyk95'!#REF!</definedName>
    <definedName name="c.6" localSheetId="1">'[3]vyk95'!#REF!</definedName>
    <definedName name="c.6" localSheetId="0">'[3]vyk95'!#REF!</definedName>
    <definedName name="c.6">'[3]vyk95'!#REF!</definedName>
    <definedName name="cdva" localSheetId="1">'[3]Pr-6'!#REF!</definedName>
    <definedName name="cdva" localSheetId="0">'[3]Pr-6'!#REF!</definedName>
    <definedName name="cdva">'[3]Pr-6'!#REF!</definedName>
    <definedName name="cjd" localSheetId="1">'[3]Pr-6'!#REF!</definedName>
    <definedName name="cjd" localSheetId="0">'[3]Pr-6'!#REF!</definedName>
    <definedName name="cjd">'[3]Pr-6'!#REF!</definedName>
    <definedName name="cpat" localSheetId="1">'[3]Pr-6'!#REF!</definedName>
    <definedName name="cpat" localSheetId="0">'[3]Pr-6'!#REF!</definedName>
    <definedName name="cpat">'[3]Pr-6'!#REF!</definedName>
    <definedName name="cse" localSheetId="1">'[3]Pr-6'!#REF!</definedName>
    <definedName name="cse" localSheetId="0">'[3]Pr-6'!#REF!</definedName>
    <definedName name="cse">'[3]Pr-6'!#REF!</definedName>
    <definedName name="cst" localSheetId="1">'[3]Pr-6'!#REF!</definedName>
    <definedName name="cst" localSheetId="0">'[3]Pr-6'!#REF!</definedName>
    <definedName name="cst">'[3]Pr-6'!#REF!</definedName>
    <definedName name="ctri" localSheetId="1">'[3]Pr-6'!#REF!</definedName>
    <definedName name="ctri" localSheetId="0">'[3]Pr-6'!#REF!</definedName>
    <definedName name="ctri">'[3]Pr-6'!#REF!</definedName>
    <definedName name="Cv" localSheetId="1">'[3]vyk95'!#REF!</definedName>
    <definedName name="Cv" localSheetId="0">'[3]vyk95'!#REF!</definedName>
    <definedName name="Cv">'[3]vyk95'!#REF!</definedName>
    <definedName name="cvn" localSheetId="1">'[3]Pr-6'!#REF!</definedName>
    <definedName name="cvn" localSheetId="0">'[3]Pr-6'!#REF!</definedName>
    <definedName name="cvn">'[3]Pr-6'!#REF!</definedName>
    <definedName name="č2" localSheetId="1">'[4]Pr-6'!#REF!</definedName>
    <definedName name="č2" localSheetId="0">'[5]Pr-6'!#REF!</definedName>
    <definedName name="č2">'[5]Pr-6'!#REF!</definedName>
    <definedName name="DATABASE" localSheetId="1">'[6]T3 - data_odbory'!#REF!</definedName>
    <definedName name="denní" localSheetId="1">#REF!</definedName>
    <definedName name="denní">#REF!</definedName>
    <definedName name="dfghjk" localSheetId="1">'[4]Pr-6'!#REF!</definedName>
    <definedName name="dfghjk" localSheetId="0">'[5]Pr-6'!#REF!</definedName>
    <definedName name="dfghjk">'[5]Pr-6'!#REF!</definedName>
    <definedName name="do">'[8]T2-KPN'!$D$35</definedName>
    <definedName name="doce">'[9]T3-vstupy'!$C$53</definedName>
    <definedName name="dok">'[8]T2-KPN'!$D$34</definedName>
    <definedName name="dokpo" localSheetId="1">#REF!</definedName>
    <definedName name="dokpo">#REF!</definedName>
    <definedName name="dokpred" localSheetId="1">#REF!</definedName>
    <definedName name="dokpred">#REF!</definedName>
    <definedName name="dotácia2010">'[17]T3-vstupy'!#REF!</definedName>
    <definedName name="ertz" localSheetId="1">'[4]Pr-6'!#REF!</definedName>
    <definedName name="ertz" localSheetId="0">'[5]Pr-6'!#REF!</definedName>
    <definedName name="ertz">'[5]Pr-6'!#REF!</definedName>
    <definedName name="EU_paiDOK2000" localSheetId="1">#REF!</definedName>
    <definedName name="EU_paiDOK2000">#REF!</definedName>
    <definedName name="EU_pD2001_DS_bKA" localSheetId="1">#REF!</definedName>
    <definedName name="EU_pD2001_DS_bKA">#REF!</definedName>
    <definedName name="EU_pP2000_DS_bKA" localSheetId="1">#REF!</definedName>
    <definedName name="EU_pP2000_DS_bKA">#REF!</definedName>
    <definedName name="EU_pP2001_DS_bKA" localSheetId="1">#REF!</definedName>
    <definedName name="EU_pP2001_DS_bKA">#REF!</definedName>
    <definedName name="EU_pP2001_DS_sKA" localSheetId="1">#REF!</definedName>
    <definedName name="EU_pP2001_DS_sKA">#REF!</definedName>
    <definedName name="EU_ppa2000_bDOK" localSheetId="1">#REF!</definedName>
    <definedName name="EU_ppa2000_bDOK">#REF!</definedName>
    <definedName name="EU_pps_bKA" localSheetId="1">#REF!</definedName>
    <definedName name="EU_pps_bKA">#REF!</definedName>
    <definedName name="EU_pps_bKA_bDOK" localSheetId="1">#REF!</definedName>
    <definedName name="EU_pps_bKA_bDOK">#REF!</definedName>
    <definedName name="EU_pps_sKA" localSheetId="1">#REF!</definedName>
    <definedName name="EU_pps_sKA">#REF!</definedName>
    <definedName name="EU_pps_sKA_bDOK" localSheetId="1">#REF!</definedName>
    <definedName name="EU_pps_sKA_bDOK">#REF!</definedName>
    <definedName name="EU_vKEN_aiDOK" localSheetId="1">#REF!</definedName>
    <definedName name="EU_vKEN_aiDOK">#REF!</definedName>
    <definedName name="EU_vKEN_bKA" localSheetId="1">#REF!</definedName>
    <definedName name="EU_vKEN_bKA">#REF!</definedName>
    <definedName name="EU_vKEN_bKA_bDOK" localSheetId="1">#REF!</definedName>
    <definedName name="EU_vKEN_bKA_bDOK">#REF!</definedName>
    <definedName name="EU_vKEN_bKA_PDS" localSheetId="1">#REF!</definedName>
    <definedName name="EU_vKEN_bKA_PDS">#REF!</definedName>
    <definedName name="EU_vKEN_sKA" localSheetId="1">#REF!</definedName>
    <definedName name="EU_vKEN_sKA">#REF!</definedName>
    <definedName name="EU_vKEN_sKA_bDOK" localSheetId="1">#REF!</definedName>
    <definedName name="EU_vKEN_sKA_bDOK">#REF!</definedName>
    <definedName name="EU_vKEN_sKA_PDS" localSheetId="1">#REF!</definedName>
    <definedName name="EU_vKEN_sKA_PDS">#REF!</definedName>
    <definedName name="EU_vKPN_aiDOK" localSheetId="1">#REF!</definedName>
    <definedName name="EU_vKPN_aiDOK">#REF!</definedName>
    <definedName name="EU_vKPN_bKA" localSheetId="1">#REF!</definedName>
    <definedName name="EU_vKPN_bKA">#REF!</definedName>
    <definedName name="EU_vKPN_bKA_bDOK" localSheetId="1">#REF!</definedName>
    <definedName name="EU_vKPN_bKA_bDOK">#REF!</definedName>
    <definedName name="EU_vKPN_bKA_PDS" localSheetId="1">#REF!</definedName>
    <definedName name="EU_vKPN_bKA_PDS">#REF!</definedName>
    <definedName name="EU_vKPN_sKA" localSheetId="1">#REF!</definedName>
    <definedName name="EU_vKPN_sKA">#REF!</definedName>
    <definedName name="EU_vKPN_sKA_bDOK" localSheetId="1">#REF!</definedName>
    <definedName name="EU_vKPN_sKA_bDOK">#REF!</definedName>
    <definedName name="EU_vKPN_sKA_PDS" localSheetId="1">#REF!</definedName>
    <definedName name="EU_vKPN_sKA_PDS">#REF!</definedName>
    <definedName name="externeplat" localSheetId="1">#REF!</definedName>
    <definedName name="externeplat">#REF!</definedName>
    <definedName name="exterplat" localSheetId="1">#REF!</definedName>
    <definedName name="exterplat">#REF!</definedName>
    <definedName name="FEI" localSheetId="1">#REF!</definedName>
    <definedName name="FEI">#REF!</definedName>
    <definedName name="fein">'[10]VYR99-E'!$J$2</definedName>
    <definedName name="FEL">#REF!</definedName>
    <definedName name="fgh" localSheetId="1">'[4]Pr-6'!#REF!</definedName>
    <definedName name="fgh" localSheetId="0">'[5]Pr-6'!#REF!</definedName>
    <definedName name="fgh">'[5]Pr-6'!#REF!</definedName>
    <definedName name="FV" localSheetId="1">'[3]Mz01-96'!#REF!</definedName>
    <definedName name="FV" localSheetId="0">'[3]Mz01-96'!#REF!</definedName>
    <definedName name="FV">'[3]Mz01-96'!#REF!</definedName>
    <definedName name="fvn" localSheetId="1">'[3]Pr-6'!#REF!</definedName>
    <definedName name="fvn" localSheetId="0">'[3]Pr-6'!#REF!</definedName>
    <definedName name="fvn">'[3]Pr-6'!#REF!</definedName>
    <definedName name="Gon" localSheetId="1">'[12]vyk95'!#REF!</definedName>
    <definedName name="Gon" localSheetId="0">'[12]vyk95'!#REF!</definedName>
    <definedName name="Gon">'[12]vyk95'!#REF!</definedName>
    <definedName name="GV" localSheetId="1">'[3]Mz01-96'!#REF!</definedName>
    <definedName name="GV" localSheetId="0">'[3]Mz01-96'!#REF!</definedName>
    <definedName name="GV">'[3]Mz01-96'!#REF!</definedName>
    <definedName name="gvn" localSheetId="1">'[3]Pr-6'!#REF!</definedName>
    <definedName name="gvn" localSheetId="0">'[3]Pr-6'!#REF!</definedName>
    <definedName name="gvn">'[3]Pr-6'!#REF!</definedName>
    <definedName name="hvuk" localSheetId="1">'[3]Mz01-96'!#REF!</definedName>
    <definedName name="hvuk" localSheetId="0">'[3]Mz01-96'!#REF!</definedName>
    <definedName name="hvuk">'[3]Mz01-96'!#REF!</definedName>
    <definedName name="hvukn" localSheetId="1">'[3]Pr-6'!#REF!</definedName>
    <definedName name="hvukn" localSheetId="0">'[3]Pr-6'!#REF!</definedName>
    <definedName name="hvukn">'[3]Pr-6'!#REF!</definedName>
    <definedName name="ka_akredit" localSheetId="1">#REF!</definedName>
    <definedName name="ka_akredit">#REF!</definedName>
    <definedName name="ka_neakredit" localSheetId="1">#REF!</definedName>
    <definedName name="ka_neakredit">#REF!</definedName>
    <definedName name="Kap" localSheetId="1">#REF!</definedName>
    <definedName name="Kap">#REF!</definedName>
    <definedName name="kden">'[13]koeficienty'!$D$31</definedName>
    <definedName name="ken_au" localSheetId="1">#REF!</definedName>
    <definedName name="ken_au">#REF!</definedName>
    <definedName name="ken_eu" localSheetId="1">#REF!</definedName>
    <definedName name="ken_eu">#REF!</definedName>
    <definedName name="ken_pu" localSheetId="1">#REF!</definedName>
    <definedName name="ken_pu">#REF!</definedName>
    <definedName name="ken_stu" localSheetId="1">#REF!</definedName>
    <definedName name="ken_stu">#REF!</definedName>
    <definedName name="ken_tru" localSheetId="1">#REF!</definedName>
    <definedName name="ken_tru">#REF!</definedName>
    <definedName name="ken_tuke" localSheetId="1">#REF!</definedName>
    <definedName name="ken_tuke">#REF!</definedName>
    <definedName name="ken_tuzvo" localSheetId="1">#REF!</definedName>
    <definedName name="ken_tuzvo">#REF!</definedName>
    <definedName name="ken_tvu" localSheetId="1">#REF!</definedName>
    <definedName name="ken_tvu">#REF!</definedName>
    <definedName name="ken_ucm" localSheetId="1">#REF!</definedName>
    <definedName name="ken_ucm">#REF!</definedName>
    <definedName name="ken_uk" localSheetId="1">#REF!</definedName>
    <definedName name="ken_uk">#REF!</definedName>
    <definedName name="ken_ukf" localSheetId="1">#REF!</definedName>
    <definedName name="ken_ukf">#REF!</definedName>
    <definedName name="ken_umb" localSheetId="1">#REF!</definedName>
    <definedName name="ken_umb">#REF!</definedName>
    <definedName name="ken_upjs" localSheetId="1">#REF!</definedName>
    <definedName name="ken_upjs">#REF!</definedName>
    <definedName name="ken_vsmu" localSheetId="1">#REF!</definedName>
    <definedName name="ken_vsmu">#REF!</definedName>
    <definedName name="ken_zu" localSheetId="1">#REF!</definedName>
    <definedName name="ken_zu">#REF!</definedName>
    <definedName name="kensk1" localSheetId="1">#REF!</definedName>
    <definedName name="kensk1">#REF!</definedName>
    <definedName name="kensk10" localSheetId="1">#REF!</definedName>
    <definedName name="kensk10">#REF!</definedName>
    <definedName name="kensk11" localSheetId="1">#REF!</definedName>
    <definedName name="kensk11">#REF!</definedName>
    <definedName name="kensk12" localSheetId="1">#REF!</definedName>
    <definedName name="kensk12">#REF!</definedName>
    <definedName name="kensk13" localSheetId="1">#REF!</definedName>
    <definedName name="kensk13">#REF!</definedName>
    <definedName name="kensk14" localSheetId="1">#REF!</definedName>
    <definedName name="kensk14">#REF!</definedName>
    <definedName name="kensk14a" localSheetId="1">#REF!</definedName>
    <definedName name="kensk14a">#REF!</definedName>
    <definedName name="kensk15" localSheetId="1">#REF!</definedName>
    <definedName name="kensk15">#REF!</definedName>
    <definedName name="kensk16" localSheetId="1">#REF!</definedName>
    <definedName name="kensk16">#REF!</definedName>
    <definedName name="kensk17">'[6]T2 - KEN'!$B$18</definedName>
    <definedName name="kensk18">'[6]T2 - KEN'!$B$19</definedName>
    <definedName name="kensk1a" localSheetId="1">'[14]T2-KPN'!#REF!</definedName>
    <definedName name="kensk1a" localSheetId="0">'[14]T2-KPN'!#REF!</definedName>
    <definedName name="kensk1a">'[14]T2-KPN'!#REF!</definedName>
    <definedName name="kensk2" localSheetId="1">#REF!</definedName>
    <definedName name="kensk2">#REF!</definedName>
    <definedName name="kensk3" localSheetId="1">#REF!</definedName>
    <definedName name="kensk3">#REF!</definedName>
    <definedName name="kensk4">'[6]T2 - KEN'!$B$5</definedName>
    <definedName name="kensk4a" localSheetId="1">#REF!</definedName>
    <definedName name="kensk4a">#REF!</definedName>
    <definedName name="kensk5" localSheetId="1">#REF!</definedName>
    <definedName name="kensk5">#REF!</definedName>
    <definedName name="kensk6">'[6]T2 - KEN'!$B$7</definedName>
    <definedName name="kensk7" localSheetId="1">#REF!</definedName>
    <definedName name="kensk7">#REF!</definedName>
    <definedName name="kensk8">'[6]T2 - KEN'!$B$9</definedName>
    <definedName name="kensk9">'[6]T2 - KEN'!$B$10</definedName>
    <definedName name="kext">'[13]koeficienty'!$D$32</definedName>
    <definedName name="kint">'[13]koeficienty'!$D$33</definedName>
    <definedName name="kintds">'[13]koeficienty'!$D$34</definedName>
    <definedName name="KKS">'[15]T3-vstupy'!$C$52</definedName>
    <definedName name="KKS_doc" localSheetId="1">'[16]T3-vstupy'!$C$30</definedName>
    <definedName name="KKS_doc">'[17]T3-vstupy'!$C$49</definedName>
    <definedName name="KKS_ost" localSheetId="1">'[16]T3-vstupy'!$C$32</definedName>
    <definedName name="KKS_ost">'[17]T3-vstupy'!$C$51</definedName>
    <definedName name="KKS_phd" localSheetId="1">'[16]T3-vstupy'!$C$31</definedName>
    <definedName name="KKS_phd">'[17]T3-vstupy'!$C$50</definedName>
    <definedName name="KKS_prof" localSheetId="1">'[16]T3-vstupy'!$C$29</definedName>
    <definedName name="KKS_prof">'[17]T3-vstupy'!$C$48</definedName>
    <definedName name="KLs" localSheetId="1">'[3]vyk95'!#REF!</definedName>
    <definedName name="KLs" localSheetId="0">'[3]vyk95'!#REF!</definedName>
    <definedName name="KLs">'[3]vyk95'!#REF!</definedName>
    <definedName name="klsn" localSheetId="1">'[3]Pr-6'!#REF!</definedName>
    <definedName name="klsn" localSheetId="0">'[3]Pr-6'!#REF!</definedName>
    <definedName name="klsn">'[3]Pr-6'!#REF!</definedName>
    <definedName name="kmp" localSheetId="1">'[17]T12-špecifiká'!#REF!</definedName>
    <definedName name="kmp" localSheetId="0">'[17]T12-špecifiká'!#REF!</definedName>
    <definedName name="kmp">'[17]T12-špecifiká'!#REF!</definedName>
    <definedName name="kmt" localSheetId="1">'[17]T12-špecifiká'!#REF!</definedName>
    <definedName name="kmt" localSheetId="0">'[17]T12-špecifiká'!#REF!</definedName>
    <definedName name="kmt">'[17]T12-špecifiká'!#REF!</definedName>
    <definedName name="koef_gm_mzdy">'[18]T3-vstupy'!$C$44</definedName>
    <definedName name="koef_gm_TaS" localSheetId="1">'[19]T3-vstupy'!$C$70</definedName>
    <definedName name="koef_gm_TaS">'[18]T3-vstupy'!$C$65</definedName>
    <definedName name="koef_udr_kat1">'[18]T3-vstupy'!$C$108</definedName>
    <definedName name="koef_udr_kat2">'[18]T3-vstupy'!$C$109</definedName>
    <definedName name="koef_udr_kat3">'[18]T3-vstupy'!$C$110</definedName>
    <definedName name="kpn_ca_do_1500" localSheetId="1">#REF!</definedName>
    <definedName name="kpn_ca_do_1500">#REF!</definedName>
    <definedName name="kpn_ca_nad">'[20]T2-KPN'!$I$27</definedName>
    <definedName name="kpn_ca_nad_1500" localSheetId="1">#REF!</definedName>
    <definedName name="kpn_ca_nad_1500">#REF!</definedName>
    <definedName name="kpnsk1" localSheetId="1">#REF!</definedName>
    <definedName name="kpnsk1">#REF!</definedName>
    <definedName name="kpnsk10" localSheetId="1">#REF!</definedName>
    <definedName name="kpnsk10">#REF!</definedName>
    <definedName name="kpnsk11" localSheetId="1">#REF!</definedName>
    <definedName name="kpnsk11">#REF!</definedName>
    <definedName name="kpnsk12" localSheetId="1">#REF!</definedName>
    <definedName name="kpnsk12">#REF!</definedName>
    <definedName name="kpnsk13" localSheetId="1">#REF!</definedName>
    <definedName name="kpnsk13">#REF!</definedName>
    <definedName name="kpnsk14" localSheetId="1">#REF!</definedName>
    <definedName name="kpnsk14">#REF!</definedName>
    <definedName name="kpnsk14a" localSheetId="1">#REF!</definedName>
    <definedName name="kpnsk14a">#REF!</definedName>
    <definedName name="kpnsk15" localSheetId="1">#REF!</definedName>
    <definedName name="kpnsk15">#REF!</definedName>
    <definedName name="kpnsk16" localSheetId="1">#REF!</definedName>
    <definedName name="kpnsk16">#REF!</definedName>
    <definedName name="kpnsk17" localSheetId="1">#REF!</definedName>
    <definedName name="kpnsk17">#REF!</definedName>
    <definedName name="kpnsk18" localSheetId="1">#REF!</definedName>
    <definedName name="kpnsk18">#REF!</definedName>
    <definedName name="kpnsk1a" localSheetId="1">'[14]T2-KPN'!#REF!</definedName>
    <definedName name="kpnsk1a" localSheetId="0">'[14]T2-KPN'!#REF!</definedName>
    <definedName name="kpnsk1a">'[14]T2-KPN'!#REF!</definedName>
    <definedName name="kpnsk2" localSheetId="1">#REF!</definedName>
    <definedName name="kpnsk2">#REF!</definedName>
    <definedName name="kpnsk3" localSheetId="1">#REF!</definedName>
    <definedName name="kpnsk3">#REF!</definedName>
    <definedName name="kpnsk4" localSheetId="1">#REF!</definedName>
    <definedName name="kpnsk4">#REF!</definedName>
    <definedName name="kpnsk4a" localSheetId="1">#REF!</definedName>
    <definedName name="kpnsk4a">#REF!</definedName>
    <definedName name="kpnsk5" localSheetId="1">#REF!</definedName>
    <definedName name="kpnsk5">#REF!</definedName>
    <definedName name="kpnsk6" localSheetId="1">#REF!</definedName>
    <definedName name="kpnsk6">#REF!</definedName>
    <definedName name="kpnsk7" localSheetId="1">#REF!</definedName>
    <definedName name="kpnsk7">#REF!</definedName>
    <definedName name="kpnsk8" localSheetId="1">#REF!</definedName>
    <definedName name="kpnsk8">#REF!</definedName>
    <definedName name="kpnsk9" localSheetId="1">#REF!</definedName>
    <definedName name="kpnsk9">#REF!</definedName>
    <definedName name="ksn" localSheetId="1">'[3]Pr-6'!#REF!</definedName>
    <definedName name="ksn" localSheetId="0">'[3]Pr-6'!#REF!</definedName>
    <definedName name="ksn">'[3]Pr-6'!#REF!</definedName>
    <definedName name="KŠ" localSheetId="1">'[3]Mz01-96'!#REF!</definedName>
    <definedName name="KŠ" localSheetId="0">'[3]Mz01-96'!#REF!</definedName>
    <definedName name="KŠ">'[3]Mz01-96'!#REF!</definedName>
    <definedName name="KZp" localSheetId="1">'[3]vyk95'!#REF!</definedName>
    <definedName name="KZp" localSheetId="0">'[3]vyk95'!#REF!</definedName>
    <definedName name="KZp">'[3]vyk95'!#REF!</definedName>
    <definedName name="kzpn" localSheetId="1">'[3]Pr-6'!#REF!</definedName>
    <definedName name="kzpn" localSheetId="0">'[3]Pr-6'!#REF!</definedName>
    <definedName name="kzpn">'[3]Pr-6'!#REF!</definedName>
    <definedName name="KZs" localSheetId="1">'[3]vyk95'!#REF!</definedName>
    <definedName name="KZs" localSheetId="0">'[3]vyk95'!#REF!</definedName>
    <definedName name="KZs">'[3]vyk95'!#REF!</definedName>
    <definedName name="kzsn" localSheetId="1">'[3]Pr-6'!#REF!</definedName>
    <definedName name="kzsn" localSheetId="0">'[3]Pr-6'!#REF!</definedName>
    <definedName name="kzsn">'[3]Pr-6'!#REF!</definedName>
    <definedName name="m">#REF!</definedName>
    <definedName name="mesia" localSheetId="1">#REF!</definedName>
    <definedName name="mesia">#REF!</definedName>
    <definedName name="mesiac">'[21]P-3'!$N$3</definedName>
    <definedName name="MP98" localSheetId="1">#REF!</definedName>
    <definedName name="MP98">#REF!</definedName>
    <definedName name="mp98n">'[10]VYR99-E'!$AA$47</definedName>
    <definedName name="msr">'[22]priem-12'!$P$62</definedName>
    <definedName name="msrn">#REF!</definedName>
    <definedName name="msrnn">'[23]priem-12-98'!$P$62</definedName>
    <definedName name="msrp">'[22]priem-12'!$S$64</definedName>
    <definedName name="msrpn">#REF!</definedName>
    <definedName name="msrpnn">'[23]priem-12-98'!$S$64</definedName>
    <definedName name="Mzstu">'[3]vyk95'!$AA$49</definedName>
    <definedName name="mzstun">'[3]Pr-6'!$AA$49</definedName>
    <definedName name="NPI">'[21]priplatky20'!$B$7</definedName>
    <definedName name="NPII">'[21]priplatky20'!$C$7</definedName>
    <definedName name="_xlnm.Print_Area" localSheetId="1">'súhrnná po AS'!$A$1:$R$119</definedName>
    <definedName name="_xlnm.Print_Area" localSheetId="0">'úpravy'!$A$1:$Q$164</definedName>
    <definedName name="otat">'[9]T3-vstupy'!$C$55</definedName>
    <definedName name="ovf">'[24]VVZ-VS97'!$L$3</definedName>
    <definedName name="OVNV">'[24]VVZ-VS97'!$I$105</definedName>
    <definedName name="par18" localSheetId="1">#REF!</definedName>
    <definedName name="par18">#REF!</definedName>
    <definedName name="par1801" localSheetId="1">#REF!</definedName>
    <definedName name="par1801">#REF!</definedName>
    <definedName name="par18n">'[10]VYR99-E'!$AQ$52</definedName>
    <definedName name="Pf" localSheetId="1">'[3]vyk95'!#REF!</definedName>
    <definedName name="Pf" localSheetId="0">'[3]vyk95'!#REF!</definedName>
    <definedName name="Pf">'[3]vyk95'!#REF!</definedName>
    <definedName name="pfn" localSheetId="1">'[3]Pr-6'!#REF!</definedName>
    <definedName name="pfn" localSheetId="0">'[3]Pr-6'!#REF!</definedName>
    <definedName name="pfn">'[3]Pr-6'!#REF!</definedName>
    <definedName name="phdr">'[9]T3-vstupy'!$C$54</definedName>
    <definedName name="pie97" localSheetId="1">#REF!</definedName>
    <definedName name="pie97">#REF!</definedName>
    <definedName name="pie98" localSheetId="1">#REF!</definedName>
    <definedName name="pie98">#REF!</definedName>
    <definedName name="pie99">'[10]VYR99-E'!$AK$45</definedName>
    <definedName name="piest" localSheetId="1">#REF!</definedName>
    <definedName name="piest">#REF!</definedName>
    <definedName name="Posp">'[21]mp0199'!$P$33</definedName>
    <definedName name="Pp02201_mzdy_na_prer_modif">'[18]T3-vstupy'!$C$49</definedName>
    <definedName name="Pp02201_mzdy_vykon">'[18]T3-vstupy'!$C$43</definedName>
    <definedName name="Pp02201_TaS_na_prer_modif" localSheetId="1">'[19]T3-vstupy'!$C$75</definedName>
    <definedName name="Pp02201_TaS_na_prer_modif">'[18]T3-vstupy'!$C$70</definedName>
    <definedName name="Pp02201_TaS_prevadzkovi" localSheetId="1">'[19]T3-vstupy'!$C$64</definedName>
    <definedName name="Pp02201_TaS_prevadzkovi">'[25]T3-vstupy'!$C$64</definedName>
    <definedName name="Pp02201_TaS_vykon" localSheetId="1">'[19]T3-vstupy'!$C$69</definedName>
    <definedName name="Pp02201_TaS_vykon">'[18]T3-vstupy'!$C$64</definedName>
    <definedName name="Pp02201_TaS_zahr_granty" localSheetId="1">'[19]T3-vstupy'!$C$66</definedName>
    <definedName name="Pp02201_TaS_zahr_granty">'[18]T3-vstupy'!$C$60</definedName>
    <definedName name="Pp07701_na_klinic_zamest" localSheetId="1">'[17]T3-vstupy'!#REF!</definedName>
    <definedName name="Pp07701_na_klinic_zamest" localSheetId="0">'[17]T3-vstupy'!#REF!</definedName>
    <definedName name="Pp07701_na_klinic_zamest">'[17]T3-vstupy'!#REF!</definedName>
    <definedName name="pprg_02201_mzdy" localSheetId="1">#REF!</definedName>
    <definedName name="pprg_02201_mzdy">#REF!</definedName>
    <definedName name="pprg_02201_mzdy_koef_GM" localSheetId="1">'[26]T3-vstupy'!$C$21</definedName>
    <definedName name="pprg_02201_mzdy_koef_GM">'[27]T3-vstupy'!$C$21</definedName>
    <definedName name="pprg_02201_mzdy_na_prerozdelovanie" localSheetId="1">#REF!</definedName>
    <definedName name="pprg_02201_mzdy_na_prerozdelovanie">#REF!</definedName>
    <definedName name="pprg_02201_mzdy_prevadzkovi" localSheetId="1">#REF!</definedName>
    <definedName name="pprg_02201_mzdy_prevadzkovi">#REF!</definedName>
    <definedName name="pprg_02201_mzdy_rezerva" localSheetId="1">#REF!</definedName>
    <definedName name="pprg_02201_mzdy_rezerva">#REF!</definedName>
    <definedName name="pprg_02201_mzdy_sucet_narastov_nad_GM" localSheetId="1">#REF!</definedName>
    <definedName name="pprg_02201_mzdy_sucet_narastov_nad_GM">#REF!</definedName>
    <definedName name="pprg_02201_mzdy_vykon" localSheetId="1">#REF!</definedName>
    <definedName name="pprg_02201_mzdy_vykon">#REF!</definedName>
    <definedName name="pprg_02201_mzdy_vykon_zac_roka" localSheetId="1">'[26]T3-vstupy'!$C$16</definedName>
    <definedName name="pprg_02201_mzdy_vykon_zac_roka">'[27]T3-vstupy'!$C$16</definedName>
    <definedName name="Pr0220201_KV_zac_roka" localSheetId="1">'[28]T3-vstupy'!$C$92</definedName>
    <definedName name="Pr0220201_KV_zac_roka">'[17]T3-vstupy'!$C$82</definedName>
    <definedName name="Pr0220201_mzdy_zac_roka">'[17]T3-vstupy'!$C$76</definedName>
    <definedName name="Pr0220201_TaS_zac_roka">'[17]T3-vstupy'!$C$79</definedName>
    <definedName name="Pr2" localSheetId="1">'[3]vyk95'!#REF!</definedName>
    <definedName name="Pr2" localSheetId="0">'[3]vyk95'!#REF!</definedName>
    <definedName name="Pr2">'[3]vyk95'!#REF!</definedName>
    <definedName name="Pr3" localSheetId="1">'[3]vyk95'!#REF!</definedName>
    <definedName name="Pr3" localSheetId="0">'[3]vyk95'!#REF!</definedName>
    <definedName name="Pr3">'[3]vyk95'!#REF!</definedName>
    <definedName name="prie97" localSheetId="1">#REF!</definedName>
    <definedName name="prie97">#REF!</definedName>
    <definedName name="prie97n">'[10]VYR99-E'!$AK$45</definedName>
    <definedName name="prie98" localSheetId="1">#REF!</definedName>
    <definedName name="prie98">#REF!</definedName>
    <definedName name="priem" localSheetId="1">'[3]Pr-6'!#REF!</definedName>
    <definedName name="priem" localSheetId="0">'[3]Pr-6'!#REF!</definedName>
    <definedName name="priem">'[3]Pr-6'!#REF!</definedName>
    <definedName name="priemerny_vykon_VS_podla_KEN" localSheetId="1">'[29]T3-vstupy'!#REF!</definedName>
    <definedName name="priemerny_vykon_VS_podla_KEN" localSheetId="0">'[17]T3-vstupy'!#REF!</definedName>
    <definedName name="priemerny_vykon_VS_podla_KEN">'[17]T3-vstupy'!#REF!</definedName>
    <definedName name="priemerny_vykon_VS_podla_KPN" localSheetId="1">'[29]T3-vstupy'!#REF!</definedName>
    <definedName name="priemerny_vykon_VS_podla_KPN" localSheetId="0">'[17]T3-vstupy'!#REF!</definedName>
    <definedName name="priemerny_vykon_VS_podla_KPN">'[17]T3-vstupy'!#REF!</definedName>
    <definedName name="priest" localSheetId="1">#REF!</definedName>
    <definedName name="priest">#REF!</definedName>
    <definedName name="prisp_na_1_jedlo" localSheetId="1">'[19]T3-vstupy'!$C$105</definedName>
    <definedName name="prisp_na_1_jedlo">'[18]T3-vstupy'!$C$100</definedName>
    <definedName name="prisp_na_ubyt_stud_SD" localSheetId="1">'[19]T3-vstupy'!$C$114</definedName>
    <definedName name="prisp_na_ubyt_stud_SD">'[18]T3-vstupy'!$C$105</definedName>
    <definedName name="prisp_na_ubyt_stud_ZZ" localSheetId="1">'[19]T3-vstupy'!$C$115</definedName>
    <definedName name="prisp_na_ubyt_stud_ZZ">'[18]T3-vstupy'!$C$106</definedName>
    <definedName name="profe">'[9]T3-vstupy'!$C$52</definedName>
    <definedName name="profKKS">'[15]T3-vstupy'!$C$49</definedName>
    <definedName name="Ptz" localSheetId="1">'[3]vyk95'!#REF!</definedName>
    <definedName name="Ptz" localSheetId="0">'[3]vyk95'!#REF!</definedName>
    <definedName name="Ptz">'[3]vyk95'!#REF!</definedName>
    <definedName name="PU_paiDOK2000" localSheetId="1">#REF!</definedName>
    <definedName name="PU_paiDOK2000">#REF!</definedName>
    <definedName name="PU_pD2001_DS_bKA" localSheetId="1">#REF!</definedName>
    <definedName name="PU_pD2001_DS_bKA">#REF!</definedName>
    <definedName name="PU_pP2000_DS_bKA" localSheetId="1">#REF!</definedName>
    <definedName name="PU_pP2000_DS_bKA">#REF!</definedName>
    <definedName name="PU_pP2001_DS_bKA" localSheetId="1">#REF!</definedName>
    <definedName name="PU_pP2001_DS_bKA">#REF!</definedName>
    <definedName name="PU_pP2001_DS_sKA" localSheetId="1">#REF!</definedName>
    <definedName name="PU_pP2001_DS_sKA">#REF!</definedName>
    <definedName name="PU_ppa2000_bDOK" localSheetId="1">#REF!</definedName>
    <definedName name="PU_ppa2000_bDOK">#REF!</definedName>
    <definedName name="PU_pps_bKA" localSheetId="1">#REF!</definedName>
    <definedName name="PU_pps_bKA">#REF!</definedName>
    <definedName name="PU_pps_bKA_bDOK" localSheetId="1">#REF!</definedName>
    <definedName name="PU_pps_bKA_bDOK">#REF!</definedName>
    <definedName name="PU_pps_sKA" localSheetId="1">#REF!</definedName>
    <definedName name="PU_pps_sKA">#REF!</definedName>
    <definedName name="PU_pps_sKA_bDOK" localSheetId="1">#REF!</definedName>
    <definedName name="PU_pps_sKA_bDOK">#REF!</definedName>
    <definedName name="PU_vKEN_aiDOK" localSheetId="1">#REF!</definedName>
    <definedName name="PU_vKEN_aiDOK">#REF!</definedName>
    <definedName name="PU_vKEN_bKA" localSheetId="1">#REF!</definedName>
    <definedName name="PU_vKEN_bKA">#REF!</definedName>
    <definedName name="PU_vKEN_bKA_bDOK" localSheetId="1">#REF!</definedName>
    <definedName name="PU_vKEN_bKA_bDOK">#REF!</definedName>
    <definedName name="PU_vKEN_bKA_PDS" localSheetId="1">#REF!</definedName>
    <definedName name="PU_vKEN_bKA_PDS">#REF!</definedName>
    <definedName name="PU_vKEN_sKA" localSheetId="1">#REF!</definedName>
    <definedName name="PU_vKEN_sKA">#REF!</definedName>
    <definedName name="PU_vKEN_sKA_bDOK" localSheetId="1">#REF!</definedName>
    <definedName name="PU_vKEN_sKA_bDOK">#REF!</definedName>
    <definedName name="PU_vKEN_sKA_PDS" localSheetId="1">#REF!</definedName>
    <definedName name="PU_vKEN_sKA_PDS">#REF!</definedName>
    <definedName name="PU_vKPN_aiDOK" localSheetId="1">#REF!</definedName>
    <definedName name="PU_vKPN_aiDOK">#REF!</definedName>
    <definedName name="PU_vKPN_bKA" localSheetId="1">#REF!</definedName>
    <definedName name="PU_vKPN_bKA">#REF!</definedName>
    <definedName name="PU_vKPN_bKA_bDOK" localSheetId="1">#REF!</definedName>
    <definedName name="PU_vKPN_bKA_bDOK">#REF!</definedName>
    <definedName name="PU_vKPN_bKA_PDS" localSheetId="1">#REF!</definedName>
    <definedName name="PU_vKPN_bKA_PDS">#REF!</definedName>
    <definedName name="PU_vKPN_sKA" localSheetId="1">#REF!</definedName>
    <definedName name="PU_vKPN_sKA">#REF!</definedName>
    <definedName name="PU_vKPN_sKA_bDOK" localSheetId="1">#REF!</definedName>
    <definedName name="PU_vKPN_sKA_bDOK">#REF!</definedName>
    <definedName name="PU_vKPN_sKA_PDS" localSheetId="1">#REF!</definedName>
    <definedName name="PU_vKPN_sKA_PDS">#REF!</definedName>
    <definedName name="PV" localSheetId="1">'[3]Mz01-96'!#REF!</definedName>
    <definedName name="PV" localSheetId="0">'[3]Mz01-96'!#REF!</definedName>
    <definedName name="PV">'[3]Mz01-96'!#REF!</definedName>
    <definedName name="rtz" localSheetId="1">'[4]Pr-6'!#REF!</definedName>
    <definedName name="rtz" localSheetId="0">'[5]Pr-6'!#REF!</definedName>
    <definedName name="rtz">'[5]Pr-6'!#REF!</definedName>
    <definedName name="rtzui" localSheetId="1">'[4]Pr-6'!#REF!</definedName>
    <definedName name="rtzui" localSheetId="0">'[5]Pr-6'!#REF!</definedName>
    <definedName name="rtzui">'[5]Pr-6'!#REF!</definedName>
    <definedName name="SPU_paiDOK2000" localSheetId="1">#REF!</definedName>
    <definedName name="SPU_paiDOK2000">#REF!</definedName>
    <definedName name="SPU_pD2001_DS_bKA" localSheetId="1">#REF!</definedName>
    <definedName name="SPU_pD2001_DS_bKA">#REF!</definedName>
    <definedName name="SPU_pP2000_DS_bKA" localSheetId="1">#REF!</definedName>
    <definedName name="SPU_pP2000_DS_bKA">#REF!</definedName>
    <definedName name="SPU_pP2001_DS_bKA" localSheetId="1">#REF!</definedName>
    <definedName name="SPU_pP2001_DS_bKA">#REF!</definedName>
    <definedName name="SPU_pP2001_DS_sKA" localSheetId="1">#REF!</definedName>
    <definedName name="SPU_pP2001_DS_sKA">#REF!</definedName>
    <definedName name="SPU_ppa2000_bDOK" localSheetId="1">#REF!</definedName>
    <definedName name="SPU_ppa2000_bDOK">#REF!</definedName>
    <definedName name="SPU_pps_bKA" localSheetId="1">#REF!</definedName>
    <definedName name="SPU_pps_bKA">#REF!</definedName>
    <definedName name="SPU_pps_bKA_bDOK" localSheetId="1">#REF!</definedName>
    <definedName name="SPU_pps_bKA_bDOK">#REF!</definedName>
    <definedName name="SPU_pps_sKA" localSheetId="1">#REF!</definedName>
    <definedName name="SPU_pps_sKA">#REF!</definedName>
    <definedName name="SPU_pps_sKA_bDOK" localSheetId="1">#REF!</definedName>
    <definedName name="SPU_pps_sKA_bDOK">#REF!</definedName>
    <definedName name="SPU_vKEN_aiDOK" localSheetId="1">#REF!</definedName>
    <definedName name="SPU_vKEN_aiDOK">#REF!</definedName>
    <definedName name="SPU_vKEN_bKA" localSheetId="1">#REF!</definedName>
    <definedName name="SPU_vKEN_bKA">#REF!</definedName>
    <definedName name="SPU_vKEN_bKA_bDOK" localSheetId="1">#REF!</definedName>
    <definedName name="SPU_vKEN_bKA_bDOK">#REF!</definedName>
    <definedName name="SPU_vKEN_bKA_PDS" localSheetId="1">#REF!</definedName>
    <definedName name="SPU_vKEN_bKA_PDS">#REF!</definedName>
    <definedName name="SPU_vKEN_sKA" localSheetId="1">#REF!</definedName>
    <definedName name="SPU_vKEN_sKA">#REF!</definedName>
    <definedName name="SPU_vKEN_sKA_bDOK" localSheetId="1">#REF!</definedName>
    <definedName name="SPU_vKEN_sKA_bDOK">#REF!</definedName>
    <definedName name="SPU_vKEN_sKA_PDS" localSheetId="1">#REF!</definedName>
    <definedName name="SPU_vKEN_sKA_PDS">#REF!</definedName>
    <definedName name="SPU_vKPN_aiDOK" localSheetId="1">#REF!</definedName>
    <definedName name="SPU_vKPN_aiDOK">#REF!</definedName>
    <definedName name="SPU_vKPN_bKA" localSheetId="1">#REF!</definedName>
    <definedName name="SPU_vKPN_bKA">#REF!</definedName>
    <definedName name="SPU_vKPN_bKA_bDOK" localSheetId="1">#REF!</definedName>
    <definedName name="SPU_vKPN_bKA_bDOK">#REF!</definedName>
    <definedName name="SPU_vKPN_bKA_PDS" localSheetId="1">#REF!</definedName>
    <definedName name="SPU_vKPN_bKA_PDS">#REF!</definedName>
    <definedName name="SPU_vKPN_sKA" localSheetId="1">#REF!</definedName>
    <definedName name="SPU_vKPN_sKA">#REF!</definedName>
    <definedName name="SPU_vKPN_sKA_bDOK" localSheetId="1">#REF!</definedName>
    <definedName name="SPU_vKPN_sKA_bDOK">#REF!</definedName>
    <definedName name="SPU_vKPN_sKA_PDS" localSheetId="1">#REF!</definedName>
    <definedName name="SPU_vKPN_sKA_PDS">#REF!</definedName>
    <definedName name="STU_paiDOK2000" localSheetId="1">#REF!</definedName>
    <definedName name="STU_paiDOK2000">#REF!</definedName>
    <definedName name="STU_pD2001_DS_bKA" localSheetId="1">#REF!</definedName>
    <definedName name="STU_pD2001_DS_bKA">#REF!</definedName>
    <definedName name="STU_pP2000_DS_bKA" localSheetId="1">#REF!</definedName>
    <definedName name="STU_pP2000_DS_bKA">#REF!</definedName>
    <definedName name="STU_pP2001_DS_bKA" localSheetId="1">#REF!</definedName>
    <definedName name="STU_pP2001_DS_bKA">#REF!</definedName>
    <definedName name="STU_pP2001_DS_sKA" localSheetId="1">#REF!</definedName>
    <definedName name="STU_pP2001_DS_sKA">#REF!</definedName>
    <definedName name="STU_ppa2000_bDOK" localSheetId="1">#REF!</definedName>
    <definedName name="STU_ppa2000_bDOK">#REF!</definedName>
    <definedName name="STU_pps_bKA" localSheetId="1">#REF!</definedName>
    <definedName name="STU_pps_bKA">#REF!</definedName>
    <definedName name="STU_pps_bKA_bDOK" localSheetId="1">#REF!</definedName>
    <definedName name="STU_pps_bKA_bDOK">#REF!</definedName>
    <definedName name="STU_pps_sKA" localSheetId="1">#REF!</definedName>
    <definedName name="STU_pps_sKA">#REF!</definedName>
    <definedName name="STU_pps_sKA_bDOK" localSheetId="1">#REF!</definedName>
    <definedName name="STU_pps_sKA_bDOK">#REF!</definedName>
    <definedName name="STU_vKEN_aiDOK" localSheetId="1">#REF!</definedName>
    <definedName name="STU_vKEN_aiDOK">#REF!</definedName>
    <definedName name="STU_vKEN_bKA" localSheetId="1">#REF!</definedName>
    <definedName name="STU_vKEN_bKA">#REF!</definedName>
    <definedName name="STU_vKEN_bKA_bDOK" localSheetId="1">#REF!</definedName>
    <definedName name="STU_vKEN_bKA_bDOK">#REF!</definedName>
    <definedName name="STU_vKEN_bKA_PDS" localSheetId="1">#REF!</definedName>
    <definedName name="STU_vKEN_bKA_PDS">#REF!</definedName>
    <definedName name="STU_vKEN_sKA" localSheetId="1">#REF!</definedName>
    <definedName name="STU_vKEN_sKA">#REF!</definedName>
    <definedName name="STU_vKEN_sKA_bDOK" localSheetId="1">#REF!</definedName>
    <definedName name="STU_vKEN_sKA_bDOK">#REF!</definedName>
    <definedName name="STU_vKEN_sKA_PDS" localSheetId="1">#REF!</definedName>
    <definedName name="STU_vKEN_sKA_PDS">#REF!</definedName>
    <definedName name="STU_vKPN_aiDOK" localSheetId="1">#REF!</definedName>
    <definedName name="STU_vKPN_aiDOK">#REF!</definedName>
    <definedName name="STU_vKPN_bKA" localSheetId="1">#REF!</definedName>
    <definedName name="STU_vKPN_bKA">#REF!</definedName>
    <definedName name="STU_vKPN_bKA_bDOK" localSheetId="1">#REF!</definedName>
    <definedName name="STU_vKPN_bKA_bDOK">#REF!</definedName>
    <definedName name="STU_vKPN_bKA_PDS" localSheetId="1">#REF!</definedName>
    <definedName name="STU_vKPN_bKA_PDS">#REF!</definedName>
    <definedName name="STU_vKPN_sKA" localSheetId="1">#REF!</definedName>
    <definedName name="STU_vKPN_sKA">#REF!</definedName>
    <definedName name="STU_vKPN_sKA_bDOK" localSheetId="1">#REF!</definedName>
    <definedName name="STU_vKPN_sKA_bDOK">#REF!</definedName>
    <definedName name="STU_vKPN_sKA_PDS" localSheetId="1">#REF!</definedName>
    <definedName name="STU_vKPN_sKA_PDS">#REF!</definedName>
    <definedName name="SUMA_paiDOK2000" localSheetId="1">#REF!</definedName>
    <definedName name="SUMA_paiDOK2000">#REF!</definedName>
    <definedName name="SUMA_pD2001_DS_bKA" localSheetId="1">#REF!</definedName>
    <definedName name="SUMA_pD2001_DS_bKA">#REF!</definedName>
    <definedName name="SUMA_pP2000_DS_bKA" localSheetId="1">#REF!</definedName>
    <definedName name="SUMA_pP2000_DS_bKA">#REF!</definedName>
    <definedName name="SUMA_pP2001_DS_bKA" localSheetId="1">#REF!</definedName>
    <definedName name="SUMA_pP2001_DS_bKA">#REF!</definedName>
    <definedName name="SUMA_pP2001_DS_sKA" localSheetId="1">#REF!</definedName>
    <definedName name="SUMA_pP2001_DS_sKA">#REF!</definedName>
    <definedName name="SUMA_ppa2000_bDOK" localSheetId="1">#REF!</definedName>
    <definedName name="SUMA_ppa2000_bDOK">#REF!</definedName>
    <definedName name="SUMA_pps_bKA" localSheetId="1">#REF!</definedName>
    <definedName name="SUMA_pps_bKA">#REF!</definedName>
    <definedName name="SUMA_pps_bKA_bDOK" localSheetId="1">#REF!</definedName>
    <definedName name="SUMA_pps_bKA_bDOK">#REF!</definedName>
    <definedName name="SUMA_pps_sKA" localSheetId="1">#REF!</definedName>
    <definedName name="SUMA_pps_sKA">#REF!</definedName>
    <definedName name="SUMA_pps_sKA_bDOK" localSheetId="1">#REF!</definedName>
    <definedName name="SUMA_pps_sKA_bDOK">#REF!</definedName>
    <definedName name="SUMA_vKEN_aiDOK" localSheetId="1">#REF!</definedName>
    <definedName name="SUMA_vKEN_aiDOK">#REF!</definedName>
    <definedName name="SUMA_vKEN_bKA" localSheetId="1">#REF!</definedName>
    <definedName name="SUMA_vKEN_bKA">#REF!</definedName>
    <definedName name="SUMA_vKEN_bKA_bDOK" localSheetId="1">#REF!</definedName>
    <definedName name="SUMA_vKEN_bKA_bDOK">#REF!</definedName>
    <definedName name="SUMA_vKEN_bKA_PDS" localSheetId="1">#REF!</definedName>
    <definedName name="SUMA_vKEN_bKA_PDS">#REF!</definedName>
    <definedName name="SUMA_vKEN_sKA" localSheetId="1">#REF!</definedName>
    <definedName name="SUMA_vKEN_sKA">#REF!</definedName>
    <definedName name="SUMA_vKEN_sKA_bDOK" localSheetId="1">#REF!</definedName>
    <definedName name="SUMA_vKEN_sKA_bDOK">#REF!</definedName>
    <definedName name="SUMA_vKEN_sKA_PDS" localSheetId="1">#REF!</definedName>
    <definedName name="SUMA_vKEN_sKA_PDS">#REF!</definedName>
    <definedName name="SUMA_vKPN_aiDOK" localSheetId="1">#REF!</definedName>
    <definedName name="SUMA_vKPN_aiDOK">#REF!</definedName>
    <definedName name="SUMA_vKPN_bKA" localSheetId="1">#REF!</definedName>
    <definedName name="SUMA_vKPN_bKA">#REF!</definedName>
    <definedName name="SUMA_vKPN_bKA_bDOK" localSheetId="1">#REF!</definedName>
    <definedName name="SUMA_vKPN_bKA_bDOK">#REF!</definedName>
    <definedName name="SUMA_vKPN_bKA_PDS" localSheetId="1">#REF!</definedName>
    <definedName name="SUMA_vKPN_bKA_PDS">#REF!</definedName>
    <definedName name="SUMA_vKPN_sKA" localSheetId="1">#REF!</definedName>
    <definedName name="SUMA_vKPN_sKA">#REF!</definedName>
    <definedName name="SUMA_vKPN_sKA_bDOK" localSheetId="1">#REF!</definedName>
    <definedName name="SUMA_vKPN_sKA_bDOK">#REF!</definedName>
    <definedName name="SUMA_vKPN_sKA_PDS" localSheetId="1">#REF!</definedName>
    <definedName name="SUMA_vKPN_sKA_PDS">#REF!</definedName>
    <definedName name="TRU_paiDOK2000" localSheetId="1">#REF!</definedName>
    <definedName name="TRU_paiDOK2000">#REF!</definedName>
    <definedName name="TRU_pD2001_DS_bKA" localSheetId="1">#REF!</definedName>
    <definedName name="TRU_pD2001_DS_bKA">#REF!</definedName>
    <definedName name="TRU_pP2000_DS_bKA" localSheetId="1">#REF!</definedName>
    <definedName name="TRU_pP2000_DS_bKA">#REF!</definedName>
    <definedName name="TRU_pP2001_DS_bKA" localSheetId="1">#REF!</definedName>
    <definedName name="TRU_pP2001_DS_bKA">#REF!</definedName>
    <definedName name="TRU_pP2001_DS_sKA" localSheetId="1">#REF!</definedName>
    <definedName name="TRU_pP2001_DS_sKA">#REF!</definedName>
    <definedName name="TRU_ppa2000_bDOK" localSheetId="1">#REF!</definedName>
    <definedName name="TRU_ppa2000_bDOK">#REF!</definedName>
    <definedName name="TRU_pps_bKA" localSheetId="1">#REF!</definedName>
    <definedName name="TRU_pps_bKA">#REF!</definedName>
    <definedName name="TRU_pps_bKA_bDOK" localSheetId="1">#REF!</definedName>
    <definedName name="TRU_pps_bKA_bDOK">#REF!</definedName>
    <definedName name="TRU_pps_sKA" localSheetId="1">#REF!</definedName>
    <definedName name="TRU_pps_sKA">#REF!</definedName>
    <definedName name="TRU_pps_sKA_bDOK" localSheetId="1">#REF!</definedName>
    <definedName name="TRU_pps_sKA_bDOK">#REF!</definedName>
    <definedName name="TRU_vKEN_aiDOK" localSheetId="1">#REF!</definedName>
    <definedName name="TRU_vKEN_aiDOK">#REF!</definedName>
    <definedName name="TRU_vKEN_bKA" localSheetId="1">#REF!</definedName>
    <definedName name="TRU_vKEN_bKA">#REF!</definedName>
    <definedName name="TRU_vKEN_bKA_bDOK" localSheetId="1">#REF!</definedName>
    <definedName name="TRU_vKEN_bKA_bDOK">#REF!</definedName>
    <definedName name="TRU_vKEN_bKA_PDS" localSheetId="1">#REF!</definedName>
    <definedName name="TRU_vKEN_bKA_PDS">#REF!</definedName>
    <definedName name="TRU_vKEN_sKA" localSheetId="1">#REF!</definedName>
    <definedName name="TRU_vKEN_sKA">#REF!</definedName>
    <definedName name="TRU_vKEN_sKA_bDOK" localSheetId="1">#REF!</definedName>
    <definedName name="TRU_vKEN_sKA_bDOK">#REF!</definedName>
    <definedName name="TRU_vKEN_sKA_PDS" localSheetId="1">#REF!</definedName>
    <definedName name="TRU_vKEN_sKA_PDS">#REF!</definedName>
    <definedName name="TRU_vKPN_aiDOK" localSheetId="1">#REF!</definedName>
    <definedName name="TRU_vKPN_aiDOK">#REF!</definedName>
    <definedName name="TRU_vKPN_bKA" localSheetId="1">#REF!</definedName>
    <definedName name="TRU_vKPN_bKA">#REF!</definedName>
    <definedName name="TRU_vKPN_bKA_bDOK" localSheetId="1">#REF!</definedName>
    <definedName name="TRU_vKPN_bKA_bDOK">#REF!</definedName>
    <definedName name="TRU_vKPN_bKA_PDS" localSheetId="1">#REF!</definedName>
    <definedName name="TRU_vKPN_bKA_PDS">#REF!</definedName>
    <definedName name="TRU_vKPN_sKA" localSheetId="1">#REF!</definedName>
    <definedName name="TRU_vKPN_sKA">#REF!</definedName>
    <definedName name="TRU_vKPN_sKA_bDOK" localSheetId="1">#REF!</definedName>
    <definedName name="TRU_vKPN_sKA_bDOK">#REF!</definedName>
    <definedName name="TRU_vKPN_sKA_PDS" localSheetId="1">#REF!</definedName>
    <definedName name="TRU_vKPN_sKA_PDS">#REF!</definedName>
    <definedName name="TUKE_paiDOK2000" localSheetId="1">#REF!</definedName>
    <definedName name="TUKE_paiDOK2000">#REF!</definedName>
    <definedName name="TUKE_pD2001_DS_bKA" localSheetId="1">#REF!</definedName>
    <definedName name="TUKE_pD2001_DS_bKA">#REF!</definedName>
    <definedName name="TUKE_pP2000_DS_bKA" localSheetId="1">#REF!</definedName>
    <definedName name="TUKE_pP2000_DS_bKA">#REF!</definedName>
    <definedName name="TUKE_pP2001_DS_bKA" localSheetId="1">#REF!</definedName>
    <definedName name="TUKE_pP2001_DS_bKA">#REF!</definedName>
    <definedName name="TUKE_pP2001_DS_sKA" localSheetId="1">#REF!</definedName>
    <definedName name="TUKE_pP2001_DS_sKA">#REF!</definedName>
    <definedName name="TUKE_ppa2000_bDOK" localSheetId="1">#REF!</definedName>
    <definedName name="TUKE_ppa2000_bDOK">#REF!</definedName>
    <definedName name="TUKE_pps_bKA" localSheetId="1">#REF!</definedName>
    <definedName name="TUKE_pps_bKA">#REF!</definedName>
    <definedName name="TUKE_pps_bKA_bDOK" localSheetId="1">#REF!</definedName>
    <definedName name="TUKE_pps_bKA_bDOK">#REF!</definedName>
    <definedName name="TUKE_pps_sKA" localSheetId="1">#REF!</definedName>
    <definedName name="TUKE_pps_sKA">#REF!</definedName>
    <definedName name="TUKE_pps_sKA_bDOK" localSheetId="1">#REF!</definedName>
    <definedName name="TUKE_pps_sKA_bDOK">#REF!</definedName>
    <definedName name="TUKE_vKEN_aiDOK" localSheetId="1">#REF!</definedName>
    <definedName name="TUKE_vKEN_aiDOK">#REF!</definedName>
    <definedName name="TUKE_vKEN_bKA" localSheetId="1">#REF!</definedName>
    <definedName name="TUKE_vKEN_bKA">#REF!</definedName>
    <definedName name="TUKE_vKEN_bKA_bDOK" localSheetId="1">#REF!</definedName>
    <definedName name="TUKE_vKEN_bKA_bDOK">#REF!</definedName>
    <definedName name="TUKE_vKEN_bKA_PDS" localSheetId="1">#REF!</definedName>
    <definedName name="TUKE_vKEN_bKA_PDS">#REF!</definedName>
    <definedName name="TUKE_vKEN_sKA" localSheetId="1">#REF!</definedName>
    <definedName name="TUKE_vKEN_sKA">#REF!</definedName>
    <definedName name="TUKE_vKEN_sKA_bDOK" localSheetId="1">#REF!</definedName>
    <definedName name="TUKE_vKEN_sKA_bDOK">#REF!</definedName>
    <definedName name="TUKE_vKEN_sKA_PDS" localSheetId="1">#REF!</definedName>
    <definedName name="TUKE_vKEN_sKA_PDS">#REF!</definedName>
    <definedName name="TUKE_vKPN_aiDOK" localSheetId="1">#REF!</definedName>
    <definedName name="TUKE_vKPN_aiDOK">#REF!</definedName>
    <definedName name="TUKE_vKPN_bKA" localSheetId="1">#REF!</definedName>
    <definedName name="TUKE_vKPN_bKA">#REF!</definedName>
    <definedName name="TUKE_vKPN_bKA_bDOK" localSheetId="1">#REF!</definedName>
    <definedName name="TUKE_vKPN_bKA_bDOK">#REF!</definedName>
    <definedName name="TUKE_vKPN_bKA_PDS" localSheetId="1">#REF!</definedName>
    <definedName name="TUKE_vKPN_bKA_PDS">#REF!</definedName>
    <definedName name="TUKE_vKPN_sKA" localSheetId="1">#REF!</definedName>
    <definedName name="TUKE_vKPN_sKA">#REF!</definedName>
    <definedName name="TUKE_vKPN_sKA_bDOK" localSheetId="1">#REF!</definedName>
    <definedName name="TUKE_vKPN_sKA_bDOK">#REF!</definedName>
    <definedName name="TUKE_vKPN_sKA_PDS" localSheetId="1">#REF!</definedName>
    <definedName name="TUKE_vKPN_sKA_PDS">#REF!</definedName>
    <definedName name="TUZVO_paiDOK2000" localSheetId="1">#REF!</definedName>
    <definedName name="TUZVO_paiDOK2000">#REF!</definedName>
    <definedName name="TUZVO_pD2001_DS_bKA" localSheetId="1">#REF!</definedName>
    <definedName name="TUZVO_pD2001_DS_bKA">#REF!</definedName>
    <definedName name="TUZVO_pP2000_DS_bKA" localSheetId="1">#REF!</definedName>
    <definedName name="TUZVO_pP2000_DS_bKA">#REF!</definedName>
    <definedName name="TUZVO_pP2001_DS_bKA" localSheetId="1">#REF!</definedName>
    <definedName name="TUZVO_pP2001_DS_bKA">#REF!</definedName>
    <definedName name="TUZVO_pP2001_DS_sKA" localSheetId="1">#REF!</definedName>
    <definedName name="TUZVO_pP2001_DS_sKA">#REF!</definedName>
    <definedName name="TUZVO_ppa2000_bDOK" localSheetId="1">#REF!</definedName>
    <definedName name="TUZVO_ppa2000_bDOK">#REF!</definedName>
    <definedName name="TUZVO_pps_bKA" localSheetId="1">#REF!</definedName>
    <definedName name="TUZVO_pps_bKA">#REF!</definedName>
    <definedName name="TUZVO_pps_bKA_bDOK" localSheetId="1">#REF!</definedName>
    <definedName name="TUZVO_pps_bKA_bDOK">#REF!</definedName>
    <definedName name="TUZVO_pps_sKA" localSheetId="1">#REF!</definedName>
    <definedName name="TUZVO_pps_sKA">#REF!</definedName>
    <definedName name="TUZVO_pps_sKA_bDOK" localSheetId="1">#REF!</definedName>
    <definedName name="TUZVO_pps_sKA_bDOK">#REF!</definedName>
    <definedName name="TUZVO_vKEN_aiDOK" localSheetId="1">#REF!</definedName>
    <definedName name="TUZVO_vKEN_aiDOK">#REF!</definedName>
    <definedName name="TUZVO_vKEN_bKA" localSheetId="1">#REF!</definedName>
    <definedName name="TUZVO_vKEN_bKA">#REF!</definedName>
    <definedName name="TUZVO_vKEN_bKA_bDOK" localSheetId="1">#REF!</definedName>
    <definedName name="TUZVO_vKEN_bKA_bDOK">#REF!</definedName>
    <definedName name="TUZVO_vKEN_bKA_PDS" localSheetId="1">#REF!</definedName>
    <definedName name="TUZVO_vKEN_bKA_PDS">#REF!</definedName>
    <definedName name="TUZVO_vKEN_sKA" localSheetId="1">#REF!</definedName>
    <definedName name="TUZVO_vKEN_sKA">#REF!</definedName>
    <definedName name="TUZVO_vKEN_sKA_bDOK" localSheetId="1">#REF!</definedName>
    <definedName name="TUZVO_vKEN_sKA_bDOK">#REF!</definedName>
    <definedName name="TUZVO_vKEN_sKA_PDS" localSheetId="1">#REF!</definedName>
    <definedName name="TUZVO_vKEN_sKA_PDS">#REF!</definedName>
    <definedName name="TUZVO_vKPN_aiDOK" localSheetId="1">#REF!</definedName>
    <definedName name="TUZVO_vKPN_aiDOK">#REF!</definedName>
    <definedName name="TUZVO_vKPN_bKA" localSheetId="1">#REF!</definedName>
    <definedName name="TUZVO_vKPN_bKA">#REF!</definedName>
    <definedName name="TUZVO_vKPN_bKA_bDOK" localSheetId="1">#REF!</definedName>
    <definedName name="TUZVO_vKPN_bKA_bDOK">#REF!</definedName>
    <definedName name="TUZVO_vKPN_bKA_PDS" localSheetId="1">#REF!</definedName>
    <definedName name="TUZVO_vKPN_bKA_PDS">#REF!</definedName>
    <definedName name="TUZVO_vKPN_sKA" localSheetId="1">#REF!</definedName>
    <definedName name="TUZVO_vKPN_sKA">#REF!</definedName>
    <definedName name="TUZVO_vKPN_sKA_bDOK" localSheetId="1">#REF!</definedName>
    <definedName name="TUZVO_vKPN_sKA_bDOK">#REF!</definedName>
    <definedName name="TUZVO_vKPN_sKA_PDS" localSheetId="1">#REF!</definedName>
    <definedName name="TUZVO_vKPN_sKA_PDS">#REF!</definedName>
    <definedName name="TVU_paiDOK2000" localSheetId="1">#REF!</definedName>
    <definedName name="TVU_paiDOK2000">#REF!</definedName>
    <definedName name="TVU_pD2001_DS_bKA" localSheetId="1">#REF!</definedName>
    <definedName name="TVU_pD2001_DS_bKA">#REF!</definedName>
    <definedName name="TVU_pP2000_DS_bKA" localSheetId="1">#REF!</definedName>
    <definedName name="TVU_pP2000_DS_bKA">#REF!</definedName>
    <definedName name="TVU_pP2001_DS_bKA" localSheetId="1">#REF!</definedName>
    <definedName name="TVU_pP2001_DS_bKA">#REF!</definedName>
    <definedName name="TVU_pP2001_DS_sKA" localSheetId="1">#REF!</definedName>
    <definedName name="TVU_pP2001_DS_sKA">#REF!</definedName>
    <definedName name="TVU_ppa2000_bDOK" localSheetId="1">#REF!</definedName>
    <definedName name="TVU_ppa2000_bDOK">#REF!</definedName>
    <definedName name="TVU_pps_bKA" localSheetId="1">#REF!</definedName>
    <definedName name="TVU_pps_bKA">#REF!</definedName>
    <definedName name="TVU_pps_bKA_bDOK" localSheetId="1">#REF!</definedName>
    <definedName name="TVU_pps_bKA_bDOK">#REF!</definedName>
    <definedName name="TVU_pps_sKA" localSheetId="1">#REF!</definedName>
    <definedName name="TVU_pps_sKA">#REF!</definedName>
    <definedName name="TVU_pps_sKA_bDOK" localSheetId="1">#REF!</definedName>
    <definedName name="TVU_pps_sKA_bDOK">#REF!</definedName>
    <definedName name="TVU_vKEN_aiDOK" localSheetId="1">#REF!</definedName>
    <definedName name="TVU_vKEN_aiDOK">#REF!</definedName>
    <definedName name="TVU_vKEN_bKA" localSheetId="1">#REF!</definedName>
    <definedName name="TVU_vKEN_bKA">#REF!</definedName>
    <definedName name="TVU_vKEN_bKA_bDOK" localSheetId="1">#REF!</definedName>
    <definedName name="TVU_vKEN_bKA_bDOK">#REF!</definedName>
    <definedName name="TVU_vKEN_bKA_PDS" localSheetId="1">#REF!</definedName>
    <definedName name="TVU_vKEN_bKA_PDS">#REF!</definedName>
    <definedName name="TVU_vKEN_sKA" localSheetId="1">#REF!</definedName>
    <definedName name="TVU_vKEN_sKA">#REF!</definedName>
    <definedName name="TVU_vKEN_sKA_bDOK" localSheetId="1">#REF!</definedName>
    <definedName name="TVU_vKEN_sKA_bDOK">#REF!</definedName>
    <definedName name="TVU_vKEN_sKA_PDS" localSheetId="1">#REF!</definedName>
    <definedName name="TVU_vKEN_sKA_PDS">#REF!</definedName>
    <definedName name="TVU_vKPN_aiDOK" localSheetId="1">#REF!</definedName>
    <definedName name="TVU_vKPN_aiDOK">#REF!</definedName>
    <definedName name="TVU_vKPN_bKA" localSheetId="1">#REF!</definedName>
    <definedName name="TVU_vKPN_bKA">#REF!</definedName>
    <definedName name="TVU_vKPN_bKA_bDOK" localSheetId="1">#REF!</definedName>
    <definedName name="TVU_vKPN_bKA_bDOK">#REF!</definedName>
    <definedName name="TVU_vKPN_bKA_PDS" localSheetId="1">#REF!</definedName>
    <definedName name="TVU_vKPN_bKA_PDS">#REF!</definedName>
    <definedName name="TVU_vKPN_sKA" localSheetId="1">#REF!</definedName>
    <definedName name="TVU_vKPN_sKA">#REF!</definedName>
    <definedName name="TVU_vKPN_sKA_bDOK" localSheetId="1">#REF!</definedName>
    <definedName name="TVU_vKPN_sKA_bDOK">#REF!</definedName>
    <definedName name="TVU_vKPN_sKA_PDS" localSheetId="1">#REF!</definedName>
    <definedName name="TVU_vKPN_sKA_PDS">#REF!</definedName>
    <definedName name="Ua">#REF!</definedName>
    <definedName name="Uc">#REF!</definedName>
    <definedName name="UCM_paiDOK2000" localSheetId="1">#REF!</definedName>
    <definedName name="UCM_paiDOK2000">#REF!</definedName>
    <definedName name="UCM_pD2001_DS_bKA" localSheetId="1">#REF!</definedName>
    <definedName name="UCM_pD2001_DS_bKA">#REF!</definedName>
    <definedName name="UCM_pP2000_DS_bKA" localSheetId="1">#REF!</definedName>
    <definedName name="UCM_pP2000_DS_bKA">#REF!</definedName>
    <definedName name="UCM_pP2001_DS_bKA" localSheetId="1">#REF!</definedName>
    <definedName name="UCM_pP2001_DS_bKA">#REF!</definedName>
    <definedName name="UCM_pP2001_DS_sKA" localSheetId="1">#REF!</definedName>
    <definedName name="UCM_pP2001_DS_sKA">#REF!</definedName>
    <definedName name="UCM_ppa2000_bDOK" localSheetId="1">#REF!</definedName>
    <definedName name="UCM_ppa2000_bDOK">#REF!</definedName>
    <definedName name="UCM_pps_bKA" localSheetId="1">#REF!</definedName>
    <definedName name="UCM_pps_bKA">#REF!</definedName>
    <definedName name="UCM_pps_bKA_bDOK" localSheetId="1">#REF!</definedName>
    <definedName name="UCM_pps_bKA_bDOK">#REF!</definedName>
    <definedName name="UCM_pps_sKA" localSheetId="1">#REF!</definedName>
    <definedName name="UCM_pps_sKA">#REF!</definedName>
    <definedName name="UCM_pps_sKA_bDOK" localSheetId="1">#REF!</definedName>
    <definedName name="UCM_pps_sKA_bDOK">#REF!</definedName>
    <definedName name="UCM_vKEN_aiDOK" localSheetId="1">#REF!</definedName>
    <definedName name="UCM_vKEN_aiDOK">#REF!</definedName>
    <definedName name="UCM_vKEN_bKA" localSheetId="1">#REF!</definedName>
    <definedName name="UCM_vKEN_bKA">#REF!</definedName>
    <definedName name="UCM_vKEN_bKA_bDOK" localSheetId="1">#REF!</definedName>
    <definedName name="UCM_vKEN_bKA_bDOK">#REF!</definedName>
    <definedName name="UCM_vKEN_bKA_PDS" localSheetId="1">#REF!</definedName>
    <definedName name="UCM_vKEN_bKA_PDS">#REF!</definedName>
    <definedName name="UCM_vKEN_sKA" localSheetId="1">#REF!</definedName>
    <definedName name="UCM_vKEN_sKA">#REF!</definedName>
    <definedName name="UCM_vKEN_sKA_bDOK" localSheetId="1">#REF!</definedName>
    <definedName name="UCM_vKEN_sKA_bDOK">#REF!</definedName>
    <definedName name="UCM_vKEN_sKA_PDS" localSheetId="1">#REF!</definedName>
    <definedName name="UCM_vKEN_sKA_PDS">#REF!</definedName>
    <definedName name="UCM_vKPN_aiDOK" localSheetId="1">#REF!</definedName>
    <definedName name="UCM_vKPN_aiDOK">#REF!</definedName>
    <definedName name="UCM_vKPN_bKA" localSheetId="1">#REF!</definedName>
    <definedName name="UCM_vKPN_bKA">#REF!</definedName>
    <definedName name="UCM_vKPN_bKA_bDOK" localSheetId="1">#REF!</definedName>
    <definedName name="UCM_vKPN_bKA_bDOK">#REF!</definedName>
    <definedName name="UCM_vKPN_bKA_PDS" localSheetId="1">#REF!</definedName>
    <definedName name="UCM_vKPN_bKA_PDS">#REF!</definedName>
    <definedName name="UCM_vKPN_sKA" localSheetId="1">#REF!</definedName>
    <definedName name="UCM_vKPN_sKA">#REF!</definedName>
    <definedName name="UCM_vKPN_sKA_bDOK" localSheetId="1">#REF!</definedName>
    <definedName name="UCM_vKPN_sKA_bDOK">#REF!</definedName>
    <definedName name="UCM_vKPN_sKA_PDS" localSheetId="1">#REF!</definedName>
    <definedName name="UCM_vKPN_sKA_PDS">#REF!</definedName>
    <definedName name="Ue">#REF!</definedName>
    <definedName name="Uj">#REF!</definedName>
    <definedName name="UK_paiDOK2000" localSheetId="1">#REF!</definedName>
    <definedName name="UK_paiDOK2000">#REF!</definedName>
    <definedName name="UK_pD2001_DS_bKA" localSheetId="1">#REF!</definedName>
    <definedName name="UK_pD2001_DS_bKA">#REF!</definedName>
    <definedName name="UK_pP2000_DS_bKA" localSheetId="1">#REF!</definedName>
    <definedName name="UK_pP2000_DS_bKA">#REF!</definedName>
    <definedName name="UK_pP2001_DS_bKA" localSheetId="1">#REF!</definedName>
    <definedName name="UK_pP2001_DS_bKA">#REF!</definedName>
    <definedName name="UK_pP2001_DS_sKA" localSheetId="1">#REF!</definedName>
    <definedName name="UK_pP2001_DS_sKA">#REF!</definedName>
    <definedName name="UK_ppa2000_bDOK" localSheetId="1">#REF!</definedName>
    <definedName name="UK_ppa2000_bDOK">#REF!</definedName>
    <definedName name="UK_pps_bKA" localSheetId="1">#REF!</definedName>
    <definedName name="UK_pps_bKA">#REF!</definedName>
    <definedName name="UK_pps_bKA_bDOK" localSheetId="1">#REF!</definedName>
    <definedName name="UK_pps_bKA_bDOK">#REF!</definedName>
    <definedName name="UK_pps_sKA" localSheetId="1">#REF!</definedName>
    <definedName name="UK_pps_sKA">#REF!</definedName>
    <definedName name="UK_pps_sKA_bDOK" localSheetId="1">#REF!</definedName>
    <definedName name="UK_pps_sKA_bDOK">#REF!</definedName>
    <definedName name="UK_vKEN_aiDOK" localSheetId="1">#REF!</definedName>
    <definedName name="UK_vKEN_aiDOK">#REF!</definedName>
    <definedName name="UK_vKEN_bKA" localSheetId="1">#REF!</definedName>
    <definedName name="UK_vKEN_bKA">#REF!</definedName>
    <definedName name="UK_vKEN_bKA_bDOK" localSheetId="1">#REF!</definedName>
    <definedName name="UK_vKEN_bKA_bDOK">#REF!</definedName>
    <definedName name="UK_vKEN_bKA_PDS" localSheetId="1">#REF!</definedName>
    <definedName name="UK_vKEN_bKA_PDS">#REF!</definedName>
    <definedName name="UK_vKEN_sKA" localSheetId="1">#REF!</definedName>
    <definedName name="UK_vKEN_sKA">#REF!</definedName>
    <definedName name="UK_vKEN_sKA_bDOK" localSheetId="1">#REF!</definedName>
    <definedName name="UK_vKEN_sKA_bDOK">#REF!</definedName>
    <definedName name="UK_vKEN_sKA_PDS" localSheetId="1">#REF!</definedName>
    <definedName name="UK_vKEN_sKA_PDS">#REF!</definedName>
    <definedName name="UK_vKPN_aiDOK" localSheetId="1">#REF!</definedName>
    <definedName name="UK_vKPN_aiDOK">#REF!</definedName>
    <definedName name="UK_vKPN_bKA" localSheetId="1">#REF!</definedName>
    <definedName name="UK_vKPN_bKA">#REF!</definedName>
    <definedName name="UK_vKPN_bKA_bDOK" localSheetId="1">#REF!</definedName>
    <definedName name="UK_vKPN_bKA_bDOK">#REF!</definedName>
    <definedName name="UK_vKPN_bKA_PDS" localSheetId="1">#REF!</definedName>
    <definedName name="UK_vKPN_bKA_PDS">#REF!</definedName>
    <definedName name="UK_vKPN_sKA" localSheetId="1">#REF!</definedName>
    <definedName name="UK_vKPN_sKA">#REF!</definedName>
    <definedName name="UK_vKPN_sKA_bDOK" localSheetId="1">#REF!</definedName>
    <definedName name="UK_vKPN_sKA_bDOK">#REF!</definedName>
    <definedName name="UK_vKPN_sKA_PDS" localSheetId="1">#REF!</definedName>
    <definedName name="UK_vKPN_sKA_PDS">#REF!</definedName>
    <definedName name="UKF_paiDOK2000" localSheetId="1">#REF!</definedName>
    <definedName name="UKF_paiDOK2000">#REF!</definedName>
    <definedName name="UKF_pD2001_DS_bKA" localSheetId="1">#REF!</definedName>
    <definedName name="UKF_pD2001_DS_bKA">#REF!</definedName>
    <definedName name="UKF_pP2000_DS_bKA" localSheetId="1">#REF!</definedName>
    <definedName name="UKF_pP2000_DS_bKA">#REF!</definedName>
    <definedName name="UKF_pP2001_DS_bKA" localSheetId="1">#REF!</definedName>
    <definedName name="UKF_pP2001_DS_bKA">#REF!</definedName>
    <definedName name="UKF_pP2001_DS_sKA" localSheetId="1">#REF!</definedName>
    <definedName name="UKF_pP2001_DS_sKA">#REF!</definedName>
    <definedName name="UKF_ppa2000_bDOK" localSheetId="1">#REF!</definedName>
    <definedName name="UKF_ppa2000_bDOK">#REF!</definedName>
    <definedName name="UKF_pps_bKA" localSheetId="1">#REF!</definedName>
    <definedName name="UKF_pps_bKA">#REF!</definedName>
    <definedName name="UKF_pps_bKA_bDOK" localSheetId="1">#REF!</definedName>
    <definedName name="UKF_pps_bKA_bDOK">#REF!</definedName>
    <definedName name="UKF_pps_sKA" localSheetId="1">#REF!</definedName>
    <definedName name="UKF_pps_sKA">#REF!</definedName>
    <definedName name="UKF_pps_sKA_bDOK" localSheetId="1">#REF!</definedName>
    <definedName name="UKF_pps_sKA_bDOK">#REF!</definedName>
    <definedName name="UKF_vKEN_aiDOK" localSheetId="1">#REF!</definedName>
    <definedName name="UKF_vKEN_aiDOK">#REF!</definedName>
    <definedName name="UKF_vKEN_bKA" localSheetId="1">#REF!</definedName>
    <definedName name="UKF_vKEN_bKA">#REF!</definedName>
    <definedName name="UKF_vKEN_bKA_bDOK" localSheetId="1">#REF!</definedName>
    <definedName name="UKF_vKEN_bKA_bDOK">#REF!</definedName>
    <definedName name="UKF_vKEN_bKA_PDS" localSheetId="1">#REF!</definedName>
    <definedName name="UKF_vKEN_bKA_PDS">#REF!</definedName>
    <definedName name="UKF_vKEN_sKA" localSheetId="1">#REF!</definedName>
    <definedName name="UKF_vKEN_sKA">#REF!</definedName>
    <definedName name="UKF_vKEN_sKA_bDOK" localSheetId="1">#REF!</definedName>
    <definedName name="UKF_vKEN_sKA_bDOK">#REF!</definedName>
    <definedName name="UKF_vKEN_sKA_PDS" localSheetId="1">#REF!</definedName>
    <definedName name="UKF_vKEN_sKA_PDS">#REF!</definedName>
    <definedName name="UKF_vKPN_aiDOK" localSheetId="1">#REF!</definedName>
    <definedName name="UKF_vKPN_aiDOK">#REF!</definedName>
    <definedName name="UKF_vKPN_bKA" localSheetId="1">#REF!</definedName>
    <definedName name="UKF_vKPN_bKA">#REF!</definedName>
    <definedName name="UKF_vKPN_bKA_bDOK" localSheetId="1">#REF!</definedName>
    <definedName name="UKF_vKPN_bKA_bDOK">#REF!</definedName>
    <definedName name="UKF_vKPN_bKA_PDS" localSheetId="1">#REF!</definedName>
    <definedName name="UKF_vKPN_bKA_PDS">#REF!</definedName>
    <definedName name="UKF_vKPN_sKA" localSheetId="1">#REF!</definedName>
    <definedName name="UKF_vKPN_sKA">#REF!</definedName>
    <definedName name="UKF_vKPN_sKA_bDOK" localSheetId="1">#REF!</definedName>
    <definedName name="UKF_vKPN_sKA_bDOK">#REF!</definedName>
    <definedName name="UKF_vKPN_sKA_PDS" localSheetId="1">#REF!</definedName>
    <definedName name="UKF_vKPN_sKA_PDS">#REF!</definedName>
    <definedName name="Um">#REF!</definedName>
    <definedName name="UMB_paiDOK2000" localSheetId="1">#REF!</definedName>
    <definedName name="UMB_paiDOK2000">#REF!</definedName>
    <definedName name="UMB_pD2001_DS_bKA" localSheetId="1">#REF!</definedName>
    <definedName name="UMB_pD2001_DS_bKA">#REF!</definedName>
    <definedName name="UMB_pP2000_DS_bKA" localSheetId="1">#REF!</definedName>
    <definedName name="UMB_pP2000_DS_bKA">#REF!</definedName>
    <definedName name="UMB_pP2001_DS_bKA" localSheetId="1">#REF!</definedName>
    <definedName name="UMB_pP2001_DS_bKA">#REF!</definedName>
    <definedName name="UMB_pP2001_DS_sKA" localSheetId="1">#REF!</definedName>
    <definedName name="UMB_pP2001_DS_sKA">#REF!</definedName>
    <definedName name="UMB_ppa2000_bDOK" localSheetId="1">#REF!</definedName>
    <definedName name="UMB_ppa2000_bDOK">#REF!</definedName>
    <definedName name="UMB_pps_bKA" localSheetId="1">#REF!</definedName>
    <definedName name="UMB_pps_bKA">#REF!</definedName>
    <definedName name="UMB_pps_bKA_bDOK" localSheetId="1">#REF!</definedName>
    <definedName name="UMB_pps_bKA_bDOK">#REF!</definedName>
    <definedName name="UMB_pps_sKA" localSheetId="1">#REF!</definedName>
    <definedName name="UMB_pps_sKA">#REF!</definedName>
    <definedName name="UMB_pps_sKA_bDOK" localSheetId="1">#REF!</definedName>
    <definedName name="UMB_pps_sKA_bDOK">#REF!</definedName>
    <definedName name="UMB_vKEN_aiDOK" localSheetId="1">#REF!</definedName>
    <definedName name="UMB_vKEN_aiDOK">#REF!</definedName>
    <definedName name="UMB_vKEN_bKA" localSheetId="1">#REF!</definedName>
    <definedName name="UMB_vKEN_bKA">#REF!</definedName>
    <definedName name="UMB_vKEN_bKA_bDOK" localSheetId="1">#REF!</definedName>
    <definedName name="UMB_vKEN_bKA_bDOK">#REF!</definedName>
    <definedName name="UMB_vKEN_bKA_PDS" localSheetId="1">#REF!</definedName>
    <definedName name="UMB_vKEN_bKA_PDS">#REF!</definedName>
    <definedName name="UMB_vKEN_sKA" localSheetId="1">#REF!</definedName>
    <definedName name="UMB_vKEN_sKA">#REF!</definedName>
    <definedName name="UMB_vKEN_sKA_bDOK" localSheetId="1">#REF!</definedName>
    <definedName name="UMB_vKEN_sKA_bDOK">#REF!</definedName>
    <definedName name="UMB_vKEN_sKA_PDS" localSheetId="1">#REF!</definedName>
    <definedName name="UMB_vKEN_sKA_PDS">#REF!</definedName>
    <definedName name="UMB_vKPN_aiDOK" localSheetId="1">#REF!</definedName>
    <definedName name="UMB_vKPN_aiDOK">#REF!</definedName>
    <definedName name="UMB_vKPN_bKA" localSheetId="1">#REF!</definedName>
    <definedName name="UMB_vKPN_bKA">#REF!</definedName>
    <definedName name="UMB_vKPN_bKA_bDOK" localSheetId="1">#REF!</definedName>
    <definedName name="UMB_vKPN_bKA_bDOK">#REF!</definedName>
    <definedName name="UMB_vKPN_bKA_PDS" localSheetId="1">#REF!</definedName>
    <definedName name="UMB_vKPN_bKA_PDS">#REF!</definedName>
    <definedName name="UMB_vKPN_sKA" localSheetId="1">#REF!</definedName>
    <definedName name="UMB_vKPN_sKA">#REF!</definedName>
    <definedName name="UMB_vKPN_sKA_bDOK" localSheetId="1">#REF!</definedName>
    <definedName name="UMB_vKPN_sKA_bDOK">#REF!</definedName>
    <definedName name="UMB_vKPN_sKA_PDS" localSheetId="1">#REF!</definedName>
    <definedName name="UMB_vKPN_sKA_PDS">#REF!</definedName>
    <definedName name="UPJS_paiDOK2000" localSheetId="1">#REF!</definedName>
    <definedName name="UPJS_paiDOK2000">#REF!</definedName>
    <definedName name="UPJS_pD2001_DS_bKA" localSheetId="1">#REF!</definedName>
    <definedName name="UPJS_pD2001_DS_bKA">#REF!</definedName>
    <definedName name="UPJS_pP2000_DS_bKA" localSheetId="1">#REF!</definedName>
    <definedName name="UPJS_pP2000_DS_bKA">#REF!</definedName>
    <definedName name="UPJS_pP2001_DS_bKA" localSheetId="1">#REF!</definedName>
    <definedName name="UPJS_pP2001_DS_bKA">#REF!</definedName>
    <definedName name="UPJS_pP2001_DS_sKA" localSheetId="1">#REF!</definedName>
    <definedName name="UPJS_pP2001_DS_sKA">#REF!</definedName>
    <definedName name="UPJS_ppa2000_bDOK" localSheetId="1">#REF!</definedName>
    <definedName name="UPJS_ppa2000_bDOK">#REF!</definedName>
    <definedName name="UPJS_pps_bKA" localSheetId="1">#REF!</definedName>
    <definedName name="UPJS_pps_bKA">#REF!</definedName>
    <definedName name="UPJS_pps_bKA_bDOK" localSheetId="1">#REF!</definedName>
    <definedName name="UPJS_pps_bKA_bDOK">#REF!</definedName>
    <definedName name="UPJS_pps_sKA" localSheetId="1">#REF!</definedName>
    <definedName name="UPJS_pps_sKA">#REF!</definedName>
    <definedName name="UPJS_pps_sKA_bDOK" localSheetId="1">#REF!</definedName>
    <definedName name="UPJS_pps_sKA_bDOK">#REF!</definedName>
    <definedName name="UPJS_vKEN_aiDOK" localSheetId="1">#REF!</definedName>
    <definedName name="UPJS_vKEN_aiDOK">#REF!</definedName>
    <definedName name="UPJS_vKEN_bKA" localSheetId="1">#REF!</definedName>
    <definedName name="UPJS_vKEN_bKA">#REF!</definedName>
    <definedName name="UPJS_vKEN_bKA_bDOK" localSheetId="1">#REF!</definedName>
    <definedName name="UPJS_vKEN_bKA_bDOK">#REF!</definedName>
    <definedName name="UPJS_vKEN_bKA_PDS" localSheetId="1">#REF!</definedName>
    <definedName name="UPJS_vKEN_bKA_PDS">#REF!</definedName>
    <definedName name="UPJS_vKEN_sKA" localSheetId="1">#REF!</definedName>
    <definedName name="UPJS_vKEN_sKA">#REF!</definedName>
    <definedName name="UPJS_vKEN_sKA_bDOK" localSheetId="1">#REF!</definedName>
    <definedName name="UPJS_vKEN_sKA_bDOK">#REF!</definedName>
    <definedName name="UPJS_vKEN_sKA_PDS" localSheetId="1">#REF!</definedName>
    <definedName name="UPJS_vKEN_sKA_PDS">#REF!</definedName>
    <definedName name="UPJS_vKPN_aiDOK" localSheetId="1">#REF!</definedName>
    <definedName name="UPJS_vKPN_aiDOK">#REF!</definedName>
    <definedName name="UPJS_vKPN_bKA" localSheetId="1">#REF!</definedName>
    <definedName name="UPJS_vKPN_bKA">#REF!</definedName>
    <definedName name="UPJS_vKPN_bKA_bDOK" localSheetId="1">#REF!</definedName>
    <definedName name="UPJS_vKPN_bKA_bDOK">#REF!</definedName>
    <definedName name="UPJS_vKPN_bKA_PDS" localSheetId="1">#REF!</definedName>
    <definedName name="UPJS_vKPN_bKA_PDS">#REF!</definedName>
    <definedName name="UPJS_vKPN_sKA" localSheetId="1">#REF!</definedName>
    <definedName name="UPJS_vKPN_sKA">#REF!</definedName>
    <definedName name="UPJS_vKPN_sKA_bDOK" localSheetId="1">#REF!</definedName>
    <definedName name="UPJS_vKPN_sKA_bDOK">#REF!</definedName>
    <definedName name="UPJS_vKPN_sKA_PDS" localSheetId="1">#REF!</definedName>
    <definedName name="UPJS_vKPN_sKA_PDS">#REF!</definedName>
    <definedName name="Uv">#REF!</definedName>
    <definedName name="UVL_paiDOK2000" localSheetId="1">#REF!</definedName>
    <definedName name="UVL_paiDOK2000">#REF!</definedName>
    <definedName name="UVL_pD2001_DS_bKA" localSheetId="1">#REF!</definedName>
    <definedName name="UVL_pD2001_DS_bKA">#REF!</definedName>
    <definedName name="UVL_pP2000_DS_bKA" localSheetId="1">#REF!</definedName>
    <definedName name="UVL_pP2000_DS_bKA">#REF!</definedName>
    <definedName name="UVL_pP2001_DS_bKA" localSheetId="1">#REF!</definedName>
    <definedName name="UVL_pP2001_DS_bKA">#REF!</definedName>
    <definedName name="UVL_pP2001_DS_sKA" localSheetId="1">#REF!</definedName>
    <definedName name="UVL_pP2001_DS_sKA">#REF!</definedName>
    <definedName name="UVL_ppa2000_bDOK" localSheetId="1">#REF!</definedName>
    <definedName name="UVL_ppa2000_bDOK">#REF!</definedName>
    <definedName name="UVL_pps_bKA" localSheetId="1">#REF!</definedName>
    <definedName name="UVL_pps_bKA">#REF!</definedName>
    <definedName name="UVL_pps_bKA_bDOK" localSheetId="1">#REF!</definedName>
    <definedName name="UVL_pps_bKA_bDOK">#REF!</definedName>
    <definedName name="UVL_pps_sKA" localSheetId="1">#REF!</definedName>
    <definedName name="UVL_pps_sKA">#REF!</definedName>
    <definedName name="UVL_pps_sKA_bDOK" localSheetId="1">#REF!</definedName>
    <definedName name="UVL_pps_sKA_bDOK">#REF!</definedName>
    <definedName name="UVL_vKEN_aiDOK" localSheetId="1">#REF!</definedName>
    <definedName name="UVL_vKEN_aiDOK">#REF!</definedName>
    <definedName name="UVL_vKEN_bKA" localSheetId="1">#REF!</definedName>
    <definedName name="UVL_vKEN_bKA">#REF!</definedName>
    <definedName name="UVL_vKEN_bKA_bDOK" localSheetId="1">#REF!</definedName>
    <definedName name="UVL_vKEN_bKA_bDOK">#REF!</definedName>
    <definedName name="UVL_vKEN_bKA_PDS" localSheetId="1">#REF!</definedName>
    <definedName name="UVL_vKEN_bKA_PDS">#REF!</definedName>
    <definedName name="UVL_vKEN_sKA" localSheetId="1">#REF!</definedName>
    <definedName name="UVL_vKEN_sKA">#REF!</definedName>
    <definedName name="UVL_vKEN_sKA_bDOK" localSheetId="1">#REF!</definedName>
    <definedName name="UVL_vKEN_sKA_bDOK">#REF!</definedName>
    <definedName name="UVL_vKEN_sKA_PDS" localSheetId="1">#REF!</definedName>
    <definedName name="UVL_vKEN_sKA_PDS">#REF!</definedName>
    <definedName name="UVL_vKPN_aiDOK" localSheetId="1">#REF!</definedName>
    <definedName name="UVL_vKPN_aiDOK">#REF!</definedName>
    <definedName name="UVL_vKPN_bKA" localSheetId="1">#REF!</definedName>
    <definedName name="UVL_vKPN_bKA">#REF!</definedName>
    <definedName name="UVL_vKPN_bKA_bDOK" localSheetId="1">#REF!</definedName>
    <definedName name="UVL_vKPN_bKA_bDOK">#REF!</definedName>
    <definedName name="UVL_vKPN_bKA_PDS" localSheetId="1">#REF!</definedName>
    <definedName name="UVL_vKPN_bKA_PDS">#REF!</definedName>
    <definedName name="UVL_vKPN_sKA" localSheetId="1">#REF!</definedName>
    <definedName name="UVL_vKPN_sKA">#REF!</definedName>
    <definedName name="UVL_vKPN_sKA_bDOK" localSheetId="1">#REF!</definedName>
    <definedName name="UVL_vKPN_sKA_bDOK">#REF!</definedName>
    <definedName name="UVL_vKPN_sKA_PDS" localSheetId="1">#REF!</definedName>
    <definedName name="UVL_vKPN_sKA_PDS">#REF!</definedName>
    <definedName name="vbn" localSheetId="1">'[4]Pr-6'!#REF!</definedName>
    <definedName name="vbn" localSheetId="0">'[5]Pr-6'!#REF!</definedName>
    <definedName name="vbn">'[5]Pr-6'!#REF!</definedName>
    <definedName name="VSMU_paiDOK2000" localSheetId="1">#REF!</definedName>
    <definedName name="VSMU_paiDOK2000">#REF!</definedName>
    <definedName name="VSMU_pD2001_DS_bKA" localSheetId="1">#REF!</definedName>
    <definedName name="VSMU_pD2001_DS_bKA">#REF!</definedName>
    <definedName name="VSMU_pP2000_DS_bKA" localSheetId="1">#REF!</definedName>
    <definedName name="VSMU_pP2000_DS_bKA">#REF!</definedName>
    <definedName name="VSMU_pP2001_DS_bKA" localSheetId="1">#REF!</definedName>
    <definedName name="VSMU_pP2001_DS_bKA">#REF!</definedName>
    <definedName name="VSMU_pP2001_DS_sKA" localSheetId="1">#REF!</definedName>
    <definedName name="VSMU_pP2001_DS_sKA">#REF!</definedName>
    <definedName name="VSMU_ppa2000_bDOK" localSheetId="1">#REF!</definedName>
    <definedName name="VSMU_ppa2000_bDOK">#REF!</definedName>
    <definedName name="VSMU_pps_bKA" localSheetId="1">#REF!</definedName>
    <definedName name="VSMU_pps_bKA">#REF!</definedName>
    <definedName name="VSMU_pps_bKA_bDOK" localSheetId="1">#REF!</definedName>
    <definedName name="VSMU_pps_bKA_bDOK">#REF!</definedName>
    <definedName name="VSMU_pps_sKA" localSheetId="1">#REF!</definedName>
    <definedName name="VSMU_pps_sKA">#REF!</definedName>
    <definedName name="VSMU_pps_sKA_bDOK" localSheetId="1">#REF!</definedName>
    <definedName name="VSMU_pps_sKA_bDOK">#REF!</definedName>
    <definedName name="VSMU_vKEN_aiDOK" localSheetId="1">#REF!</definedName>
    <definedName name="VSMU_vKEN_aiDOK">#REF!</definedName>
    <definedName name="VSMU_vKEN_bKA" localSheetId="1">#REF!</definedName>
    <definedName name="VSMU_vKEN_bKA">#REF!</definedName>
    <definedName name="VSMU_vKEN_bKA_bDOK" localSheetId="1">#REF!</definedName>
    <definedName name="VSMU_vKEN_bKA_bDOK">#REF!</definedName>
    <definedName name="VSMU_vKEN_bKA_PDS" localSheetId="1">#REF!</definedName>
    <definedName name="VSMU_vKEN_bKA_PDS">#REF!</definedName>
    <definedName name="VSMU_vKEN_sKA" localSheetId="1">#REF!</definedName>
    <definedName name="VSMU_vKEN_sKA">#REF!</definedName>
    <definedName name="VSMU_vKEN_sKA_bDOK" localSheetId="1">#REF!</definedName>
    <definedName name="VSMU_vKEN_sKA_bDOK">#REF!</definedName>
    <definedName name="VSMU_vKEN_sKA_PDS" localSheetId="1">#REF!</definedName>
    <definedName name="VSMU_vKEN_sKA_PDS">#REF!</definedName>
    <definedName name="VSMU_vKPN_aiDOK" localSheetId="1">#REF!</definedName>
    <definedName name="VSMU_vKPN_aiDOK">#REF!</definedName>
    <definedName name="VSMU_vKPN_bKA" localSheetId="1">#REF!</definedName>
    <definedName name="VSMU_vKPN_bKA">#REF!</definedName>
    <definedName name="VSMU_vKPN_bKA_bDOK" localSheetId="1">#REF!</definedName>
    <definedName name="VSMU_vKPN_bKA_bDOK">#REF!</definedName>
    <definedName name="VSMU_vKPN_bKA_PDS" localSheetId="1">#REF!</definedName>
    <definedName name="VSMU_vKPN_bKA_PDS">#REF!</definedName>
    <definedName name="VSMU_vKPN_sKA" localSheetId="1">#REF!</definedName>
    <definedName name="VSMU_vKPN_sKA">#REF!</definedName>
    <definedName name="VSMU_vKPN_sKA_bDOK" localSheetId="1">#REF!</definedName>
    <definedName name="VSMU_vKPN_sKA_bDOK">#REF!</definedName>
    <definedName name="VSMU_vKPN_sKA_PDS" localSheetId="1">#REF!</definedName>
    <definedName name="VSMU_vKPN_sKA_PDS">#REF!</definedName>
    <definedName name="VSVU_paiDOK2000" localSheetId="1">#REF!</definedName>
    <definedName name="VSVU_paiDOK2000">#REF!</definedName>
    <definedName name="VSVU_pD2001_DS_bKA" localSheetId="1">#REF!</definedName>
    <definedName name="VSVU_pD2001_DS_bKA">#REF!</definedName>
    <definedName name="VSVU_pP2000_DS_bKA" localSheetId="1">#REF!</definedName>
    <definedName name="VSVU_pP2000_DS_bKA">#REF!</definedName>
    <definedName name="VSVU_pP2001_DS_bKA" localSheetId="1">#REF!</definedName>
    <definedName name="VSVU_pP2001_DS_bKA">#REF!</definedName>
    <definedName name="VSVU_pP2001_DS_sKA" localSheetId="1">#REF!</definedName>
    <definedName name="VSVU_pP2001_DS_sKA">#REF!</definedName>
    <definedName name="VSVU_ppa2000_bDOK" localSheetId="1">#REF!</definedName>
    <definedName name="VSVU_ppa2000_bDOK">#REF!</definedName>
    <definedName name="VSVU_pps_bKA" localSheetId="1">#REF!</definedName>
    <definedName name="VSVU_pps_bKA">#REF!</definedName>
    <definedName name="VSVU_pps_bKA_bDOK" localSheetId="1">#REF!</definedName>
    <definedName name="VSVU_pps_bKA_bDOK">#REF!</definedName>
    <definedName name="VSVU_pps_sKA" localSheetId="1">#REF!</definedName>
    <definedName name="VSVU_pps_sKA">#REF!</definedName>
    <definedName name="VSVU_pps_sKA_bDOK" localSheetId="1">#REF!</definedName>
    <definedName name="VSVU_pps_sKA_bDOK">#REF!</definedName>
    <definedName name="VSVU_vKEN_aiDOK" localSheetId="1">#REF!</definedName>
    <definedName name="VSVU_vKEN_aiDOK">#REF!</definedName>
    <definedName name="VSVU_vKEN_bKA" localSheetId="1">#REF!</definedName>
    <definedName name="VSVU_vKEN_bKA">#REF!</definedName>
    <definedName name="VSVU_vKEN_bKA_bDOK" localSheetId="1">#REF!</definedName>
    <definedName name="VSVU_vKEN_bKA_bDOK">#REF!</definedName>
    <definedName name="VSVU_vKEN_bKA_PDS" localSheetId="1">#REF!</definedName>
    <definedName name="VSVU_vKEN_bKA_PDS">#REF!</definedName>
    <definedName name="VSVU_vKEN_sKA" localSheetId="1">#REF!</definedName>
    <definedName name="VSVU_vKEN_sKA">#REF!</definedName>
    <definedName name="VSVU_vKEN_sKA_bDOK" localSheetId="1">#REF!</definedName>
    <definedName name="VSVU_vKEN_sKA_bDOK">#REF!</definedName>
    <definedName name="VSVU_vKEN_sKA_PDS" localSheetId="1">#REF!</definedName>
    <definedName name="VSVU_vKEN_sKA_PDS">#REF!</definedName>
    <definedName name="VSVU_vKPN_aiDOK" localSheetId="1">#REF!</definedName>
    <definedName name="VSVU_vKPN_aiDOK">#REF!</definedName>
    <definedName name="VSVU_vKPN_bKA" localSheetId="1">#REF!</definedName>
    <definedName name="VSVU_vKPN_bKA">#REF!</definedName>
    <definedName name="VSVU_vKPN_bKA_bDOK" localSheetId="1">#REF!</definedName>
    <definedName name="VSVU_vKPN_bKA_bDOK">#REF!</definedName>
    <definedName name="VSVU_vKPN_bKA_PDS" localSheetId="1">#REF!</definedName>
    <definedName name="VSVU_vKPN_bKA_PDS">#REF!</definedName>
    <definedName name="VSVU_vKPN_sKA" localSheetId="1">#REF!</definedName>
    <definedName name="VSVU_vKPN_sKA">#REF!</definedName>
    <definedName name="VSVU_vKPN_sKA_bDOK" localSheetId="1">#REF!</definedName>
    <definedName name="VSVU_vKPN_sKA_bDOK">#REF!</definedName>
    <definedName name="VSVU_vKPN_sKA_PDS" localSheetId="1">#REF!</definedName>
    <definedName name="VSVU_vKPN_sKA_PDS">#REF!</definedName>
    <definedName name="x">#REF!</definedName>
    <definedName name="xxxxxxxxxxxx">#REF!</definedName>
    <definedName name="ZMI">'[21]priplatky20'!$K$7</definedName>
    <definedName name="ZMII">'[21]priplatky20'!$L$7</definedName>
    <definedName name="ZU_paiDOK2000" localSheetId="1">#REF!</definedName>
    <definedName name="ZU_paiDOK2000">#REF!</definedName>
    <definedName name="ZU_pD2001_DS_bKA" localSheetId="1">#REF!</definedName>
    <definedName name="ZU_pD2001_DS_bKA">#REF!</definedName>
    <definedName name="ZU_pP2000_DS_bKA" localSheetId="1">#REF!</definedName>
    <definedName name="ZU_pP2000_DS_bKA">#REF!</definedName>
    <definedName name="ZU_pP2001_DS_bKA" localSheetId="1">#REF!</definedName>
    <definedName name="ZU_pP2001_DS_bKA">#REF!</definedName>
    <definedName name="ZU_pP2001_DS_sKA" localSheetId="1">#REF!</definedName>
    <definedName name="ZU_pP2001_DS_sKA">#REF!</definedName>
    <definedName name="ZU_ppa2000_bDOK" localSheetId="1">#REF!</definedName>
    <definedName name="ZU_ppa2000_bDOK">#REF!</definedName>
    <definedName name="ZU_pps_bKA" localSheetId="1">#REF!</definedName>
    <definedName name="ZU_pps_bKA">#REF!</definedName>
    <definedName name="ZU_pps_bKA_bDOK" localSheetId="1">#REF!</definedName>
    <definedName name="ZU_pps_bKA_bDOK">#REF!</definedName>
    <definedName name="ZU_pps_sKA" localSheetId="1">#REF!</definedName>
    <definedName name="ZU_pps_sKA">#REF!</definedName>
    <definedName name="ZU_pps_sKA_bDOK" localSheetId="1">#REF!</definedName>
    <definedName name="ZU_pps_sKA_bDOK">#REF!</definedName>
    <definedName name="ZU_vKEN_aiDOK" localSheetId="1">#REF!</definedName>
    <definedName name="ZU_vKEN_aiDOK">#REF!</definedName>
    <definedName name="ZU_vKEN_bKA" localSheetId="1">#REF!</definedName>
    <definedName name="ZU_vKEN_bKA">#REF!</definedName>
    <definedName name="ZU_vKEN_bKA_bDOK" localSheetId="1">#REF!</definedName>
    <definedName name="ZU_vKEN_bKA_bDOK">#REF!</definedName>
    <definedName name="ZU_vKEN_bKA_PDS" localSheetId="1">#REF!</definedName>
    <definedName name="ZU_vKEN_bKA_PDS">#REF!</definedName>
    <definedName name="ZU_vKEN_sKA" localSheetId="1">#REF!</definedName>
    <definedName name="ZU_vKEN_sKA">#REF!</definedName>
    <definedName name="ZU_vKEN_sKA_bDOK" localSheetId="1">#REF!</definedName>
    <definedName name="ZU_vKEN_sKA_bDOK">#REF!</definedName>
    <definedName name="ZU_vKEN_sKA_PDS" localSheetId="1">#REF!</definedName>
    <definedName name="ZU_vKEN_sKA_PDS">#REF!</definedName>
    <definedName name="ZU_vKPN_aiDOK" localSheetId="1">#REF!</definedName>
    <definedName name="ZU_vKPN_aiDOK">#REF!</definedName>
    <definedName name="ZU_vKPN_bKA" localSheetId="1">#REF!</definedName>
    <definedName name="ZU_vKPN_bKA">#REF!</definedName>
    <definedName name="ZU_vKPN_bKA_bDOK" localSheetId="1">#REF!</definedName>
    <definedName name="ZU_vKPN_bKA_bDOK">#REF!</definedName>
    <definedName name="ZU_vKPN_bKA_PDS" localSheetId="1">#REF!</definedName>
    <definedName name="ZU_vKPN_bKA_PDS">#REF!</definedName>
    <definedName name="ZU_vKPN_sKA" localSheetId="1">#REF!</definedName>
    <definedName name="ZU_vKPN_sKA">#REF!</definedName>
    <definedName name="ZU_vKPN_sKA_bDOK" localSheetId="1">#REF!</definedName>
    <definedName name="ZU_vKPN_sKA_bDOK">#REF!</definedName>
    <definedName name="ZU_vKPN_sKA_PDS" localSheetId="1">#REF!</definedName>
    <definedName name="ZU_vKPN_sKA_PDS">#REF!</definedName>
  </definedNames>
  <calcPr fullCalcOnLoad="1"/>
</workbook>
</file>

<file path=xl/sharedStrings.xml><?xml version="1.0" encoding="utf-8"?>
<sst xmlns="http://schemas.openxmlformats.org/spreadsheetml/2006/main" count="349" uniqueCount="195">
  <si>
    <t>STU  s u m á r</t>
  </si>
  <si>
    <t>SvF</t>
  </si>
  <si>
    <t>SjF</t>
  </si>
  <si>
    <t>FEI</t>
  </si>
  <si>
    <t>FCHPT</t>
  </si>
  <si>
    <t>FA</t>
  </si>
  <si>
    <t>MtF</t>
  </si>
  <si>
    <t>FIIT</t>
  </si>
  <si>
    <t xml:space="preserve">UZ ŠDaJ </t>
  </si>
  <si>
    <t>UM</t>
  </si>
  <si>
    <t>R+CUP bez účelSTU</t>
  </si>
  <si>
    <t>účel STU*/</t>
  </si>
  <si>
    <t>S T U</t>
  </si>
  <si>
    <t>Bežné a kapitálové výdavky spolu</t>
  </si>
  <si>
    <t>Bežné výdavky spolu</t>
  </si>
  <si>
    <t>BV z toho: veda a výskum</t>
  </si>
  <si>
    <t xml:space="preserve">Program  077 </t>
  </si>
  <si>
    <t>Podprogram  07712 - veda a technika</t>
  </si>
  <si>
    <t>FR do 07711</t>
  </si>
  <si>
    <t>Podprogram  077 13 - rozvoj VŠ</t>
  </si>
  <si>
    <t>0771501 - sociálne štipendiá</t>
  </si>
  <si>
    <t>ÚZ ŠDaJ</t>
  </si>
  <si>
    <t>R+CUP</t>
  </si>
  <si>
    <t>Rezerva</t>
  </si>
  <si>
    <t>STU spolu</t>
  </si>
  <si>
    <t>P/PP</t>
  </si>
  <si>
    <t>07713</t>
  </si>
  <si>
    <t>interné úpravy dotácie mimo DZ:</t>
  </si>
  <si>
    <t>interné úpravy dotácie dľa DZ:</t>
  </si>
  <si>
    <t>štip.DrŠ-nové miesta-rez.</t>
  </si>
  <si>
    <t>úpravy - vzájomné výkony vo vzdel. MP</t>
  </si>
  <si>
    <t>úpravy- vzájomné výkony vo vzd. odvody</t>
  </si>
  <si>
    <t>presun mezi programami  - odvody</t>
  </si>
  <si>
    <t>presuny z Fondu rektora -odvody</t>
  </si>
  <si>
    <t>úpravy spolu</t>
  </si>
  <si>
    <t>úpravy spolu dľa DZ</t>
  </si>
  <si>
    <t xml:space="preserve">ÚPRAVY  DOTÁCIE  KAPITÁLOVÝCH  VÝDAVKOV  </t>
  </si>
  <si>
    <t xml:space="preserve">Upravená dotácia podľa DZ </t>
  </si>
  <si>
    <t xml:space="preserve">KEGA                            </t>
  </si>
  <si>
    <t xml:space="preserve">rozv.proj. Portál.riešenie VŠ                     </t>
  </si>
  <si>
    <t xml:space="preserve">rozv.proj. 5d                         </t>
  </si>
  <si>
    <t xml:space="preserve">rozv.proj. 5f                           </t>
  </si>
  <si>
    <t>príl. č. 2</t>
  </si>
  <si>
    <t>v €</t>
  </si>
  <si>
    <t>Podprogram 06K11 - APVV</t>
  </si>
  <si>
    <t>Podprogram 06K12- prierezové programy</t>
  </si>
  <si>
    <t>Podprogram 06K12</t>
  </si>
  <si>
    <t>Podprogram 06K0A02-štátne programy</t>
  </si>
  <si>
    <t>Podprogram 05T08 - zahr. štipendisti</t>
  </si>
  <si>
    <t>Podprogram 0210203 - proj. DAAD</t>
  </si>
  <si>
    <t>Kapitálové výdavky celkom</t>
  </si>
  <si>
    <t>Kapitálové výdavky 077</t>
  </si>
  <si>
    <t>kontrola</t>
  </si>
  <si>
    <t>077 12 02 - VEGA</t>
  </si>
  <si>
    <t>077 12 05 - KEGA</t>
  </si>
  <si>
    <t xml:space="preserve">    077 11- odvody z miezd</t>
  </si>
  <si>
    <t xml:space="preserve">    077 11-TaS</t>
  </si>
  <si>
    <t xml:space="preserve">Podprogram  077 11 - VŠ vzdelávanie </t>
  </si>
  <si>
    <t xml:space="preserve">    077 11- mzdy</t>
  </si>
  <si>
    <t>Podprogram  077 15 - sociálne služby</t>
  </si>
  <si>
    <t>Úpravy po AS</t>
  </si>
  <si>
    <t>presuny z Fondu rektora -mzdy</t>
  </si>
  <si>
    <t>projekty APVV</t>
  </si>
  <si>
    <t>presun mezi programami  - TaS</t>
  </si>
  <si>
    <t>CUVTIS</t>
  </si>
  <si>
    <t>UZ Technik</t>
  </si>
  <si>
    <t>Vládni štipendisti</t>
  </si>
  <si>
    <t>06K 11</t>
  </si>
  <si>
    <t>prierezové projekty</t>
  </si>
  <si>
    <t>fond obnovy</t>
  </si>
  <si>
    <t>Nerozd.účel MŠ</t>
  </si>
  <si>
    <t>Know-how centrum</t>
  </si>
  <si>
    <t>Postdoktorandský program</t>
  </si>
  <si>
    <t xml:space="preserve">0771502 - motivačné štipendiá </t>
  </si>
  <si>
    <t>Schválená dotácia AS 2014</t>
  </si>
  <si>
    <t>k</t>
  </si>
  <si>
    <t>Nerozd.účel MŠ + fond obnovy</t>
  </si>
  <si>
    <t>05T 08</t>
  </si>
  <si>
    <t>021 02 03</t>
  </si>
  <si>
    <t>06K 12</t>
  </si>
  <si>
    <t>077 12 01</t>
  </si>
  <si>
    <t>077 11</t>
  </si>
  <si>
    <t>SIVVPP  energie</t>
  </si>
  <si>
    <t>v tom integrátori AIS, SIVVP</t>
  </si>
  <si>
    <t>UVP</t>
  </si>
  <si>
    <t>Fak.,UM,UVP spolu</t>
  </si>
  <si>
    <t>AS</t>
  </si>
  <si>
    <t>v tom FR</t>
  </si>
  <si>
    <t>činnosti vedeckej rady (Útvar vedy)</t>
  </si>
  <si>
    <t>súdne spory a poplatky</t>
  </si>
  <si>
    <t>Projektové stredisko</t>
  </si>
  <si>
    <t>0771502 - motivačné štipendiá pre vybrané štud. odbory</t>
  </si>
  <si>
    <t>projekty DAAD, vládne štipendiá</t>
  </si>
  <si>
    <t>Stuba Green Team</t>
  </si>
  <si>
    <t>0771201 - inštituc. veda spolu        v tom:</t>
  </si>
  <si>
    <t>mladý výskumník + excelentné tímy</t>
  </si>
  <si>
    <t>presun medzi súčasťami, VEGA</t>
  </si>
  <si>
    <t>presun mezi programami  - mzdy</t>
  </si>
  <si>
    <t xml:space="preserve">presun mezi programami </t>
  </si>
  <si>
    <t>/v zmysle Dotačnej zmluvy/prerozdelenie prostriedkov na šport</t>
  </si>
  <si>
    <t>presun medzi súčasťami, KEGA</t>
  </si>
  <si>
    <t>presuny z AS - mzdy</t>
  </si>
  <si>
    <t>presuny z AS - odvody</t>
  </si>
  <si>
    <t>077 11 / 610</t>
  </si>
  <si>
    <t>077 11 / 620</t>
  </si>
  <si>
    <t>ÚPRAVY  DOTÁCIE  BEŽNÝCH  VÝDAVKOV  ROK 2020</t>
  </si>
  <si>
    <t>presun medzi súčasťami, APVV</t>
  </si>
  <si>
    <t>najlepšia publikácia, umelecký výkon</t>
  </si>
  <si>
    <t>Dodatok č. 1 - VEGA</t>
  </si>
  <si>
    <t>Dodatok č. 1 - KEGA</t>
  </si>
  <si>
    <t>077 12 02</t>
  </si>
  <si>
    <t>077 12 05</t>
  </si>
  <si>
    <t>úpravy v zmysle Smerice rektora č. 8/2017 /mzdy a odvody/</t>
  </si>
  <si>
    <t>Schválená dotácia 2020</t>
  </si>
  <si>
    <t>Valorizácia 2020</t>
  </si>
  <si>
    <t>Dopad val. od 1.9.19 na 8 mes.</t>
  </si>
  <si>
    <t>077 11 - Mzdy výkonové</t>
  </si>
  <si>
    <t xml:space="preserve">v tom: účel z Mš      </t>
  </si>
  <si>
    <t>v tom na podporu štud. so špecif. potr.</t>
  </si>
  <si>
    <t>materiálnotech. a org. zabezp. vzdelávacích činností pre STU (Útvar vzdelávania)</t>
  </si>
  <si>
    <t>zahr. SC vedenia STU, členské STU v medzinárodných org. EUA a  SEFI, zahr. aktivity STU - stretnutie rektorov 4TU, sieť pobalstkých univerzít, sieť dunajských univerzít (Útvar medzin.mobility štud).</t>
  </si>
  <si>
    <t>Inzercia, propag. Mat. STU, PR a med. porad., účasť STU na veľtrhoch a výstavách, monitor. médií, corp. identity, univ. akcie, prieskum verejnej mienky o STU. (Útvar práce s ver.)</t>
  </si>
  <si>
    <t>Vydavateľstvo SPEKTRUM STU</t>
  </si>
  <si>
    <t>VO Softvér (e-Biz)</t>
  </si>
  <si>
    <t>FO</t>
  </si>
  <si>
    <t>07712 - výkonové zložky</t>
  </si>
  <si>
    <t>Valorizácia VVZ na rok 2020</t>
  </si>
  <si>
    <t>Dopady val. od 1.9. na 8 mes.</t>
  </si>
  <si>
    <t>Zvýšenie DrŠ na 2020</t>
  </si>
  <si>
    <t>Dopady zvýš. DrŠ na 8 mes.</t>
  </si>
  <si>
    <t xml:space="preserve">Podpora tímov H2020 </t>
  </si>
  <si>
    <t>Špičkové výk. (karent 1Q)</t>
  </si>
  <si>
    <t>Špičkové tímy STU</t>
  </si>
  <si>
    <t>členstvo v KIC EIT (v r.2019 proj. EIT)</t>
  </si>
  <si>
    <t>Mladý výsk. a excelentné tímy</t>
  </si>
  <si>
    <t>Podpora štud. organizácií</t>
  </si>
  <si>
    <t>Centrum akademického športu</t>
  </si>
  <si>
    <t>Knižničné liciencie a databázy</t>
  </si>
  <si>
    <t>ANSIS, MATLAB, ARL, LabView, e-Porady</t>
  </si>
  <si>
    <t>CVT - upgrade hardvéru</t>
  </si>
  <si>
    <t>Podprogram 07715 03 spolu</t>
  </si>
  <si>
    <t>077 1503   ŠD spolu</t>
  </si>
  <si>
    <t>077 1503 - ŠD - mzdy</t>
  </si>
  <si>
    <t>077 1503 - ŠD - odvody</t>
  </si>
  <si>
    <t>077 1503 - ŠD - valorizácia</t>
  </si>
  <si>
    <t>0771503 - ŠD - valorizácia odvody</t>
  </si>
  <si>
    <t>077 1503 - ŠD - na ubyt. študentov</t>
  </si>
  <si>
    <t>077 1503- ŠD - na prevádzku</t>
  </si>
  <si>
    <t xml:space="preserve">077 1503 - strav. príspevok </t>
  </si>
  <si>
    <t>077 1503 - kultúra, šport</t>
  </si>
  <si>
    <t>InQb</t>
  </si>
  <si>
    <t>Vedec roka, naj. Publik. &amp; um.výkon roka</t>
  </si>
  <si>
    <t>077 15 03 / 0810</t>
  </si>
  <si>
    <t>úprava medzi programami CAŠ</t>
  </si>
  <si>
    <t>077 11 / 630</t>
  </si>
  <si>
    <t>úprava - ÚVP z roku 2019</t>
  </si>
  <si>
    <t>úprava prorektori rok 2020 - mzdy + odvody</t>
  </si>
  <si>
    <t>rozdelenie rezervy na univerzitné vedecké parky</t>
  </si>
  <si>
    <t>zmena zdroja na InQ</t>
  </si>
  <si>
    <t>presum FR - mzdy a odvody</t>
  </si>
  <si>
    <t>Dodatok č. 2 - Obnova existujúcich toaliet a rekonštrukcia zdravotníckych inštalácií a areálových sietí FA_077 11 _ RI 41494</t>
  </si>
  <si>
    <t>Dodatok č. 3 - VEGA</t>
  </si>
  <si>
    <t>Dodatok č. 3 - šport</t>
  </si>
  <si>
    <t>077 15 03</t>
  </si>
  <si>
    <t>Dodatok č. 4 - COVID-19_dopady pandémie</t>
  </si>
  <si>
    <t>Dodatok č. 6 - zúčtovanie motivačných odborových štipendií poskytnurých v roku 2019</t>
  </si>
  <si>
    <t>077 15 02</t>
  </si>
  <si>
    <t>Dodatok č. 5 - Komplexná rekonštrukcia izieb blokov A1-A4, ŠD Mladosť_RI 37403</t>
  </si>
  <si>
    <t>Dodatok č. 2 - Obnova existujúcich toaliet a rekonštrukcia zdravotníckych inštalácií a areálových sietí FA- RI 41494 /zdroj 131J/</t>
  </si>
  <si>
    <t>Projekty APVV - COVID 19</t>
  </si>
  <si>
    <t>APVV - COVID 19</t>
  </si>
  <si>
    <t>Dodatok č. 7 - rekreácie - účelová /1. - 9.2020/</t>
  </si>
  <si>
    <t>Dodatok č. 7 - rekreácie - účelová predpoklad</t>
  </si>
  <si>
    <t xml:space="preserve">077 11 </t>
  </si>
  <si>
    <t>úprava R STU-KnowHowCentrum</t>
  </si>
  <si>
    <t>077 15 01</t>
  </si>
  <si>
    <t>Dodatok č. 8 - COVID-19_dopady pandémie -presun mezi programami</t>
  </si>
  <si>
    <t>presun-rekreačné poukazy za 10.a11.mesiac</t>
  </si>
  <si>
    <t>Dodatok č. 8 - úprava stravného príspevku na zýáklade revítie k 31.10.2020</t>
  </si>
  <si>
    <t>Dodatok č. 9 - rozvojový projekt- HRS4R na DTU</t>
  </si>
  <si>
    <t>077 13</t>
  </si>
  <si>
    <t>Dodatok č. 9 - úprava soc.štipendií po revízii k 31.10.</t>
  </si>
  <si>
    <t>Dodatok č. 9 - dofinancovanie vzdelávacej činnosti</t>
  </si>
  <si>
    <t>Dodatok č. 9 - dofinancovanie výskumnej, vývojovej aumeleckej činnosti</t>
  </si>
  <si>
    <t>Súhrnná tabuľka o rozpise dotácie STU k  31.12.2020</t>
  </si>
  <si>
    <t>Dodatok č. 9 - rozvojový projekt- STU T6-podporné centrum pre študentov</t>
  </si>
  <si>
    <t>DOTÁCIE KV SPOLU k  31.12.2020</t>
  </si>
  <si>
    <t>interná žiadosť_dopady pandémie_presun mezi súčasťami</t>
  </si>
  <si>
    <t>DOTÁCIE BV SPOLU k  31.12.2020</t>
  </si>
  <si>
    <t xml:space="preserve">DOTÁCIE BV SPOLU PODĽA DZ   k 31.12.2020                             </t>
  </si>
  <si>
    <t>DOTÁCIE KV SPOLU PODĽA  DZ k 31.12.2020</t>
  </si>
  <si>
    <t>Upravená dotácia podľa DZ k 31.12.2020</t>
  </si>
  <si>
    <t>Dodatok č. 5 - Komplexná rekonštrukcia izieb blokov A1-A4, ŠD Mladosť /zdroj 111/, RI 37403</t>
  </si>
  <si>
    <t>FAD</t>
  </si>
  <si>
    <t>príl.č.1</t>
  </si>
</sst>
</file>

<file path=xl/styles.xml><?xml version="1.0" encoding="utf-8"?>
<styleSheet xmlns="http://schemas.openxmlformats.org/spreadsheetml/2006/main">
  <numFmts count="3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0"/>
    <numFmt numFmtId="181" formatCode="0.0"/>
    <numFmt numFmtId="182" formatCode="0.0000_ ;[Red]\-0.0000\ "/>
    <numFmt numFmtId="183" formatCode="0_ ;[Red]\-0\ "/>
    <numFmt numFmtId="184" formatCode="#,##0.000"/>
    <numFmt numFmtId="185" formatCode="#,##0.0000"/>
    <numFmt numFmtId="186" formatCode="#,##0.0"/>
    <numFmt numFmtId="187" formatCode="0.0000"/>
    <numFmt numFmtId="188" formatCode="#,##0.00000"/>
    <numFmt numFmtId="189" formatCode="#,##0.000000"/>
    <numFmt numFmtId="190" formatCode="#,##0.000000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4"/>
      <color indexed="4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57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10"/>
      <color indexed="10"/>
      <name val="Arial CE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10"/>
      <color indexed="57"/>
      <name val="Arial CE"/>
      <family val="2"/>
    </font>
    <font>
      <sz val="10"/>
      <color indexed="10"/>
      <name val="Arial"/>
      <family val="2"/>
    </font>
    <font>
      <sz val="12"/>
      <name val="Arial CE"/>
      <family val="2"/>
    </font>
    <font>
      <i/>
      <sz val="10"/>
      <color indexed="48"/>
      <name val="Arial CE"/>
      <family val="2"/>
    </font>
    <font>
      <sz val="11"/>
      <color indexed="48"/>
      <name val="Arial CE"/>
      <family val="2"/>
    </font>
    <font>
      <b/>
      <sz val="11"/>
      <name val="Arial CE"/>
      <family val="2"/>
    </font>
    <font>
      <sz val="10"/>
      <color indexed="48"/>
      <name val="Arial CE"/>
      <family val="2"/>
    </font>
    <font>
      <b/>
      <sz val="10"/>
      <color indexed="36"/>
      <name val="Arial CE"/>
      <family val="2"/>
    </font>
    <font>
      <u val="single"/>
      <sz val="10"/>
      <name val="Arial CE"/>
      <family val="2"/>
    </font>
    <font>
      <b/>
      <i/>
      <sz val="11"/>
      <name val="Times New Roman"/>
      <family val="1"/>
    </font>
    <font>
      <b/>
      <sz val="11"/>
      <name val="Times New Roman CE"/>
      <family val="1"/>
    </font>
    <font>
      <i/>
      <sz val="10"/>
      <color indexed="10"/>
      <name val="Arial CE"/>
      <family val="2"/>
    </font>
    <font>
      <sz val="10"/>
      <color indexed="36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sz val="11"/>
      <color rgb="FFFF0000"/>
      <name val="Times New Roman"/>
      <family val="1"/>
    </font>
    <font>
      <b/>
      <sz val="10"/>
      <color rgb="FF7030A0"/>
      <name val="Arial CE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24" borderId="8" applyNumberFormat="0" applyAlignment="0" applyProtection="0"/>
    <xf numFmtId="0" fontId="79" fillId="25" borderId="8" applyNumberFormat="0" applyAlignment="0" applyProtection="0"/>
    <xf numFmtId="0" fontId="80" fillId="25" borderId="9" applyNumberFormat="0" applyAlignment="0" applyProtection="0"/>
    <xf numFmtId="0" fontId="81" fillId="0" borderId="0" applyNumberFormat="0" applyFill="0" applyBorder="0" applyAlignment="0" applyProtection="0"/>
    <xf numFmtId="0" fontId="82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820">
    <xf numFmtId="0" fontId="0" fillId="0" borderId="0" xfId="0" applyAlignment="1">
      <alignment/>
    </xf>
    <xf numFmtId="0" fontId="20" fillId="0" borderId="0" xfId="51" applyFont="1">
      <alignment/>
      <protection/>
    </xf>
    <xf numFmtId="0" fontId="0" fillId="0" borderId="0" xfId="0" applyFont="1" applyAlignment="1">
      <alignment/>
    </xf>
    <xf numFmtId="0" fontId="22" fillId="0" borderId="0" xfId="51" applyFo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2" fillId="0" borderId="10" xfId="51" applyNumberFormat="1" applyFont="1" applyFill="1" applyBorder="1">
      <alignment/>
      <protection/>
    </xf>
    <xf numFmtId="0" fontId="23" fillId="0" borderId="0" xfId="0" applyFont="1" applyAlignment="1">
      <alignment/>
    </xf>
    <xf numFmtId="0" fontId="2" fillId="0" borderId="11" xfId="51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2" fillId="0" borderId="11" xfId="51" applyFont="1" applyFill="1" applyBorder="1">
      <alignment/>
      <protection/>
    </xf>
    <xf numFmtId="0" fontId="2" fillId="0" borderId="12" xfId="51" applyFont="1" applyFill="1" applyBorder="1">
      <alignment/>
      <protection/>
    </xf>
    <xf numFmtId="4" fontId="2" fillId="0" borderId="13" xfId="51" applyNumberFormat="1" applyFont="1" applyBorder="1">
      <alignment/>
      <protection/>
    </xf>
    <xf numFmtId="0" fontId="2" fillId="33" borderId="14" xfId="51" applyFont="1" applyFill="1" applyBorder="1">
      <alignment/>
      <protection/>
    </xf>
    <xf numFmtId="0" fontId="22" fillId="0" borderId="0" xfId="51" applyFont="1" applyAlignment="1">
      <alignment horizontal="right"/>
      <protection/>
    </xf>
    <xf numFmtId="4" fontId="22" fillId="0" borderId="0" xfId="51" applyNumberFormat="1" applyFont="1">
      <alignment/>
      <protection/>
    </xf>
    <xf numFmtId="0" fontId="25" fillId="0" borderId="0" xfId="51" applyFont="1">
      <alignment/>
      <protection/>
    </xf>
    <xf numFmtId="0" fontId="24" fillId="0" borderId="0" xfId="0" applyFont="1" applyAlignment="1">
      <alignment/>
    </xf>
    <xf numFmtId="4" fontId="20" fillId="0" borderId="0" xfId="51" applyNumberFormat="1" applyFont="1">
      <alignment/>
      <protection/>
    </xf>
    <xf numFmtId="0" fontId="26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/>
      <protection/>
    </xf>
    <xf numFmtId="4" fontId="3" fillId="0" borderId="0" xfId="53" applyNumberFormat="1" applyFont="1" applyBorder="1" applyAlignment="1">
      <alignment horizontal="center"/>
      <protection/>
    </xf>
    <xf numFmtId="0" fontId="8" fillId="0" borderId="0" xfId="53" applyFont="1">
      <alignment/>
      <protection/>
    </xf>
    <xf numFmtId="4" fontId="10" fillId="34" borderId="15" xfId="53" applyNumberFormat="1" applyFont="1" applyFill="1" applyBorder="1" applyAlignment="1">
      <alignment horizontal="center"/>
      <protection/>
    </xf>
    <xf numFmtId="4" fontId="11" fillId="34" borderId="15" xfId="53" applyNumberFormat="1" applyFont="1" applyFill="1" applyBorder="1" applyAlignment="1">
      <alignment horizontal="center" wrapText="1"/>
      <protection/>
    </xf>
    <xf numFmtId="0" fontId="27" fillId="0" borderId="0" xfId="53" applyFont="1">
      <alignment/>
      <protection/>
    </xf>
    <xf numFmtId="0" fontId="13" fillId="0" borderId="0" xfId="53" applyFont="1">
      <alignment/>
      <protection/>
    </xf>
    <xf numFmtId="4" fontId="16" fillId="0" borderId="16" xfId="53" applyNumberFormat="1" applyFont="1" applyFill="1" applyBorder="1">
      <alignment/>
      <protection/>
    </xf>
    <xf numFmtId="0" fontId="5" fillId="0" borderId="0" xfId="53" applyFont="1">
      <alignment/>
      <protection/>
    </xf>
    <xf numFmtId="0" fontId="28" fillId="0" borderId="0" xfId="53" applyFont="1">
      <alignment/>
      <protection/>
    </xf>
    <xf numFmtId="0" fontId="13" fillId="34" borderId="0" xfId="53" applyFont="1" applyFill="1">
      <alignment/>
      <protection/>
    </xf>
    <xf numFmtId="4" fontId="16" fillId="34" borderId="13" xfId="53" applyNumberFormat="1" applyFont="1" applyFill="1" applyBorder="1">
      <alignment/>
      <protection/>
    </xf>
    <xf numFmtId="0" fontId="29" fillId="0" borderId="0" xfId="53" applyFont="1">
      <alignment/>
      <protection/>
    </xf>
    <xf numFmtId="0" fontId="6" fillId="0" borderId="0" xfId="53" applyFont="1">
      <alignment/>
      <protection/>
    </xf>
    <xf numFmtId="0" fontId="2" fillId="0" borderId="0" xfId="53" applyFill="1">
      <alignment/>
      <protection/>
    </xf>
    <xf numFmtId="0" fontId="2" fillId="0" borderId="0" xfId="53" applyFont="1" applyFill="1">
      <alignment/>
      <protection/>
    </xf>
    <xf numFmtId="0" fontId="9" fillId="0" borderId="0" xfId="53" applyFont="1">
      <alignment/>
      <protection/>
    </xf>
    <xf numFmtId="4" fontId="16" fillId="35" borderId="13" xfId="53" applyNumberFormat="1" applyFont="1" applyFill="1" applyBorder="1">
      <alignment/>
      <protection/>
    </xf>
    <xf numFmtId="4" fontId="2" fillId="36" borderId="17" xfId="53" applyNumberFormat="1" applyFill="1" applyBorder="1">
      <alignment/>
      <protection/>
    </xf>
    <xf numFmtId="4" fontId="2" fillId="0" borderId="0" xfId="53" applyNumberFormat="1">
      <alignment/>
      <protection/>
    </xf>
    <xf numFmtId="4" fontId="32" fillId="0" borderId="0" xfId="51" applyNumberFormat="1" applyFont="1">
      <alignment/>
      <protection/>
    </xf>
    <xf numFmtId="0" fontId="2" fillId="0" borderId="18" xfId="51" applyFont="1" applyFill="1" applyBorder="1">
      <alignment/>
      <protection/>
    </xf>
    <xf numFmtId="0" fontId="2" fillId="0" borderId="0" xfId="53" applyFont="1" applyAlignment="1">
      <alignment horizontal="right"/>
      <protection/>
    </xf>
    <xf numFmtId="2" fontId="8" fillId="0" borderId="19" xfId="53" applyNumberFormat="1" applyFont="1" applyBorder="1" applyAlignment="1">
      <alignment horizontal="left"/>
      <protection/>
    </xf>
    <xf numFmtId="4" fontId="2" fillId="0" borderId="13" xfId="53" applyNumberFormat="1" applyFont="1" applyFill="1" applyBorder="1">
      <alignment/>
      <protection/>
    </xf>
    <xf numFmtId="4" fontId="2" fillId="0" borderId="13" xfId="51" applyNumberFormat="1" applyFont="1" applyFill="1" applyBorder="1">
      <alignment/>
      <protection/>
    </xf>
    <xf numFmtId="4" fontId="2" fillId="0" borderId="20" xfId="51" applyNumberFormat="1" applyFont="1" applyFill="1" applyBorder="1">
      <alignment/>
      <protection/>
    </xf>
    <xf numFmtId="4" fontId="2" fillId="0" borderId="20" xfId="51" applyNumberFormat="1" applyFont="1" applyBorder="1">
      <alignment/>
      <protection/>
    </xf>
    <xf numFmtId="4" fontId="2" fillId="0" borderId="16" xfId="51" applyNumberFormat="1" applyFont="1" applyFill="1" applyBorder="1">
      <alignment/>
      <protection/>
    </xf>
    <xf numFmtId="0" fontId="2" fillId="0" borderId="18" xfId="51" applyFont="1" applyFill="1" applyBorder="1" applyAlignment="1">
      <alignment wrapText="1"/>
      <protection/>
    </xf>
    <xf numFmtId="4" fontId="33" fillId="34" borderId="0" xfId="53" applyNumberFormat="1" applyFont="1" applyFill="1">
      <alignment/>
      <protection/>
    </xf>
    <xf numFmtId="4" fontId="16" fillId="34" borderId="16" xfId="53" applyNumberFormat="1" applyFont="1" applyFill="1" applyBorder="1">
      <alignment/>
      <protection/>
    </xf>
    <xf numFmtId="4" fontId="2" fillId="36" borderId="21" xfId="57" applyNumberFormat="1" applyFont="1" applyFill="1" applyBorder="1" applyAlignment="1">
      <alignment/>
    </xf>
    <xf numFmtId="4" fontId="2" fillId="36" borderId="21" xfId="53" applyNumberFormat="1" applyFill="1" applyBorder="1">
      <alignment/>
      <protection/>
    </xf>
    <xf numFmtId="0" fontId="9" fillId="0" borderId="22" xfId="53" applyFont="1" applyBorder="1" applyAlignment="1">
      <alignment horizontal="left"/>
      <protection/>
    </xf>
    <xf numFmtId="4" fontId="2" fillId="35" borderId="17" xfId="53" applyNumberFormat="1" applyFill="1" applyBorder="1">
      <alignment/>
      <protection/>
    </xf>
    <xf numFmtId="0" fontId="6" fillId="36" borderId="22" xfId="51" applyFont="1" applyFill="1" applyBorder="1">
      <alignment/>
      <protection/>
    </xf>
    <xf numFmtId="0" fontId="6" fillId="37" borderId="18" xfId="51" applyFont="1" applyFill="1" applyBorder="1">
      <alignment/>
      <protection/>
    </xf>
    <xf numFmtId="0" fontId="6" fillId="0" borderId="0" xfId="51" applyFont="1">
      <alignment/>
      <protection/>
    </xf>
    <xf numFmtId="4" fontId="16" fillId="34" borderId="23" xfId="53" applyNumberFormat="1" applyFont="1" applyFill="1" applyBorder="1">
      <alignment/>
      <protection/>
    </xf>
    <xf numFmtId="4" fontId="9" fillId="0" borderId="14" xfId="53" applyNumberFormat="1" applyFont="1" applyBorder="1" applyAlignment="1">
      <alignment horizontal="left"/>
      <protection/>
    </xf>
    <xf numFmtId="4" fontId="9" fillId="0" borderId="22" xfId="53" applyNumberFormat="1" applyFont="1" applyBorder="1" applyAlignment="1">
      <alignment horizontal="center"/>
      <protection/>
    </xf>
    <xf numFmtId="4" fontId="6" fillId="0" borderId="0" xfId="53" applyNumberFormat="1" applyFont="1">
      <alignment/>
      <protection/>
    </xf>
    <xf numFmtId="4" fontId="15" fillId="36" borderId="16" xfId="53" applyNumberFormat="1" applyFont="1" applyFill="1" applyBorder="1" applyAlignment="1">
      <alignment horizontal="left" vertical="center" wrapText="1"/>
      <protection/>
    </xf>
    <xf numFmtId="4" fontId="2" fillId="0" borderId="0" xfId="53" applyNumberFormat="1" applyFont="1">
      <alignment/>
      <protection/>
    </xf>
    <xf numFmtId="4" fontId="2" fillId="0" borderId="0" xfId="53" applyNumberFormat="1" applyFont="1" applyAlignment="1">
      <alignment horizontal="right"/>
      <protection/>
    </xf>
    <xf numFmtId="4" fontId="2" fillId="0" borderId="0" xfId="53" applyNumberFormat="1" applyFont="1">
      <alignment/>
      <protection/>
    </xf>
    <xf numFmtId="4" fontId="16" fillId="38" borderId="13" xfId="53" applyNumberFormat="1" applyFont="1" applyFill="1" applyBorder="1">
      <alignment/>
      <protection/>
    </xf>
    <xf numFmtId="0" fontId="2" fillId="39" borderId="18" xfId="51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6" fillId="0" borderId="22" xfId="51" applyFont="1" applyBorder="1">
      <alignment/>
      <protection/>
    </xf>
    <xf numFmtId="4" fontId="7" fillId="34" borderId="15" xfId="53" applyNumberFormat="1" applyFont="1" applyFill="1" applyBorder="1" applyAlignment="1">
      <alignment horizontal="center" wrapText="1"/>
      <protection/>
    </xf>
    <xf numFmtId="0" fontId="6" fillId="36" borderId="24" xfId="51" applyFont="1" applyFill="1" applyBorder="1">
      <alignment/>
      <protection/>
    </xf>
    <xf numFmtId="0" fontId="6" fillId="33" borderId="22" xfId="51" applyFont="1" applyFill="1" applyBorder="1">
      <alignment/>
      <protection/>
    </xf>
    <xf numFmtId="4" fontId="6" fillId="33" borderId="15" xfId="51" applyNumberFormat="1" applyFont="1" applyFill="1" applyBorder="1">
      <alignment/>
      <protection/>
    </xf>
    <xf numFmtId="0" fontId="6" fillId="0" borderId="25" xfId="51" applyFont="1" applyFill="1" applyBorder="1">
      <alignment/>
      <protection/>
    </xf>
    <xf numFmtId="4" fontId="6" fillId="0" borderId="13" xfId="51" applyNumberFormat="1" applyFont="1" applyFill="1" applyBorder="1">
      <alignment/>
      <protection/>
    </xf>
    <xf numFmtId="4" fontId="6" fillId="0" borderId="23" xfId="51" applyNumberFormat="1" applyFont="1" applyFill="1" applyBorder="1">
      <alignment/>
      <protection/>
    </xf>
    <xf numFmtId="4" fontId="2" fillId="0" borderId="17" xfId="51" applyNumberFormat="1" applyFont="1" applyBorder="1">
      <alignment/>
      <protection/>
    </xf>
    <xf numFmtId="4" fontId="2" fillId="0" borderId="26" xfId="51" applyNumberFormat="1" applyFont="1" applyBorder="1">
      <alignment/>
      <protection/>
    </xf>
    <xf numFmtId="4" fontId="6" fillId="36" borderId="27" xfId="51" applyNumberFormat="1" applyFont="1" applyFill="1" applyBorder="1">
      <alignment/>
      <protection/>
    </xf>
    <xf numFmtId="0" fontId="20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6" fillId="0" borderId="24" xfId="51" applyFont="1" applyBorder="1">
      <alignment/>
      <protection/>
    </xf>
    <xf numFmtId="4" fontId="6" fillId="0" borderId="28" xfId="51" applyNumberFormat="1" applyFont="1" applyBorder="1" applyAlignment="1">
      <alignment horizontal="center"/>
      <protection/>
    </xf>
    <xf numFmtId="4" fontId="6" fillId="0" borderId="29" xfId="51" applyNumberFormat="1" applyFont="1" applyBorder="1" applyAlignment="1">
      <alignment horizontal="center"/>
      <protection/>
    </xf>
    <xf numFmtId="0" fontId="6" fillId="40" borderId="24" xfId="51" applyFont="1" applyFill="1" applyBorder="1">
      <alignment/>
      <protection/>
    </xf>
    <xf numFmtId="4" fontId="6" fillId="40" borderId="30" xfId="51" applyNumberFormat="1" applyFont="1" applyFill="1" applyBorder="1">
      <alignment/>
      <protection/>
    </xf>
    <xf numFmtId="4" fontId="6" fillId="40" borderId="15" xfId="51" applyNumberFormat="1" applyFont="1" applyFill="1" applyBorder="1">
      <alignment/>
      <protection/>
    </xf>
    <xf numFmtId="4" fontId="2" fillId="0" borderId="10" xfId="51" applyNumberFormat="1" applyFont="1" applyFill="1" applyBorder="1">
      <alignment/>
      <protection/>
    </xf>
    <xf numFmtId="4" fontId="2" fillId="0" borderId="23" xfId="51" applyNumberFormat="1" applyFont="1" applyBorder="1">
      <alignment/>
      <protection/>
    </xf>
    <xf numFmtId="0" fontId="2" fillId="0" borderId="13" xfId="51" applyFont="1" applyFill="1" applyBorder="1">
      <alignment/>
      <protection/>
    </xf>
    <xf numFmtId="49" fontId="2" fillId="0" borderId="13" xfId="51" applyNumberFormat="1" applyFont="1" applyFill="1" applyBorder="1" applyAlignment="1">
      <alignment horizontal="right"/>
      <protection/>
    </xf>
    <xf numFmtId="4" fontId="2" fillId="0" borderId="17" xfId="53" applyNumberFormat="1" applyFont="1" applyFill="1" applyBorder="1">
      <alignment/>
      <protection/>
    </xf>
    <xf numFmtId="4" fontId="2" fillId="0" borderId="31" xfId="51" applyNumberFormat="1" applyFont="1" applyBorder="1">
      <alignment/>
      <protection/>
    </xf>
    <xf numFmtId="4" fontId="2" fillId="0" borderId="19" xfId="51" applyNumberFormat="1" applyFont="1" applyBorder="1">
      <alignment/>
      <protection/>
    </xf>
    <xf numFmtId="4" fontId="6" fillId="0" borderId="17" xfId="51" applyNumberFormat="1" applyFont="1" applyFill="1" applyBorder="1">
      <alignment/>
      <protection/>
    </xf>
    <xf numFmtId="0" fontId="5" fillId="41" borderId="22" xfId="51" applyFont="1" applyFill="1" applyBorder="1">
      <alignment/>
      <protection/>
    </xf>
    <xf numFmtId="0" fontId="2" fillId="41" borderId="24" xfId="51" applyFont="1" applyFill="1" applyBorder="1">
      <alignment/>
      <protection/>
    </xf>
    <xf numFmtId="0" fontId="5" fillId="33" borderId="14" xfId="51" applyFont="1" applyFill="1" applyBorder="1">
      <alignment/>
      <protection/>
    </xf>
    <xf numFmtId="0" fontId="2" fillId="33" borderId="32" xfId="51" applyFont="1" applyFill="1" applyBorder="1">
      <alignment/>
      <protection/>
    </xf>
    <xf numFmtId="0" fontId="22" fillId="0" borderId="0" xfId="0" applyFont="1" applyAlignment="1">
      <alignment/>
    </xf>
    <xf numFmtId="4" fontId="10" fillId="39" borderId="15" xfId="53" applyNumberFormat="1" applyFont="1" applyFill="1" applyBorder="1" applyAlignment="1">
      <alignment horizontal="center"/>
      <protection/>
    </xf>
    <xf numFmtId="0" fontId="13" fillId="39" borderId="0" xfId="53" applyFont="1" applyFill="1">
      <alignment/>
      <protection/>
    </xf>
    <xf numFmtId="0" fontId="30" fillId="0" borderId="0" xfId="53" applyFont="1">
      <alignment/>
      <protection/>
    </xf>
    <xf numFmtId="4" fontId="15" fillId="36" borderId="21" xfId="53" applyNumberFormat="1" applyFont="1" applyFill="1" applyBorder="1">
      <alignment/>
      <protection/>
    </xf>
    <xf numFmtId="4" fontId="6" fillId="0" borderId="0" xfId="53" applyNumberFormat="1" applyFont="1">
      <alignment/>
      <protection/>
    </xf>
    <xf numFmtId="4" fontId="2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2" fillId="39" borderId="11" xfId="51" applyFont="1" applyFill="1" applyBorder="1" applyAlignment="1">
      <alignment wrapText="1"/>
      <protection/>
    </xf>
    <xf numFmtId="0" fontId="2" fillId="0" borderId="33" xfId="51" applyFont="1" applyFill="1" applyBorder="1" applyAlignment="1">
      <alignment wrapText="1"/>
      <protection/>
    </xf>
    <xf numFmtId="4" fontId="6" fillId="36" borderId="30" xfId="51" applyNumberFormat="1" applyFont="1" applyFill="1" applyBorder="1">
      <alignment/>
      <protection/>
    </xf>
    <xf numFmtId="4" fontId="6" fillId="0" borderId="30" xfId="51" applyNumberFormat="1" applyFont="1" applyBorder="1">
      <alignment/>
      <protection/>
    </xf>
    <xf numFmtId="4" fontId="5" fillId="37" borderId="15" xfId="51" applyNumberFormat="1" applyFont="1" applyFill="1" applyBorder="1">
      <alignment/>
      <protection/>
    </xf>
    <xf numFmtId="4" fontId="5" fillId="33" borderId="21" xfId="51" applyNumberFormat="1" applyFont="1" applyFill="1" applyBorder="1">
      <alignment/>
      <protection/>
    </xf>
    <xf numFmtId="4" fontId="6" fillId="36" borderId="15" xfId="51" applyNumberFormat="1" applyFont="1" applyFill="1" applyBorder="1">
      <alignment/>
      <protection/>
    </xf>
    <xf numFmtId="4" fontId="6" fillId="0" borderId="15" xfId="51" applyNumberFormat="1" applyFont="1" applyBorder="1">
      <alignment/>
      <protection/>
    </xf>
    <xf numFmtId="0" fontId="2" fillId="37" borderId="22" xfId="51" applyFont="1" applyFill="1" applyBorder="1">
      <alignment/>
      <protection/>
    </xf>
    <xf numFmtId="49" fontId="2" fillId="0" borderId="34" xfId="51" applyNumberFormat="1" applyFont="1" applyFill="1" applyBorder="1" applyAlignment="1">
      <alignment horizontal="left"/>
      <protection/>
    </xf>
    <xf numFmtId="0" fontId="27" fillId="0" borderId="0" xfId="53" applyFont="1" applyFill="1">
      <alignment/>
      <protection/>
    </xf>
    <xf numFmtId="4" fontId="2" fillId="0" borderId="35" xfId="51" applyNumberFormat="1" applyFont="1" applyBorder="1">
      <alignment/>
      <protection/>
    </xf>
    <xf numFmtId="4" fontId="5" fillId="33" borderId="14" xfId="51" applyNumberFormat="1" applyFont="1" applyFill="1" applyBorder="1">
      <alignment/>
      <protection/>
    </xf>
    <xf numFmtId="4" fontId="6" fillId="36" borderId="22" xfId="51" applyNumberFormat="1" applyFont="1" applyFill="1" applyBorder="1">
      <alignment/>
      <protection/>
    </xf>
    <xf numFmtId="4" fontId="6" fillId="0" borderId="22" xfId="51" applyNumberFormat="1" applyFont="1" applyBorder="1">
      <alignment/>
      <protection/>
    </xf>
    <xf numFmtId="4" fontId="5" fillId="0" borderId="13" xfId="51" applyNumberFormat="1" applyFont="1" applyBorder="1">
      <alignment/>
      <protection/>
    </xf>
    <xf numFmtId="4" fontId="6" fillId="36" borderId="36" xfId="51" applyNumberFormat="1" applyFont="1" applyFill="1" applyBorder="1">
      <alignment/>
      <protection/>
    </xf>
    <xf numFmtId="4" fontId="2" fillId="0" borderId="13" xfId="51" applyNumberFormat="1" applyFont="1" applyFill="1" applyBorder="1" applyAlignment="1">
      <alignment wrapText="1"/>
      <protection/>
    </xf>
    <xf numFmtId="4" fontId="2" fillId="39" borderId="13" xfId="51" applyNumberFormat="1" applyFont="1" applyFill="1" applyBorder="1">
      <alignment/>
      <protection/>
    </xf>
    <xf numFmtId="4" fontId="5" fillId="0" borderId="13" xfId="51" applyNumberFormat="1" applyFont="1" applyFill="1" applyBorder="1">
      <alignment/>
      <protection/>
    </xf>
    <xf numFmtId="4" fontId="2" fillId="0" borderId="37" xfId="51" applyNumberFormat="1" applyFont="1" applyBorder="1">
      <alignment/>
      <protection/>
    </xf>
    <xf numFmtId="4" fontId="6" fillId="36" borderId="38" xfId="51" applyNumberFormat="1" applyFont="1" applyFill="1" applyBorder="1">
      <alignment/>
      <protection/>
    </xf>
    <xf numFmtId="4" fontId="6" fillId="0" borderId="38" xfId="51" applyNumberFormat="1" applyFont="1" applyBorder="1">
      <alignment/>
      <protection/>
    </xf>
    <xf numFmtId="4" fontId="2" fillId="0" borderId="12" xfId="51" applyNumberFormat="1" applyFont="1" applyBorder="1">
      <alignment/>
      <protection/>
    </xf>
    <xf numFmtId="0" fontId="6" fillId="37" borderId="22" xfId="51" applyFont="1" applyFill="1" applyBorder="1">
      <alignment/>
      <protection/>
    </xf>
    <xf numFmtId="0" fontId="7" fillId="37" borderId="22" xfId="51" applyFont="1" applyFill="1" applyBorder="1">
      <alignment/>
      <protection/>
    </xf>
    <xf numFmtId="0" fontId="5" fillId="0" borderId="18" xfId="51" applyFont="1" applyFill="1" applyBorder="1">
      <alignment/>
      <protection/>
    </xf>
    <xf numFmtId="0" fontId="2" fillId="0" borderId="39" xfId="51" applyFont="1" applyFill="1" applyBorder="1">
      <alignment/>
      <protection/>
    </xf>
    <xf numFmtId="4" fontId="2" fillId="0" borderId="40" xfId="51" applyNumberFormat="1" applyFont="1" applyBorder="1">
      <alignment/>
      <protection/>
    </xf>
    <xf numFmtId="4" fontId="5" fillId="33" borderId="31" xfId="51" applyNumberFormat="1" applyFont="1" applyFill="1" applyBorder="1">
      <alignment/>
      <protection/>
    </xf>
    <xf numFmtId="0" fontId="6" fillId="0" borderId="15" xfId="51" applyFont="1" applyBorder="1">
      <alignment/>
      <protection/>
    </xf>
    <xf numFmtId="0" fontId="6" fillId="36" borderId="15" xfId="51" applyFont="1" applyFill="1" applyBorder="1">
      <alignment/>
      <protection/>
    </xf>
    <xf numFmtId="0" fontId="6" fillId="33" borderId="15" xfId="51" applyFont="1" applyFill="1" applyBorder="1" applyAlignment="1">
      <alignment wrapText="1"/>
      <protection/>
    </xf>
    <xf numFmtId="49" fontId="2" fillId="0" borderId="13" xfId="51" applyNumberFormat="1" applyFont="1" applyFill="1" applyBorder="1" applyAlignment="1">
      <alignment horizontal="right" wrapText="1"/>
      <protection/>
    </xf>
    <xf numFmtId="49" fontId="7" fillId="0" borderId="13" xfId="51" applyNumberFormat="1" applyFont="1" applyFill="1" applyBorder="1" applyAlignment="1">
      <alignment horizontal="right"/>
      <protection/>
    </xf>
    <xf numFmtId="49" fontId="5" fillId="37" borderId="15" xfId="51" applyNumberFormat="1" applyFont="1" applyFill="1" applyBorder="1">
      <alignment/>
      <protection/>
    </xf>
    <xf numFmtId="49" fontId="5" fillId="33" borderId="21" xfId="51" applyNumberFormat="1" applyFont="1" applyFill="1" applyBorder="1">
      <alignment/>
      <protection/>
    </xf>
    <xf numFmtId="4" fontId="2" fillId="0" borderId="13" xfId="0" applyNumberFormat="1" applyFont="1" applyFill="1" applyBorder="1" applyAlignment="1">
      <alignment/>
    </xf>
    <xf numFmtId="4" fontId="2" fillId="0" borderId="41" xfId="51" applyNumberFormat="1" applyFont="1" applyFill="1" applyBorder="1">
      <alignment/>
      <protection/>
    </xf>
    <xf numFmtId="4" fontId="2" fillId="0" borderId="41" xfId="51" applyNumberFormat="1" applyFont="1" applyBorder="1">
      <alignment/>
      <protection/>
    </xf>
    <xf numFmtId="4" fontId="2" fillId="0" borderId="42" xfId="51" applyNumberFormat="1" applyFont="1" applyBorder="1">
      <alignment/>
      <protection/>
    </xf>
    <xf numFmtId="4" fontId="5" fillId="33" borderId="19" xfId="51" applyNumberFormat="1" applyFont="1" applyFill="1" applyBorder="1">
      <alignment/>
      <protection/>
    </xf>
    <xf numFmtId="4" fontId="2" fillId="39" borderId="13" xfId="53" applyNumberFormat="1" applyFont="1" applyFill="1" applyBorder="1">
      <alignment/>
      <protection/>
    </xf>
    <xf numFmtId="4" fontId="2" fillId="0" borderId="43" xfId="51" applyNumberFormat="1" applyFont="1" applyFill="1" applyBorder="1">
      <alignment/>
      <protection/>
    </xf>
    <xf numFmtId="4" fontId="6" fillId="41" borderId="30" xfId="51" applyNumberFormat="1" applyFont="1" applyFill="1" applyBorder="1">
      <alignment/>
      <protection/>
    </xf>
    <xf numFmtId="4" fontId="2" fillId="0" borderId="21" xfId="51" applyNumberFormat="1" applyFont="1" applyBorder="1">
      <alignment/>
      <protection/>
    </xf>
    <xf numFmtId="4" fontId="6" fillId="41" borderId="15" xfId="51" applyNumberFormat="1" applyFont="1" applyFill="1" applyBorder="1">
      <alignment/>
      <protection/>
    </xf>
    <xf numFmtId="4" fontId="6" fillId="0" borderId="22" xfId="51" applyNumberFormat="1" applyFont="1" applyBorder="1" applyAlignment="1">
      <alignment horizontal="center"/>
      <protection/>
    </xf>
    <xf numFmtId="4" fontId="6" fillId="40" borderId="22" xfId="51" applyNumberFormat="1" applyFont="1" applyFill="1" applyBorder="1">
      <alignment/>
      <protection/>
    </xf>
    <xf numFmtId="4" fontId="2" fillId="0" borderId="33" xfId="51" applyNumberFormat="1" applyFont="1" applyFill="1" applyBorder="1">
      <alignment/>
      <protection/>
    </xf>
    <xf numFmtId="4" fontId="2" fillId="0" borderId="11" xfId="51" applyNumberFormat="1" applyFont="1" applyBorder="1">
      <alignment/>
      <protection/>
    </xf>
    <xf numFmtId="4" fontId="2" fillId="0" borderId="14" xfId="51" applyNumberFormat="1" applyFont="1" applyBorder="1">
      <alignment/>
      <protection/>
    </xf>
    <xf numFmtId="4" fontId="6" fillId="41" borderId="22" xfId="51" applyNumberFormat="1" applyFont="1" applyFill="1" applyBorder="1">
      <alignment/>
      <protection/>
    </xf>
    <xf numFmtId="4" fontId="6" fillId="0" borderId="30" xfId="51" applyNumberFormat="1" applyFont="1" applyBorder="1" applyAlignment="1">
      <alignment horizontal="center"/>
      <protection/>
    </xf>
    <xf numFmtId="4" fontId="6" fillId="0" borderId="15" xfId="51" applyNumberFormat="1" applyFont="1" applyBorder="1" applyAlignment="1">
      <alignment horizontal="center"/>
      <protection/>
    </xf>
    <xf numFmtId="4" fontId="2" fillId="0" borderId="21" xfId="51" applyNumberFormat="1" applyFont="1" applyFill="1" applyBorder="1">
      <alignment/>
      <protection/>
    </xf>
    <xf numFmtId="4" fontId="6" fillId="40" borderId="28" xfId="51" applyNumberFormat="1" applyFont="1" applyFill="1" applyBorder="1">
      <alignment/>
      <protection/>
    </xf>
    <xf numFmtId="4" fontId="6" fillId="0" borderId="38" xfId="51" applyNumberFormat="1" applyFont="1" applyBorder="1" applyAlignment="1">
      <alignment horizontal="center"/>
      <protection/>
    </xf>
    <xf numFmtId="4" fontId="6" fillId="40" borderId="38" xfId="51" applyNumberFormat="1" applyFont="1" applyFill="1" applyBorder="1">
      <alignment/>
      <protection/>
    </xf>
    <xf numFmtId="4" fontId="2" fillId="0" borderId="0" xfId="51" applyNumberFormat="1" applyFont="1" applyFill="1" applyBorder="1">
      <alignment/>
      <protection/>
    </xf>
    <xf numFmtId="4" fontId="6" fillId="41" borderId="38" xfId="51" applyNumberFormat="1" applyFont="1" applyFill="1" applyBorder="1">
      <alignment/>
      <protection/>
    </xf>
    <xf numFmtId="4" fontId="16" fillId="34" borderId="17" xfId="53" applyNumberFormat="1" applyFont="1" applyFill="1" applyBorder="1">
      <alignment/>
      <protection/>
    </xf>
    <xf numFmtId="4" fontId="30" fillId="0" borderId="0" xfId="53" applyNumberFormat="1" applyFont="1">
      <alignment/>
      <protection/>
    </xf>
    <xf numFmtId="49" fontId="2" fillId="0" borderId="13" xfId="51" applyNumberFormat="1" applyFont="1" applyFill="1" applyBorder="1" applyAlignment="1">
      <alignment horizontal="left"/>
      <protection/>
    </xf>
    <xf numFmtId="49" fontId="2" fillId="0" borderId="13" xfId="51" applyNumberFormat="1" applyFont="1" applyFill="1" applyBorder="1" applyAlignment="1">
      <alignment horizontal="left" wrapText="1"/>
      <protection/>
    </xf>
    <xf numFmtId="4" fontId="27" fillId="0" borderId="0" xfId="53" applyNumberFormat="1" applyFont="1" applyFill="1">
      <alignment/>
      <protection/>
    </xf>
    <xf numFmtId="4" fontId="27" fillId="0" borderId="0" xfId="53" applyNumberFormat="1" applyFont="1">
      <alignment/>
      <protection/>
    </xf>
    <xf numFmtId="4" fontId="0" fillId="0" borderId="0" xfId="0" applyNumberFormat="1" applyFont="1" applyAlignment="1">
      <alignment/>
    </xf>
    <xf numFmtId="4" fontId="6" fillId="0" borderId="0" xfId="51" applyNumberFormat="1" applyFont="1">
      <alignment/>
      <protection/>
    </xf>
    <xf numFmtId="4" fontId="5" fillId="41" borderId="15" xfId="51" applyNumberFormat="1" applyFont="1" applyFill="1" applyBorder="1">
      <alignment/>
      <protection/>
    </xf>
    <xf numFmtId="4" fontId="2" fillId="0" borderId="0" xfId="51" applyNumberFormat="1" applyFont="1">
      <alignment/>
      <protection/>
    </xf>
    <xf numFmtId="4" fontId="6" fillId="0" borderId="0" xfId="51" applyNumberFormat="1" applyFont="1">
      <alignment/>
      <protection/>
    </xf>
    <xf numFmtId="4" fontId="21" fillId="0" borderId="0" xfId="51" applyNumberFormat="1" applyFont="1">
      <alignment/>
      <protection/>
    </xf>
    <xf numFmtId="4" fontId="6" fillId="34" borderId="15" xfId="53" applyNumberFormat="1" applyFont="1" applyFill="1" applyBorder="1" applyAlignment="1">
      <alignment horizontal="center"/>
      <protection/>
    </xf>
    <xf numFmtId="4" fontId="7" fillId="34" borderId="15" xfId="55" applyNumberFormat="1" applyFont="1" applyFill="1" applyBorder="1" applyAlignment="1">
      <alignment wrapText="1"/>
      <protection/>
    </xf>
    <xf numFmtId="4" fontId="8" fillId="0" borderId="19" xfId="53" applyNumberFormat="1" applyFont="1" applyBorder="1">
      <alignment/>
      <protection/>
    </xf>
    <xf numFmtId="4" fontId="8" fillId="0" borderId="19" xfId="53" applyNumberFormat="1" applyFont="1" applyBorder="1">
      <alignment/>
      <protection/>
    </xf>
    <xf numFmtId="4" fontId="28" fillId="0" borderId="0" xfId="53" applyNumberFormat="1" applyFont="1">
      <alignment/>
      <protection/>
    </xf>
    <xf numFmtId="4" fontId="29" fillId="0" borderId="0" xfId="53" applyNumberFormat="1" applyFont="1">
      <alignment/>
      <protection/>
    </xf>
    <xf numFmtId="4" fontId="2" fillId="0" borderId="0" xfId="53" applyNumberFormat="1" applyFill="1">
      <alignment/>
      <protection/>
    </xf>
    <xf numFmtId="4" fontId="9" fillId="0" borderId="0" xfId="53" applyNumberFormat="1" applyFont="1">
      <alignment/>
      <protection/>
    </xf>
    <xf numFmtId="4" fontId="2" fillId="34" borderId="0" xfId="53" applyNumberFormat="1" applyFill="1">
      <alignment/>
      <protection/>
    </xf>
    <xf numFmtId="4" fontId="6" fillId="34" borderId="0" xfId="53" applyNumberFormat="1" applyFont="1" applyFill="1">
      <alignment/>
      <protection/>
    </xf>
    <xf numFmtId="4" fontId="10" fillId="34" borderId="38" xfId="53" applyNumberFormat="1" applyFont="1" applyFill="1" applyBorder="1" applyAlignment="1">
      <alignment horizontal="center"/>
      <protection/>
    </xf>
    <xf numFmtId="4" fontId="16" fillId="34" borderId="41" xfId="53" applyNumberFormat="1" applyFont="1" applyFill="1" applyBorder="1">
      <alignment/>
      <protection/>
    </xf>
    <xf numFmtId="4" fontId="16" fillId="38" borderId="41" xfId="53" applyNumberFormat="1" applyFont="1" applyFill="1" applyBorder="1">
      <alignment/>
      <protection/>
    </xf>
    <xf numFmtId="4" fontId="2" fillId="0" borderId="0" xfId="51" applyNumberFormat="1" applyFont="1" applyFill="1" applyBorder="1">
      <alignment/>
      <protection/>
    </xf>
    <xf numFmtId="4" fontId="2" fillId="36" borderId="37" xfId="53" applyNumberFormat="1" applyFill="1" applyBorder="1">
      <alignment/>
      <protection/>
    </xf>
    <xf numFmtId="4" fontId="15" fillId="34" borderId="20" xfId="53" applyNumberFormat="1" applyFont="1" applyFill="1" applyBorder="1">
      <alignment/>
      <protection/>
    </xf>
    <xf numFmtId="4" fontId="15" fillId="36" borderId="32" xfId="53" applyNumberFormat="1" applyFont="1" applyFill="1" applyBorder="1">
      <alignment/>
      <protection/>
    </xf>
    <xf numFmtId="4" fontId="20" fillId="39" borderId="0" xfId="51" applyNumberFormat="1" applyFont="1" applyFill="1">
      <alignment/>
      <protection/>
    </xf>
    <xf numFmtId="49" fontId="2" fillId="39" borderId="13" xfId="51" applyNumberFormat="1" applyFont="1" applyFill="1" applyBorder="1" applyAlignment="1">
      <alignment horizontal="left"/>
      <protection/>
    </xf>
    <xf numFmtId="49" fontId="5" fillId="0" borderId="13" xfId="51" applyNumberFormat="1" applyFont="1" applyFill="1" applyBorder="1" applyAlignment="1">
      <alignment horizontal="left"/>
      <protection/>
    </xf>
    <xf numFmtId="49" fontId="2" fillId="39" borderId="13" xfId="51" applyNumberFormat="1" applyFont="1" applyFill="1" applyBorder="1" applyAlignment="1">
      <alignment horizontal="left" wrapText="1"/>
      <protection/>
    </xf>
    <xf numFmtId="49" fontId="2" fillId="39" borderId="23" xfId="51" applyNumberFormat="1" applyFont="1" applyFill="1" applyBorder="1" applyAlignment="1">
      <alignment horizontal="left"/>
      <protection/>
    </xf>
    <xf numFmtId="4" fontId="16" fillId="34" borderId="20" xfId="53" applyNumberFormat="1" applyFont="1" applyFill="1" applyBorder="1">
      <alignment/>
      <protection/>
    </xf>
    <xf numFmtId="4" fontId="2" fillId="0" borderId="43" xfId="51" applyNumberFormat="1" applyFont="1" applyFill="1" applyBorder="1">
      <alignment/>
      <protection/>
    </xf>
    <xf numFmtId="4" fontId="16" fillId="35" borderId="20" xfId="53" applyNumberFormat="1" applyFont="1" applyFill="1" applyBorder="1">
      <alignment/>
      <protection/>
    </xf>
    <xf numFmtId="4" fontId="2" fillId="36" borderId="32" xfId="53" applyNumberFormat="1" applyFill="1" applyBorder="1">
      <alignment/>
      <protection/>
    </xf>
    <xf numFmtId="4" fontId="12" fillId="34" borderId="33" xfId="53" applyNumberFormat="1" applyFont="1" applyFill="1" applyBorder="1" applyAlignment="1">
      <alignment horizontal="left" vertical="center" wrapText="1"/>
      <protection/>
    </xf>
    <xf numFmtId="4" fontId="12" fillId="36" borderId="17" xfId="53" applyNumberFormat="1" applyFont="1" applyFill="1" applyBorder="1">
      <alignment/>
      <protection/>
    </xf>
    <xf numFmtId="4" fontId="39" fillId="38" borderId="13" xfId="53" applyNumberFormat="1" applyFont="1" applyFill="1" applyBorder="1" applyAlignment="1">
      <alignment horizontal="left" vertical="center" wrapText="1"/>
      <protection/>
    </xf>
    <xf numFmtId="4" fontId="39" fillId="0" borderId="13" xfId="53" applyNumberFormat="1" applyFont="1" applyBorder="1" applyAlignment="1">
      <alignment horizontal="left" vertical="center" wrapText="1"/>
      <protection/>
    </xf>
    <xf numFmtId="4" fontId="10" fillId="34" borderId="22" xfId="53" applyNumberFormat="1" applyFont="1" applyFill="1" applyBorder="1" applyAlignment="1">
      <alignment horizontal="center"/>
      <protection/>
    </xf>
    <xf numFmtId="4" fontId="16" fillId="39" borderId="18" xfId="53" applyNumberFormat="1" applyFont="1" applyFill="1" applyBorder="1">
      <alignment/>
      <protection/>
    </xf>
    <xf numFmtId="4" fontId="5" fillId="39" borderId="0" xfId="53" applyNumberFormat="1" applyFont="1" applyFill="1">
      <alignment/>
      <protection/>
    </xf>
    <xf numFmtId="0" fontId="5" fillId="39" borderId="0" xfId="53" applyFont="1" applyFill="1">
      <alignment/>
      <protection/>
    </xf>
    <xf numFmtId="4" fontId="12" fillId="38" borderId="22" xfId="53" applyNumberFormat="1" applyFont="1" applyFill="1" applyBorder="1" applyAlignment="1">
      <alignment horizontal="left" vertical="center" wrapText="1"/>
      <protection/>
    </xf>
    <xf numFmtId="4" fontId="12" fillId="42" borderId="22" xfId="53" applyNumberFormat="1" applyFont="1" applyFill="1" applyBorder="1" applyAlignment="1">
      <alignment horizontal="left" vertical="center" wrapText="1"/>
      <protection/>
    </xf>
    <xf numFmtId="4" fontId="2" fillId="36" borderId="26" xfId="53" applyNumberFormat="1" applyFill="1" applyBorder="1">
      <alignment/>
      <protection/>
    </xf>
    <xf numFmtId="3" fontId="40" fillId="0" borderId="18" xfId="55" applyNumberFormat="1" applyFont="1" applyBorder="1" applyAlignment="1">
      <alignment horizontal="right" vertical="center" wrapText="1"/>
      <protection/>
    </xf>
    <xf numFmtId="4" fontId="43" fillId="0" borderId="11" xfId="53" applyNumberFormat="1" applyFont="1" applyBorder="1" applyAlignment="1">
      <alignment horizontal="center" vertical="center" wrapText="1"/>
      <protection/>
    </xf>
    <xf numFmtId="4" fontId="43" fillId="0" borderId="12" xfId="53" applyNumberFormat="1" applyFont="1" applyBorder="1" applyAlignment="1">
      <alignment horizontal="center" vertical="center" wrapText="1"/>
      <protection/>
    </xf>
    <xf numFmtId="4" fontId="2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3" fontId="0" fillId="0" borderId="44" xfId="55" applyNumberFormat="1" applyFont="1" applyBorder="1" applyAlignment="1">
      <alignment horizontal="left" vertical="center" wrapText="1"/>
      <protection/>
    </xf>
    <xf numFmtId="4" fontId="18" fillId="0" borderId="36" xfId="53" applyNumberFormat="1" applyFont="1" applyBorder="1" applyAlignment="1">
      <alignment horizontal="left" vertical="center" wrapText="1"/>
      <protection/>
    </xf>
    <xf numFmtId="4" fontId="16" fillId="34" borderId="11" xfId="53" applyNumberFormat="1" applyFont="1" applyFill="1" applyBorder="1">
      <alignment/>
      <protection/>
    </xf>
    <xf numFmtId="4" fontId="16" fillId="35" borderId="12" xfId="53" applyNumberFormat="1" applyFont="1" applyFill="1" applyBorder="1">
      <alignment/>
      <protection/>
    </xf>
    <xf numFmtId="4" fontId="16" fillId="34" borderId="12" xfId="53" applyNumberFormat="1" applyFont="1" applyFill="1" applyBorder="1">
      <alignment/>
      <protection/>
    </xf>
    <xf numFmtId="4" fontId="2" fillId="36" borderId="35" xfId="53" applyNumberFormat="1" applyFill="1" applyBorder="1">
      <alignment/>
      <protection/>
    </xf>
    <xf numFmtId="4" fontId="2" fillId="36" borderId="14" xfId="53" applyNumberFormat="1" applyFill="1" applyBorder="1">
      <alignment/>
      <protection/>
    </xf>
    <xf numFmtId="4" fontId="39" fillId="0" borderId="16" xfId="53" applyNumberFormat="1" applyFont="1" applyBorder="1" applyAlignment="1">
      <alignment horizontal="left" vertical="center" wrapText="1"/>
      <protection/>
    </xf>
    <xf numFmtId="4" fontId="16" fillId="34" borderId="45" xfId="53" applyNumberFormat="1" applyFont="1" applyFill="1" applyBorder="1">
      <alignment/>
      <protection/>
    </xf>
    <xf numFmtId="4" fontId="16" fillId="34" borderId="46" xfId="53" applyNumberFormat="1" applyFont="1" applyFill="1" applyBorder="1">
      <alignment/>
      <protection/>
    </xf>
    <xf numFmtId="4" fontId="15" fillId="34" borderId="45" xfId="53" applyNumberFormat="1" applyFont="1" applyFill="1" applyBorder="1">
      <alignment/>
      <protection/>
    </xf>
    <xf numFmtId="3" fontId="40" fillId="0" borderId="11" xfId="55" applyNumberFormat="1" applyFont="1" applyBorder="1" applyAlignment="1">
      <alignment horizontal="right" vertical="center" wrapText="1"/>
      <protection/>
    </xf>
    <xf numFmtId="3" fontId="40" fillId="0" borderId="12" xfId="55" applyNumberFormat="1" applyFont="1" applyBorder="1" applyAlignment="1">
      <alignment horizontal="right" vertical="center" wrapText="1"/>
      <protection/>
    </xf>
    <xf numFmtId="49" fontId="2" fillId="0" borderId="20" xfId="51" applyNumberFormat="1" applyFont="1" applyFill="1" applyBorder="1" applyAlignment="1">
      <alignment horizontal="left"/>
      <protection/>
    </xf>
    <xf numFmtId="4" fontId="2" fillId="0" borderId="18" xfId="51" applyNumberFormat="1" applyFont="1" applyFill="1" applyBorder="1">
      <alignment/>
      <protection/>
    </xf>
    <xf numFmtId="4" fontId="2" fillId="0" borderId="45" xfId="51" applyNumberFormat="1" applyFont="1" applyFill="1" applyBorder="1">
      <alignment/>
      <protection/>
    </xf>
    <xf numFmtId="4" fontId="2" fillId="0" borderId="46" xfId="51" applyNumberFormat="1" applyFont="1" applyFill="1" applyBorder="1">
      <alignment/>
      <protection/>
    </xf>
    <xf numFmtId="4" fontId="6" fillId="0" borderId="10" xfId="51" applyNumberFormat="1" applyFont="1" applyFill="1" applyBorder="1">
      <alignment/>
      <protection/>
    </xf>
    <xf numFmtId="4" fontId="6" fillId="33" borderId="30" xfId="51" applyNumberFormat="1" applyFont="1" applyFill="1" applyBorder="1">
      <alignment/>
      <protection/>
    </xf>
    <xf numFmtId="4" fontId="6" fillId="33" borderId="38" xfId="51" applyNumberFormat="1" applyFont="1" applyFill="1" applyBorder="1">
      <alignment/>
      <protection/>
    </xf>
    <xf numFmtId="4" fontId="6" fillId="33" borderId="24" xfId="51" applyNumberFormat="1" applyFont="1" applyFill="1" applyBorder="1">
      <alignment/>
      <protection/>
    </xf>
    <xf numFmtId="0" fontId="0" fillId="0" borderId="18" xfId="51" applyFont="1" applyFill="1" applyBorder="1" applyAlignment="1">
      <alignment horizontal="left" wrapText="1"/>
      <protection/>
    </xf>
    <xf numFmtId="3" fontId="0" fillId="39" borderId="18" xfId="55" applyNumberFormat="1" applyFont="1" applyFill="1" applyBorder="1" applyAlignment="1">
      <alignment horizontal="left" vertical="center" wrapText="1"/>
      <protection/>
    </xf>
    <xf numFmtId="0" fontId="0" fillId="0" borderId="18" xfId="51" applyFont="1" applyFill="1" applyBorder="1" applyAlignment="1">
      <alignment horizontal="left"/>
      <protection/>
    </xf>
    <xf numFmtId="49" fontId="2" fillId="0" borderId="20" xfId="51" applyNumberFormat="1" applyFont="1" applyFill="1" applyBorder="1" applyAlignment="1">
      <alignment horizontal="left" wrapText="1"/>
      <protection/>
    </xf>
    <xf numFmtId="49" fontId="2" fillId="0" borderId="20" xfId="51" applyNumberFormat="1" applyFont="1" applyFill="1" applyBorder="1" applyAlignment="1">
      <alignment horizontal="right"/>
      <protection/>
    </xf>
    <xf numFmtId="0" fontId="6" fillId="0" borderId="45" xfId="51" applyFont="1" applyFill="1" applyBorder="1">
      <alignment/>
      <protection/>
    </xf>
    <xf numFmtId="49" fontId="2" fillId="0" borderId="45" xfId="51" applyNumberFormat="1" applyFont="1" applyFill="1" applyBorder="1" applyAlignment="1">
      <alignment horizontal="right"/>
      <protection/>
    </xf>
    <xf numFmtId="4" fontId="18" fillId="0" borderId="29" xfId="53" applyNumberFormat="1" applyFont="1" applyBorder="1" applyAlignment="1">
      <alignment horizontal="left" vertical="center" wrapText="1"/>
      <protection/>
    </xf>
    <xf numFmtId="0" fontId="2" fillId="0" borderId="16" xfId="51" applyFont="1" applyFill="1" applyBorder="1" applyAlignment="1">
      <alignment wrapText="1"/>
      <protection/>
    </xf>
    <xf numFmtId="0" fontId="7" fillId="37" borderId="13" xfId="51" applyFont="1" applyFill="1" applyBorder="1">
      <alignment/>
      <protection/>
    </xf>
    <xf numFmtId="0" fontId="2" fillId="0" borderId="16" xfId="51" applyFont="1" applyFill="1" applyBorder="1">
      <alignment/>
      <protection/>
    </xf>
    <xf numFmtId="0" fontId="2" fillId="0" borderId="17" xfId="51" applyFont="1" applyFill="1" applyBorder="1">
      <alignment/>
      <protection/>
    </xf>
    <xf numFmtId="0" fontId="6" fillId="0" borderId="36" xfId="51" applyFont="1" applyFill="1" applyBorder="1">
      <alignment/>
      <protection/>
    </xf>
    <xf numFmtId="4" fontId="2" fillId="0" borderId="36" xfId="51" applyNumberFormat="1" applyFont="1" applyFill="1" applyBorder="1">
      <alignment/>
      <protection/>
    </xf>
    <xf numFmtId="4" fontId="13" fillId="0" borderId="0" xfId="53" applyNumberFormat="1" applyFont="1">
      <alignment/>
      <protection/>
    </xf>
    <xf numFmtId="4" fontId="5" fillId="0" borderId="0" xfId="53" applyNumberFormat="1" applyFont="1">
      <alignment/>
      <protection/>
    </xf>
    <xf numFmtId="4" fontId="13" fillId="39" borderId="0" xfId="53" applyNumberFormat="1" applyFont="1" applyFill="1">
      <alignment/>
      <protection/>
    </xf>
    <xf numFmtId="4" fontId="2" fillId="0" borderId="0" xfId="53" applyNumberFormat="1" applyFont="1" applyFill="1">
      <alignment/>
      <protection/>
    </xf>
    <xf numFmtId="49" fontId="2" fillId="0" borderId="13" xfId="51" applyNumberFormat="1" applyFont="1" applyFill="1" applyBorder="1">
      <alignment/>
      <protection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4" fontId="6" fillId="38" borderId="36" xfId="51" applyNumberFormat="1" applyFont="1" applyFill="1" applyBorder="1">
      <alignment/>
      <protection/>
    </xf>
    <xf numFmtId="4" fontId="83" fillId="0" borderId="13" xfId="51" applyNumberFormat="1" applyFont="1" applyFill="1" applyBorder="1">
      <alignment/>
      <protection/>
    </xf>
    <xf numFmtId="4" fontId="6" fillId="0" borderId="16" xfId="51" applyNumberFormat="1" applyFont="1" applyFill="1" applyBorder="1">
      <alignment/>
      <protection/>
    </xf>
    <xf numFmtId="4" fontId="2" fillId="34" borderId="16" xfId="51" applyNumberFormat="1" applyFont="1" applyFill="1" applyBorder="1">
      <alignment/>
      <protection/>
    </xf>
    <xf numFmtId="4" fontId="6" fillId="0" borderId="16" xfId="51" applyNumberFormat="1" applyFont="1" applyFill="1" applyBorder="1">
      <alignment/>
      <protection/>
    </xf>
    <xf numFmtId="4" fontId="84" fillId="39" borderId="13" xfId="51" applyNumberFormat="1" applyFont="1" applyFill="1" applyBorder="1">
      <alignment/>
      <protection/>
    </xf>
    <xf numFmtId="4" fontId="85" fillId="39" borderId="13" xfId="51" applyNumberFormat="1" applyFont="1" applyFill="1" applyBorder="1">
      <alignment/>
      <protection/>
    </xf>
    <xf numFmtId="4" fontId="6" fillId="0" borderId="16" xfId="51" applyNumberFormat="1" applyFont="1" applyFill="1" applyBorder="1" applyAlignment="1">
      <alignment wrapText="1"/>
      <protection/>
    </xf>
    <xf numFmtId="4" fontId="6" fillId="34" borderId="16" xfId="51" applyNumberFormat="1" applyFont="1" applyFill="1" applyBorder="1" applyAlignment="1">
      <alignment wrapText="1"/>
      <protection/>
    </xf>
    <xf numFmtId="4" fontId="2" fillId="0" borderId="16" xfId="51" applyNumberFormat="1" applyFont="1" applyFill="1" applyBorder="1" applyAlignment="1">
      <alignment wrapText="1"/>
      <protection/>
    </xf>
    <xf numFmtId="4" fontId="6" fillId="34" borderId="16" xfId="51" applyNumberFormat="1" applyFont="1" applyFill="1" applyBorder="1">
      <alignment/>
      <protection/>
    </xf>
    <xf numFmtId="4" fontId="7" fillId="0" borderId="13" xfId="51" applyNumberFormat="1" applyFont="1" applyFill="1" applyBorder="1">
      <alignment/>
      <protection/>
    </xf>
    <xf numFmtId="4" fontId="6" fillId="39" borderId="13" xfId="51" applyNumberFormat="1" applyFont="1" applyFill="1" applyBorder="1">
      <alignment/>
      <protection/>
    </xf>
    <xf numFmtId="4" fontId="2" fillId="39" borderId="13" xfId="51" applyNumberFormat="1" applyFont="1" applyFill="1" applyBorder="1">
      <alignment/>
      <protection/>
    </xf>
    <xf numFmtId="4" fontId="6" fillId="39" borderId="23" xfId="51" applyNumberFormat="1" applyFont="1" applyFill="1" applyBorder="1">
      <alignment/>
      <protection/>
    </xf>
    <xf numFmtId="4" fontId="2" fillId="0" borderId="13" xfId="51" applyNumberFormat="1" applyFont="1" applyFill="1" applyBorder="1">
      <alignment/>
      <protection/>
    </xf>
    <xf numFmtId="4" fontId="2" fillId="0" borderId="13" xfId="0" applyNumberFormat="1" applyFont="1" applyBorder="1" applyAlignment="1">
      <alignment/>
    </xf>
    <xf numFmtId="4" fontId="22" fillId="0" borderId="13" xfId="51" applyNumberFormat="1" applyFont="1" applyFill="1" applyBorder="1">
      <alignment/>
      <protection/>
    </xf>
    <xf numFmtId="4" fontId="7" fillId="0" borderId="23" xfId="51" applyNumberFormat="1" applyFont="1" applyFill="1" applyBorder="1">
      <alignment/>
      <protection/>
    </xf>
    <xf numFmtId="4" fontId="84" fillId="0" borderId="13" xfId="51" applyNumberFormat="1" applyFont="1" applyBorder="1">
      <alignment/>
      <protection/>
    </xf>
    <xf numFmtId="4" fontId="20" fillId="0" borderId="13" xfId="51" applyNumberFormat="1" applyFont="1" applyFill="1" applyBorder="1">
      <alignment/>
      <protection/>
    </xf>
    <xf numFmtId="4" fontId="7" fillId="0" borderId="17" xfId="51" applyNumberFormat="1" applyFont="1" applyFill="1" applyBorder="1">
      <alignment/>
      <protection/>
    </xf>
    <xf numFmtId="4" fontId="12" fillId="34" borderId="14" xfId="53" applyNumberFormat="1" applyFont="1" applyFill="1" applyBorder="1" applyAlignment="1">
      <alignment horizontal="right"/>
      <protection/>
    </xf>
    <xf numFmtId="4" fontId="12" fillId="34" borderId="21" xfId="53" applyNumberFormat="1" applyFont="1" applyFill="1" applyBorder="1" applyAlignment="1">
      <alignment horizontal="right"/>
      <protection/>
    </xf>
    <xf numFmtId="4" fontId="12" fillId="34" borderId="19" xfId="53" applyNumberFormat="1" applyFont="1" applyFill="1" applyBorder="1" applyAlignment="1">
      <alignment horizontal="right"/>
      <protection/>
    </xf>
    <xf numFmtId="4" fontId="12" fillId="34" borderId="15" xfId="53" applyNumberFormat="1" applyFont="1" applyFill="1" applyBorder="1">
      <alignment/>
      <protection/>
    </xf>
    <xf numFmtId="4" fontId="12" fillId="34" borderId="38" xfId="53" applyNumberFormat="1" applyFont="1" applyFill="1" applyBorder="1">
      <alignment/>
      <protection/>
    </xf>
    <xf numFmtId="4" fontId="16" fillId="36" borderId="15" xfId="53" applyNumberFormat="1" applyFont="1" applyFill="1" applyBorder="1">
      <alignment/>
      <protection/>
    </xf>
    <xf numFmtId="4" fontId="16" fillId="36" borderId="38" xfId="53" applyNumberFormat="1" applyFont="1" applyFill="1" applyBorder="1">
      <alignment/>
      <protection/>
    </xf>
    <xf numFmtId="4" fontId="12" fillId="43" borderId="15" xfId="53" applyNumberFormat="1" applyFont="1" applyFill="1" applyBorder="1">
      <alignment/>
      <protection/>
    </xf>
    <xf numFmtId="4" fontId="12" fillId="43" borderId="38" xfId="53" applyNumberFormat="1" applyFont="1" applyFill="1" applyBorder="1">
      <alignment/>
      <protection/>
    </xf>
    <xf numFmtId="4" fontId="15" fillId="33" borderId="29" xfId="53" applyNumberFormat="1" applyFont="1" applyFill="1" applyBorder="1" applyAlignment="1">
      <alignment horizontal="right" vertical="center" wrapText="1"/>
      <protection/>
    </xf>
    <xf numFmtId="4" fontId="15" fillId="33" borderId="47" xfId="53" applyNumberFormat="1" applyFont="1" applyFill="1" applyBorder="1" applyAlignment="1">
      <alignment horizontal="right" vertical="center" wrapText="1"/>
      <protection/>
    </xf>
    <xf numFmtId="4" fontId="15" fillId="37" borderId="15" xfId="55" applyNumberFormat="1" applyFont="1" applyFill="1" applyBorder="1">
      <alignment/>
      <protection/>
    </xf>
    <xf numFmtId="4" fontId="15" fillId="37" borderId="15" xfId="53" applyNumberFormat="1" applyFont="1" applyFill="1" applyBorder="1">
      <alignment/>
      <protection/>
    </xf>
    <xf numFmtId="4" fontId="34" fillId="37" borderId="15" xfId="55" applyNumberFormat="1" applyFont="1" applyFill="1" applyBorder="1">
      <alignment/>
      <protection/>
    </xf>
    <xf numFmtId="4" fontId="16" fillId="0" borderId="16" xfId="55" applyNumberFormat="1" applyFont="1" applyFill="1" applyBorder="1">
      <alignment/>
      <protection/>
    </xf>
    <xf numFmtId="4" fontId="16" fillId="0" borderId="46" xfId="55" applyNumberFormat="1" applyFont="1" applyFill="1" applyBorder="1">
      <alignment/>
      <protection/>
    </xf>
    <xf numFmtId="4" fontId="16" fillId="39" borderId="16" xfId="55" applyNumberFormat="1" applyFont="1" applyFill="1" applyBorder="1">
      <alignment/>
      <protection/>
    </xf>
    <xf numFmtId="4" fontId="5" fillId="0" borderId="13" xfId="55" applyNumberFormat="1" applyFont="1" applyBorder="1">
      <alignment/>
      <protection/>
    </xf>
    <xf numFmtId="4" fontId="15" fillId="38" borderId="15" xfId="55" applyNumberFormat="1" applyFont="1" applyFill="1" applyBorder="1">
      <alignment/>
      <protection/>
    </xf>
    <xf numFmtId="4" fontId="16" fillId="0" borderId="36" xfId="53" applyNumberFormat="1" applyFont="1" applyFill="1" applyBorder="1">
      <alignment/>
      <protection/>
    </xf>
    <xf numFmtId="4" fontId="5" fillId="0" borderId="16" xfId="55" applyNumberFormat="1" applyFont="1" applyBorder="1">
      <alignment/>
      <protection/>
    </xf>
    <xf numFmtId="4" fontId="16" fillId="0" borderId="13" xfId="55" applyNumberFormat="1" applyFont="1" applyFill="1" applyBorder="1">
      <alignment/>
      <protection/>
    </xf>
    <xf numFmtId="4" fontId="16" fillId="0" borderId="41" xfId="55" applyNumberFormat="1" applyFont="1" applyFill="1" applyBorder="1">
      <alignment/>
      <protection/>
    </xf>
    <xf numFmtId="4" fontId="16" fillId="39" borderId="13" xfId="53" applyNumberFormat="1" applyFont="1" applyFill="1" applyBorder="1">
      <alignment/>
      <protection/>
    </xf>
    <xf numFmtId="4" fontId="5" fillId="39" borderId="13" xfId="55" applyNumberFormat="1" applyFont="1" applyFill="1" applyBorder="1">
      <alignment/>
      <protection/>
    </xf>
    <xf numFmtId="4" fontId="16" fillId="0" borderId="13" xfId="53" applyNumberFormat="1" applyFont="1" applyFill="1" applyBorder="1">
      <alignment/>
      <protection/>
    </xf>
    <xf numFmtId="4" fontId="16" fillId="0" borderId="23" xfId="55" applyNumberFormat="1" applyFont="1" applyFill="1" applyBorder="1">
      <alignment/>
      <protection/>
    </xf>
    <xf numFmtId="4" fontId="16" fillId="0" borderId="42" xfId="55" applyNumberFormat="1" applyFont="1" applyFill="1" applyBorder="1">
      <alignment/>
      <protection/>
    </xf>
    <xf numFmtId="4" fontId="16" fillId="0" borderId="23" xfId="53" applyNumberFormat="1" applyFont="1" applyFill="1" applyBorder="1">
      <alignment/>
      <protection/>
    </xf>
    <xf numFmtId="4" fontId="34" fillId="40" borderId="15" xfId="55" applyNumberFormat="1" applyFont="1" applyFill="1" applyBorder="1">
      <alignment/>
      <protection/>
    </xf>
    <xf numFmtId="4" fontId="16" fillId="0" borderId="46" xfId="53" applyNumberFormat="1" applyFont="1" applyFill="1" applyBorder="1">
      <alignment/>
      <protection/>
    </xf>
    <xf numFmtId="4" fontId="16" fillId="35" borderId="16" xfId="53" applyNumberFormat="1" applyFont="1" applyFill="1" applyBorder="1">
      <alignment/>
      <protection/>
    </xf>
    <xf numFmtId="4" fontId="16" fillId="35" borderId="46" xfId="53" applyNumberFormat="1" applyFont="1" applyFill="1" applyBorder="1">
      <alignment/>
      <protection/>
    </xf>
    <xf numFmtId="4" fontId="16" fillId="39" borderId="16" xfId="53" applyNumberFormat="1" applyFont="1" applyFill="1" applyBorder="1">
      <alignment/>
      <protection/>
    </xf>
    <xf numFmtId="4" fontId="16" fillId="0" borderId="42" xfId="53" applyNumberFormat="1" applyFont="1" applyFill="1" applyBorder="1">
      <alignment/>
      <protection/>
    </xf>
    <xf numFmtId="4" fontId="14" fillId="34" borderId="10" xfId="53" applyNumberFormat="1" applyFont="1" applyFill="1" applyBorder="1">
      <alignment/>
      <protection/>
    </xf>
    <xf numFmtId="4" fontId="15" fillId="33" borderId="15" xfId="53" applyNumberFormat="1" applyFont="1" applyFill="1" applyBorder="1">
      <alignment/>
      <protection/>
    </xf>
    <xf numFmtId="4" fontId="15" fillId="33" borderId="38" xfId="53" applyNumberFormat="1" applyFont="1" applyFill="1" applyBorder="1">
      <alignment/>
      <protection/>
    </xf>
    <xf numFmtId="4" fontId="16" fillId="44" borderId="13" xfId="55" applyNumberFormat="1" applyFont="1" applyFill="1" applyBorder="1">
      <alignment/>
      <protection/>
    </xf>
    <xf numFmtId="4" fontId="5" fillId="0" borderId="41" xfId="55" applyNumberFormat="1" applyFont="1" applyBorder="1">
      <alignment/>
      <protection/>
    </xf>
    <xf numFmtId="4" fontId="2" fillId="0" borderId="13" xfId="55" applyNumberFormat="1" applyFont="1" applyBorder="1">
      <alignment/>
      <protection/>
    </xf>
    <xf numFmtId="4" fontId="2" fillId="39" borderId="16" xfId="55" applyNumberFormat="1" applyFont="1" applyFill="1" applyBorder="1">
      <alignment/>
      <protection/>
    </xf>
    <xf numFmtId="4" fontId="2" fillId="39" borderId="46" xfId="55" applyNumberFormat="1" applyFont="1" applyFill="1" applyBorder="1">
      <alignment/>
      <protection/>
    </xf>
    <xf numFmtId="4" fontId="15" fillId="34" borderId="13" xfId="53" applyNumberFormat="1" applyFont="1" applyFill="1" applyBorder="1">
      <alignment/>
      <protection/>
    </xf>
    <xf numFmtId="4" fontId="15" fillId="0" borderId="41" xfId="53" applyNumberFormat="1" applyFont="1" applyFill="1" applyBorder="1">
      <alignment/>
      <protection/>
    </xf>
    <xf numFmtId="4" fontId="15" fillId="0" borderId="13" xfId="53" applyNumberFormat="1" applyFont="1" applyFill="1" applyBorder="1">
      <alignment/>
      <protection/>
    </xf>
    <xf numFmtId="4" fontId="15" fillId="0" borderId="16" xfId="53" applyNumberFormat="1" applyFont="1" applyFill="1" applyBorder="1">
      <alignment/>
      <protection/>
    </xf>
    <xf numFmtId="4" fontId="15" fillId="0" borderId="23" xfId="53" applyNumberFormat="1" applyFont="1" applyFill="1" applyBorder="1">
      <alignment/>
      <protection/>
    </xf>
    <xf numFmtId="4" fontId="18" fillId="0" borderId="16" xfId="53" applyNumberFormat="1" applyFont="1" applyFill="1" applyBorder="1">
      <alignment/>
      <protection/>
    </xf>
    <xf numFmtId="4" fontId="18" fillId="0" borderId="46" xfId="53" applyNumberFormat="1" applyFont="1" applyFill="1" applyBorder="1">
      <alignment/>
      <protection/>
    </xf>
    <xf numFmtId="4" fontId="18" fillId="0" borderId="10" xfId="53" applyNumberFormat="1" applyFont="1" applyFill="1" applyBorder="1">
      <alignment/>
      <protection/>
    </xf>
    <xf numFmtId="4" fontId="15" fillId="33" borderId="15" xfId="53" applyNumberFormat="1" applyFont="1" applyFill="1" applyBorder="1" applyAlignment="1">
      <alignment horizontal="right" vertical="center" wrapText="1"/>
      <protection/>
    </xf>
    <xf numFmtId="4" fontId="15" fillId="33" borderId="38" xfId="53" applyNumberFormat="1" applyFont="1" applyFill="1" applyBorder="1" applyAlignment="1">
      <alignment horizontal="right" vertical="center" wrapText="1"/>
      <protection/>
    </xf>
    <xf numFmtId="4" fontId="16" fillId="0" borderId="36" xfId="54" applyNumberFormat="1" applyFont="1" applyFill="1" applyBorder="1">
      <alignment/>
      <protection/>
    </xf>
    <xf numFmtId="4" fontId="17" fillId="0" borderId="36" xfId="55" applyNumberFormat="1" applyFont="1" applyFill="1" applyBorder="1">
      <alignment/>
      <protection/>
    </xf>
    <xf numFmtId="4" fontId="16" fillId="0" borderId="13" xfId="54" applyNumberFormat="1" applyFont="1" applyFill="1" applyBorder="1">
      <alignment/>
      <protection/>
    </xf>
    <xf numFmtId="4" fontId="19" fillId="0" borderId="16" xfId="55" applyNumberFormat="1" applyFont="1" applyBorder="1">
      <alignment/>
      <protection/>
    </xf>
    <xf numFmtId="4" fontId="16" fillId="0" borderId="16" xfId="54" applyNumberFormat="1" applyFont="1" applyFill="1" applyBorder="1">
      <alignment/>
      <protection/>
    </xf>
    <xf numFmtId="4" fontId="16" fillId="24" borderId="13" xfId="53" applyNumberFormat="1" applyFont="1" applyFill="1" applyBorder="1">
      <alignment/>
      <protection/>
    </xf>
    <xf numFmtId="4" fontId="16" fillId="0" borderId="41" xfId="53" applyNumberFormat="1" applyFont="1" applyFill="1" applyBorder="1">
      <alignment/>
      <protection/>
    </xf>
    <xf numFmtId="4" fontId="16" fillId="10" borderId="15" xfId="53" applyNumberFormat="1" applyFont="1" applyFill="1" applyBorder="1">
      <alignment/>
      <protection/>
    </xf>
    <xf numFmtId="4" fontId="16" fillId="10" borderId="38" xfId="53" applyNumberFormat="1" applyFont="1" applyFill="1" applyBorder="1">
      <alignment/>
      <protection/>
    </xf>
    <xf numFmtId="4" fontId="16" fillId="10" borderId="15" xfId="53" applyNumberFormat="1" applyFont="1" applyFill="1" applyBorder="1">
      <alignment/>
      <protection/>
    </xf>
    <xf numFmtId="4" fontId="16" fillId="10" borderId="10" xfId="53" applyNumberFormat="1" applyFont="1" applyFill="1" applyBorder="1">
      <alignment/>
      <protection/>
    </xf>
    <xf numFmtId="4" fontId="16" fillId="10" borderId="0" xfId="53" applyNumberFormat="1" applyFont="1" applyFill="1" applyBorder="1">
      <alignment/>
      <protection/>
    </xf>
    <xf numFmtId="4" fontId="16" fillId="10" borderId="10" xfId="53" applyNumberFormat="1" applyFont="1" applyFill="1" applyBorder="1">
      <alignment/>
      <protection/>
    </xf>
    <xf numFmtId="4" fontId="6" fillId="10" borderId="13" xfId="51" applyNumberFormat="1" applyFont="1" applyFill="1" applyBorder="1">
      <alignment/>
      <protection/>
    </xf>
    <xf numFmtId="4" fontId="16" fillId="34" borderId="10" xfId="53" applyNumberFormat="1" applyFont="1" applyFill="1" applyBorder="1">
      <alignment/>
      <protection/>
    </xf>
    <xf numFmtId="4" fontId="16" fillId="34" borderId="0" xfId="53" applyNumberFormat="1" applyFont="1" applyFill="1" applyBorder="1">
      <alignment/>
      <protection/>
    </xf>
    <xf numFmtId="4" fontId="16" fillId="34" borderId="10" xfId="53" applyNumberFormat="1" applyFont="1" applyFill="1" applyBorder="1">
      <alignment/>
      <protection/>
    </xf>
    <xf numFmtId="4" fontId="12" fillId="45" borderId="15" xfId="53" applyNumberFormat="1" applyFont="1" applyFill="1" applyBorder="1">
      <alignment/>
      <protection/>
    </xf>
    <xf numFmtId="4" fontId="12" fillId="45" borderId="38" xfId="53" applyNumberFormat="1" applyFont="1" applyFill="1" applyBorder="1">
      <alignment/>
      <protection/>
    </xf>
    <xf numFmtId="4" fontId="12" fillId="45" borderId="29" xfId="53" applyNumberFormat="1" applyFont="1" applyFill="1" applyBorder="1">
      <alignment/>
      <protection/>
    </xf>
    <xf numFmtId="4" fontId="12" fillId="45" borderId="47" xfId="53" applyNumberFormat="1" applyFont="1" applyFill="1" applyBorder="1">
      <alignment/>
      <protection/>
    </xf>
    <xf numFmtId="4" fontId="16" fillId="0" borderId="48" xfId="53" applyNumberFormat="1" applyFont="1" applyFill="1" applyBorder="1">
      <alignment/>
      <protection/>
    </xf>
    <xf numFmtId="4" fontId="16" fillId="0" borderId="36" xfId="53" applyNumberFormat="1" applyFont="1" applyBorder="1">
      <alignment/>
      <protection/>
    </xf>
    <xf numFmtId="4" fontId="16" fillId="0" borderId="13" xfId="53" applyNumberFormat="1" applyFont="1" applyBorder="1">
      <alignment/>
      <protection/>
    </xf>
    <xf numFmtId="4" fontId="16" fillId="0" borderId="23" xfId="53" applyNumberFormat="1" applyFont="1" applyBorder="1">
      <alignment/>
      <protection/>
    </xf>
    <xf numFmtId="4" fontId="16" fillId="0" borderId="17" xfId="53" applyNumberFormat="1" applyFont="1" applyFill="1" applyBorder="1">
      <alignment/>
      <protection/>
    </xf>
    <xf numFmtId="4" fontId="16" fillId="0" borderId="37" xfId="53" applyNumberFormat="1" applyFont="1" applyFill="1" applyBorder="1">
      <alignment/>
      <protection/>
    </xf>
    <xf numFmtId="4" fontId="16" fillId="0" borderId="17" xfId="53" applyNumberFormat="1" applyFont="1" applyBorder="1">
      <alignment/>
      <protection/>
    </xf>
    <xf numFmtId="4" fontId="9" fillId="0" borderId="15" xfId="53" applyNumberFormat="1" applyFont="1" applyBorder="1">
      <alignment/>
      <protection/>
    </xf>
    <xf numFmtId="4" fontId="6" fillId="34" borderId="24" xfId="53" applyNumberFormat="1" applyFont="1" applyFill="1" applyBorder="1">
      <alignment/>
      <protection/>
    </xf>
    <xf numFmtId="4" fontId="6" fillId="34" borderId="15" xfId="53" applyNumberFormat="1" applyFont="1" applyFill="1" applyBorder="1">
      <alignment/>
      <protection/>
    </xf>
    <xf numFmtId="4" fontId="35" fillId="37" borderId="15" xfId="53" applyNumberFormat="1" applyFont="1" applyFill="1" applyBorder="1">
      <alignment/>
      <protection/>
    </xf>
    <xf numFmtId="4" fontId="16" fillId="39" borderId="46" xfId="55" applyNumberFormat="1" applyFont="1" applyFill="1" applyBorder="1">
      <alignment/>
      <protection/>
    </xf>
    <xf numFmtId="4" fontId="35" fillId="38" borderId="15" xfId="53" applyNumberFormat="1" applyFont="1" applyFill="1" applyBorder="1">
      <alignment/>
      <protection/>
    </xf>
    <xf numFmtId="4" fontId="35" fillId="40" borderId="15" xfId="53" applyNumberFormat="1" applyFont="1" applyFill="1" applyBorder="1">
      <alignment/>
      <protection/>
    </xf>
    <xf numFmtId="4" fontId="35" fillId="0" borderId="13" xfId="53" applyNumberFormat="1" applyFont="1" applyFill="1" applyBorder="1">
      <alignment/>
      <protection/>
    </xf>
    <xf numFmtId="4" fontId="15" fillId="0" borderId="13" xfId="53" applyNumberFormat="1" applyFont="1" applyFill="1" applyBorder="1" applyAlignment="1">
      <alignment horizontal="right" vertical="center" wrapText="1"/>
      <protection/>
    </xf>
    <xf numFmtId="4" fontId="15" fillId="10" borderId="15" xfId="53" applyNumberFormat="1" applyFont="1" applyFill="1" applyBorder="1">
      <alignment/>
      <protection/>
    </xf>
    <xf numFmtId="4" fontId="15" fillId="10" borderId="10" xfId="53" applyNumberFormat="1" applyFont="1" applyFill="1" applyBorder="1">
      <alignment/>
      <protection/>
    </xf>
    <xf numFmtId="0" fontId="5" fillId="0" borderId="18" xfId="52" applyFont="1" applyFill="1" applyBorder="1">
      <alignment/>
      <protection/>
    </xf>
    <xf numFmtId="49" fontId="2" fillId="0" borderId="13" xfId="0" applyNumberFormat="1" applyFont="1" applyBorder="1" applyAlignment="1">
      <alignment horizontal="left"/>
    </xf>
    <xf numFmtId="3" fontId="0" fillId="0" borderId="16" xfId="55" applyNumberFormat="1" applyFont="1" applyFill="1" applyBorder="1" applyAlignment="1">
      <alignment vertical="center"/>
      <protection/>
    </xf>
    <xf numFmtId="4" fontId="0" fillId="46" borderId="18" xfId="55" applyNumberFormat="1" applyFont="1" applyFill="1" applyBorder="1" applyAlignment="1">
      <alignment horizontal="left" vertical="center" wrapText="1"/>
      <protection/>
    </xf>
    <xf numFmtId="3" fontId="0" fillId="46" borderId="16" xfId="55" applyNumberFormat="1" applyFont="1" applyFill="1" applyBorder="1" applyAlignment="1">
      <alignment vertical="center"/>
      <protection/>
    </xf>
    <xf numFmtId="3" fontId="44" fillId="46" borderId="16" xfId="55" applyNumberFormat="1" applyFont="1" applyFill="1" applyBorder="1" applyAlignment="1">
      <alignment vertical="center"/>
      <protection/>
    </xf>
    <xf numFmtId="4" fontId="0" fillId="19" borderId="18" xfId="55" applyNumberFormat="1" applyFont="1" applyFill="1" applyBorder="1" applyAlignment="1">
      <alignment horizontal="left" vertical="center" wrapText="1"/>
      <protection/>
    </xf>
    <xf numFmtId="3" fontId="44" fillId="19" borderId="16" xfId="55" applyNumberFormat="1" applyFont="1" applyFill="1" applyBorder="1" applyAlignment="1">
      <alignment vertical="center"/>
      <protection/>
    </xf>
    <xf numFmtId="4" fontId="10" fillId="39" borderId="22" xfId="53" applyNumberFormat="1" applyFont="1" applyFill="1" applyBorder="1" applyAlignment="1">
      <alignment horizontal="center"/>
      <protection/>
    </xf>
    <xf numFmtId="4" fontId="10" fillId="39" borderId="38" xfId="53" applyNumberFormat="1" applyFont="1" applyFill="1" applyBorder="1" applyAlignment="1">
      <alignment horizontal="center"/>
      <protection/>
    </xf>
    <xf numFmtId="4" fontId="44" fillId="37" borderId="15" xfId="55" applyNumberFormat="1" applyFont="1" applyFill="1" applyBorder="1" applyAlignment="1">
      <alignment horizontal="right"/>
      <protection/>
    </xf>
    <xf numFmtId="4" fontId="44" fillId="37" borderId="38" xfId="55" applyNumberFormat="1" applyFont="1" applyFill="1" applyBorder="1" applyAlignment="1">
      <alignment horizontal="right"/>
      <protection/>
    </xf>
    <xf numFmtId="4" fontId="0" fillId="0" borderId="18" xfId="55" applyNumberFormat="1" applyFont="1" applyBorder="1" applyAlignment="1">
      <alignment horizontal="right" vertical="center" wrapText="1"/>
      <protection/>
    </xf>
    <xf numFmtId="4" fontId="0" fillId="0" borderId="18" xfId="55" applyNumberFormat="1" applyFont="1" applyBorder="1" applyAlignment="1">
      <alignment vertical="center" wrapText="1"/>
      <protection/>
    </xf>
    <xf numFmtId="4" fontId="0" fillId="0" borderId="11" xfId="55" applyNumberFormat="1" applyFont="1" applyBorder="1" applyAlignment="1">
      <alignment vertical="center" wrapText="1"/>
      <protection/>
    </xf>
    <xf numFmtId="4" fontId="0" fillId="0" borderId="12" xfId="55" applyNumberFormat="1" applyFont="1" applyBorder="1" applyAlignment="1">
      <alignment vertical="center" wrapText="1"/>
      <protection/>
    </xf>
    <xf numFmtId="4" fontId="0" fillId="0" borderId="35" xfId="55" applyNumberFormat="1" applyFont="1" applyBorder="1" applyAlignment="1">
      <alignment vertical="center" wrapText="1"/>
      <protection/>
    </xf>
    <xf numFmtId="3" fontId="0" fillId="0" borderId="13" xfId="55" applyNumberFormat="1" applyFont="1" applyFill="1" applyBorder="1" applyAlignment="1">
      <alignment vertical="center"/>
      <protection/>
    </xf>
    <xf numFmtId="3" fontId="0" fillId="0" borderId="23" xfId="55" applyNumberFormat="1" applyFont="1" applyFill="1" applyBorder="1" applyAlignment="1">
      <alignment vertical="center"/>
      <protection/>
    </xf>
    <xf numFmtId="3" fontId="0" fillId="0" borderId="17" xfId="55" applyNumberFormat="1" applyFont="1" applyFill="1" applyBorder="1" applyAlignment="1">
      <alignment vertical="center"/>
      <protection/>
    </xf>
    <xf numFmtId="3" fontId="0" fillId="0" borderId="36" xfId="55" applyNumberFormat="1" applyFont="1" applyFill="1" applyBorder="1" applyAlignment="1">
      <alignment horizontal="right" vertical="center"/>
      <protection/>
    </xf>
    <xf numFmtId="3" fontId="0" fillId="19" borderId="16" xfId="55" applyNumberFormat="1" applyFont="1" applyFill="1" applyBorder="1" applyAlignment="1">
      <alignment horizontal="right" vertical="center"/>
      <protection/>
    </xf>
    <xf numFmtId="3" fontId="0" fillId="46" borderId="16" xfId="55" applyNumberFormat="1" applyFont="1" applyFill="1" applyBorder="1" applyAlignment="1">
      <alignment horizontal="right" vertical="center"/>
      <protection/>
    </xf>
    <xf numFmtId="3" fontId="0" fillId="47" borderId="16" xfId="55" applyNumberFormat="1" applyFont="1" applyFill="1" applyBorder="1" applyAlignment="1">
      <alignment horizontal="right" vertical="center"/>
      <protection/>
    </xf>
    <xf numFmtId="3" fontId="0" fillId="48" borderId="16" xfId="55" applyNumberFormat="1" applyFont="1" applyFill="1" applyBorder="1" applyAlignment="1">
      <alignment horizontal="right" vertical="center"/>
      <protection/>
    </xf>
    <xf numFmtId="3" fontId="0" fillId="49" borderId="16" xfId="55" applyNumberFormat="1" applyFont="1" applyFill="1" applyBorder="1" applyAlignment="1">
      <alignment horizontal="right" vertical="center"/>
      <protection/>
    </xf>
    <xf numFmtId="3" fontId="0" fillId="0" borderId="48" xfId="55" applyNumberFormat="1" applyFont="1" applyFill="1" applyBorder="1" applyAlignment="1">
      <alignment horizontal="right" vertical="center"/>
      <protection/>
    </xf>
    <xf numFmtId="3" fontId="0" fillId="19" borderId="41" xfId="55" applyNumberFormat="1" applyFont="1" applyFill="1" applyBorder="1" applyAlignment="1">
      <alignment horizontal="right" vertical="center"/>
      <protection/>
    </xf>
    <xf numFmtId="3" fontId="0" fillId="46" borderId="41" xfId="55" applyNumberFormat="1" applyFont="1" applyFill="1" applyBorder="1" applyAlignment="1">
      <alignment horizontal="right" vertical="center"/>
      <protection/>
    </xf>
    <xf numFmtId="3" fontId="0" fillId="50" borderId="41" xfId="55" applyNumberFormat="1" applyFont="1" applyFill="1" applyBorder="1" applyAlignment="1">
      <alignment horizontal="right" vertical="center"/>
      <protection/>
    </xf>
    <xf numFmtId="3" fontId="0" fillId="47" borderId="41" xfId="55" applyNumberFormat="1" applyFont="1" applyFill="1" applyBorder="1" applyAlignment="1">
      <alignment horizontal="right" vertical="center"/>
      <protection/>
    </xf>
    <xf numFmtId="3" fontId="0" fillId="48" borderId="41" xfId="55" applyNumberFormat="1" applyFont="1" applyFill="1" applyBorder="1" applyAlignment="1">
      <alignment horizontal="right" vertical="center"/>
      <protection/>
    </xf>
    <xf numFmtId="3" fontId="0" fillId="49" borderId="41" xfId="55" applyNumberFormat="1" applyFont="1" applyFill="1" applyBorder="1" applyAlignment="1">
      <alignment horizontal="right" vertical="center"/>
      <protection/>
    </xf>
    <xf numFmtId="3" fontId="0" fillId="19" borderId="23" xfId="55" applyNumberFormat="1" applyFont="1" applyFill="1" applyBorder="1" applyAlignment="1">
      <alignment horizontal="right" vertical="center"/>
      <protection/>
    </xf>
    <xf numFmtId="3" fontId="0" fillId="19" borderId="46" xfId="55" applyNumberFormat="1" applyFont="1" applyFill="1" applyBorder="1" applyAlignment="1">
      <alignment horizontal="right" vertical="center"/>
      <protection/>
    </xf>
    <xf numFmtId="3" fontId="0" fillId="46" borderId="23" xfId="55" applyNumberFormat="1" applyFont="1" applyFill="1" applyBorder="1" applyAlignment="1">
      <alignment horizontal="right" vertical="center"/>
      <protection/>
    </xf>
    <xf numFmtId="3" fontId="0" fillId="46" borderId="46" xfId="55" applyNumberFormat="1" applyFont="1" applyFill="1" applyBorder="1" applyAlignment="1">
      <alignment horizontal="right" vertical="center"/>
      <protection/>
    </xf>
    <xf numFmtId="3" fontId="0" fillId="19" borderId="13" xfId="55" applyNumberFormat="1" applyFont="1" applyFill="1" applyBorder="1" applyAlignment="1">
      <alignment horizontal="right" vertical="center"/>
      <protection/>
    </xf>
    <xf numFmtId="3" fontId="0" fillId="50" borderId="13" xfId="55" applyNumberFormat="1" applyFont="1" applyFill="1" applyBorder="1" applyAlignment="1">
      <alignment horizontal="right" vertical="center"/>
      <protection/>
    </xf>
    <xf numFmtId="3" fontId="0" fillId="47" borderId="13" xfId="55" applyNumberFormat="1" applyFont="1" applyFill="1" applyBorder="1" applyAlignment="1">
      <alignment horizontal="right" vertical="center"/>
      <protection/>
    </xf>
    <xf numFmtId="3" fontId="0" fillId="47" borderId="46" xfId="55" applyNumberFormat="1" applyFont="1" applyFill="1" applyBorder="1" applyAlignment="1">
      <alignment horizontal="right" vertical="center"/>
      <protection/>
    </xf>
    <xf numFmtId="3" fontId="0" fillId="48" borderId="13" xfId="55" applyNumberFormat="1" applyFont="1" applyFill="1" applyBorder="1" applyAlignment="1">
      <alignment horizontal="right" vertical="center"/>
      <protection/>
    </xf>
    <xf numFmtId="3" fontId="0" fillId="48" borderId="46" xfId="55" applyNumberFormat="1" applyFont="1" applyFill="1" applyBorder="1" applyAlignment="1">
      <alignment horizontal="right" vertical="center"/>
      <protection/>
    </xf>
    <xf numFmtId="3" fontId="0" fillId="49" borderId="13" xfId="55" applyNumberFormat="1" applyFont="1" applyFill="1" applyBorder="1" applyAlignment="1">
      <alignment horizontal="right" vertical="center"/>
      <protection/>
    </xf>
    <xf numFmtId="3" fontId="0" fillId="49" borderId="46" xfId="55" applyNumberFormat="1" applyFont="1" applyFill="1" applyBorder="1" applyAlignment="1">
      <alignment horizontal="right" vertical="center"/>
      <protection/>
    </xf>
    <xf numFmtId="3" fontId="44" fillId="0" borderId="36" xfId="55" applyNumberFormat="1" applyFont="1" applyFill="1" applyBorder="1" applyAlignment="1">
      <alignment horizontal="right" vertical="center"/>
      <protection/>
    </xf>
    <xf numFmtId="3" fontId="44" fillId="19" borderId="16" xfId="55" applyNumberFormat="1" applyFont="1" applyFill="1" applyBorder="1" applyAlignment="1">
      <alignment horizontal="right" vertical="center"/>
      <protection/>
    </xf>
    <xf numFmtId="3" fontId="44" fillId="46" borderId="16" xfId="55" applyNumberFormat="1" applyFont="1" applyFill="1" applyBorder="1" applyAlignment="1">
      <alignment horizontal="right" vertical="center"/>
      <protection/>
    </xf>
    <xf numFmtId="3" fontId="44" fillId="48" borderId="16" xfId="55" applyNumberFormat="1" applyFont="1" applyFill="1" applyBorder="1" applyAlignment="1">
      <alignment horizontal="right" vertical="center"/>
      <protection/>
    </xf>
    <xf numFmtId="3" fontId="44" fillId="49" borderId="16" xfId="55" applyNumberFormat="1" applyFont="1" applyFill="1" applyBorder="1" applyAlignment="1">
      <alignment horizontal="right" vertical="center"/>
      <protection/>
    </xf>
    <xf numFmtId="4" fontId="0" fillId="34" borderId="49" xfId="55" applyNumberFormat="1" applyFont="1" applyFill="1" applyBorder="1" applyAlignment="1">
      <alignment horizontal="right" vertical="center" wrapText="1"/>
      <protection/>
    </xf>
    <xf numFmtId="4" fontId="0" fillId="19" borderId="18" xfId="55" applyNumberFormat="1" applyFont="1" applyFill="1" applyBorder="1" applyAlignment="1">
      <alignment horizontal="right" vertical="center" wrapText="1"/>
      <protection/>
    </xf>
    <xf numFmtId="4" fontId="0" fillId="46" borderId="18" xfId="55" applyNumberFormat="1" applyFont="1" applyFill="1" applyBorder="1" applyAlignment="1">
      <alignment horizontal="right" vertical="center" wrapText="1"/>
      <protection/>
    </xf>
    <xf numFmtId="4" fontId="0" fillId="47" borderId="18" xfId="55" applyNumberFormat="1" applyFont="1" applyFill="1" applyBorder="1" applyAlignment="1">
      <alignment horizontal="right" vertical="center" wrapText="1"/>
      <protection/>
    </xf>
    <xf numFmtId="4" fontId="0" fillId="48" borderId="33" xfId="55" applyNumberFormat="1" applyFont="1" applyFill="1" applyBorder="1" applyAlignment="1">
      <alignment horizontal="right" vertical="center" wrapText="1"/>
      <protection/>
    </xf>
    <xf numFmtId="4" fontId="0" fillId="49" borderId="49" xfId="55" applyNumberFormat="1" applyFont="1" applyFill="1" applyBorder="1" applyAlignment="1">
      <alignment horizontal="right" vertical="center" wrapText="1"/>
      <protection/>
    </xf>
    <xf numFmtId="4" fontId="0" fillId="0" borderId="18" xfId="55" applyNumberFormat="1" applyFont="1" applyBorder="1" applyAlignment="1">
      <alignment horizontal="right" vertical="center"/>
      <protection/>
    </xf>
    <xf numFmtId="4" fontId="0" fillId="39" borderId="18" xfId="55" applyNumberFormat="1" applyFont="1" applyFill="1" applyBorder="1" applyAlignment="1">
      <alignment horizontal="right" vertical="center" wrapText="1"/>
      <protection/>
    </xf>
    <xf numFmtId="4" fontId="0" fillId="39" borderId="18" xfId="55" applyNumberFormat="1" applyFont="1" applyFill="1" applyBorder="1" applyAlignment="1">
      <alignment horizontal="right" vertical="center"/>
      <protection/>
    </xf>
    <xf numFmtId="3" fontId="0" fillId="0" borderId="36" xfId="55" applyNumberFormat="1" applyFont="1" applyFill="1" applyBorder="1" applyAlignment="1">
      <alignment vertical="center"/>
      <protection/>
    </xf>
    <xf numFmtId="4" fontId="44" fillId="48" borderId="22" xfId="55" applyNumberFormat="1" applyFont="1" applyFill="1" applyBorder="1" applyAlignment="1">
      <alignment horizontal="left" vertical="center" wrapText="1"/>
      <protection/>
    </xf>
    <xf numFmtId="4" fontId="0" fillId="37" borderId="18" xfId="55" applyNumberFormat="1" applyFont="1" applyFill="1" applyBorder="1" applyAlignment="1">
      <alignment horizontal="left" vertical="center" wrapText="1"/>
      <protection/>
    </xf>
    <xf numFmtId="4" fontId="0" fillId="51" borderId="11" xfId="55" applyNumberFormat="1" applyFont="1" applyFill="1" applyBorder="1" applyAlignment="1">
      <alignment horizontal="left" vertical="center" wrapText="1"/>
      <protection/>
    </xf>
    <xf numFmtId="4" fontId="0" fillId="52" borderId="11" xfId="55" applyNumberFormat="1" applyFont="1" applyFill="1" applyBorder="1" applyAlignment="1">
      <alignment horizontal="left" vertical="center" wrapText="1"/>
      <protection/>
    </xf>
    <xf numFmtId="4" fontId="0" fillId="53" borderId="11" xfId="55" applyNumberFormat="1" applyFont="1" applyFill="1" applyBorder="1" applyAlignment="1">
      <alignment horizontal="left" vertical="center" wrapText="1"/>
      <protection/>
    </xf>
    <xf numFmtId="4" fontId="0" fillId="53" borderId="18" xfId="55" applyNumberFormat="1" applyFont="1" applyFill="1" applyBorder="1" applyAlignment="1">
      <alignment horizontal="left" vertical="center" wrapText="1"/>
      <protection/>
    </xf>
    <xf numFmtId="3" fontId="44" fillId="48" borderId="15" xfId="55" applyNumberFormat="1" applyFont="1" applyFill="1" applyBorder="1" applyAlignment="1">
      <alignment vertical="center"/>
      <protection/>
    </xf>
    <xf numFmtId="3" fontId="44" fillId="9" borderId="15" xfId="55" applyNumberFormat="1" applyFont="1" applyFill="1" applyBorder="1" applyAlignment="1">
      <alignment horizontal="right" vertical="center" wrapText="1"/>
      <protection/>
    </xf>
    <xf numFmtId="3" fontId="0" fillId="37" borderId="13" xfId="55" applyNumberFormat="1" applyFont="1" applyFill="1" applyBorder="1" applyAlignment="1">
      <alignment vertical="center"/>
      <protection/>
    </xf>
    <xf numFmtId="3" fontId="0" fillId="51" borderId="13" xfId="55" applyNumberFormat="1" applyFont="1" applyFill="1" applyBorder="1" applyAlignment="1">
      <alignment vertical="center"/>
      <protection/>
    </xf>
    <xf numFmtId="3" fontId="0" fillId="52" borderId="13" xfId="55" applyNumberFormat="1" applyFont="1" applyFill="1" applyBorder="1" applyAlignment="1">
      <alignment vertical="center"/>
      <protection/>
    </xf>
    <xf numFmtId="3" fontId="0" fillId="53" borderId="13" xfId="55" applyNumberFormat="1" applyFont="1" applyFill="1" applyBorder="1" applyAlignment="1">
      <alignment vertical="center"/>
      <protection/>
    </xf>
    <xf numFmtId="4" fontId="12" fillId="48" borderId="16" xfId="53" applyNumberFormat="1" applyFont="1" applyFill="1" applyBorder="1" applyAlignment="1">
      <alignment horizontal="right" vertical="center" wrapText="1"/>
      <protection/>
    </xf>
    <xf numFmtId="4" fontId="44" fillId="44" borderId="22" xfId="55" applyNumberFormat="1" applyFont="1" applyFill="1" applyBorder="1" applyAlignment="1">
      <alignment horizontal="left" vertical="center" wrapText="1"/>
      <protection/>
    </xf>
    <xf numFmtId="4" fontId="16" fillId="54" borderId="13" xfId="53" applyNumberFormat="1" applyFont="1" applyFill="1" applyBorder="1">
      <alignment/>
      <protection/>
    </xf>
    <xf numFmtId="4" fontId="16" fillId="52" borderId="13" xfId="53" applyNumberFormat="1" applyFont="1" applyFill="1" applyBorder="1">
      <alignment/>
      <protection/>
    </xf>
    <xf numFmtId="4" fontId="16" fillId="55" borderId="13" xfId="53" applyNumberFormat="1" applyFont="1" applyFill="1" applyBorder="1">
      <alignment/>
      <protection/>
    </xf>
    <xf numFmtId="4" fontId="15" fillId="55" borderId="13" xfId="53" applyNumberFormat="1" applyFont="1" applyFill="1" applyBorder="1">
      <alignment/>
      <protection/>
    </xf>
    <xf numFmtId="4" fontId="15" fillId="55" borderId="16" xfId="53" applyNumberFormat="1" applyFont="1" applyFill="1" applyBorder="1" applyAlignment="1">
      <alignment horizontal="right" vertical="center" wrapText="1"/>
      <protection/>
    </xf>
    <xf numFmtId="4" fontId="6" fillId="0" borderId="0" xfId="53" applyNumberFormat="1" applyFont="1" applyBorder="1" applyAlignment="1">
      <alignment horizontal="right"/>
      <protection/>
    </xf>
    <xf numFmtId="4" fontId="6" fillId="0" borderId="19" xfId="53" applyNumberFormat="1" applyFont="1" applyBorder="1" applyAlignment="1">
      <alignment horizontal="center"/>
      <protection/>
    </xf>
    <xf numFmtId="4" fontId="6" fillId="16" borderId="15" xfId="53" applyNumberFormat="1" applyFont="1" applyFill="1" applyBorder="1" applyAlignment="1">
      <alignment horizontal="center"/>
      <protection/>
    </xf>
    <xf numFmtId="4" fontId="11" fillId="39" borderId="16" xfId="53" applyNumberFormat="1" applyFont="1" applyFill="1" applyBorder="1" applyAlignment="1">
      <alignment horizontal="right"/>
      <protection/>
    </xf>
    <xf numFmtId="4" fontId="11" fillId="39" borderId="13" xfId="53" applyNumberFormat="1" applyFont="1" applyFill="1" applyBorder="1" applyAlignment="1">
      <alignment horizontal="right"/>
      <protection/>
    </xf>
    <xf numFmtId="4" fontId="11" fillId="34" borderId="23" xfId="53" applyNumberFormat="1" applyFont="1" applyFill="1" applyBorder="1" applyAlignment="1">
      <alignment horizontal="right"/>
      <protection/>
    </xf>
    <xf numFmtId="4" fontId="7" fillId="0" borderId="16" xfId="55" applyNumberFormat="1" applyFont="1" applyBorder="1">
      <alignment/>
      <protection/>
    </xf>
    <xf numFmtId="4" fontId="7" fillId="0" borderId="13" xfId="55" applyNumberFormat="1" applyFont="1" applyBorder="1">
      <alignment/>
      <protection/>
    </xf>
    <xf numFmtId="4" fontId="10" fillId="35" borderId="16" xfId="53" applyNumberFormat="1" applyFont="1" applyFill="1" applyBorder="1" applyAlignment="1">
      <alignment horizontal="right"/>
      <protection/>
    </xf>
    <xf numFmtId="4" fontId="35" fillId="34" borderId="13" xfId="53" applyNumberFormat="1" applyFont="1" applyFill="1" applyBorder="1">
      <alignment/>
      <protection/>
    </xf>
    <xf numFmtId="4" fontId="35" fillId="34" borderId="23" xfId="53" applyNumberFormat="1" applyFont="1" applyFill="1" applyBorder="1">
      <alignment/>
      <protection/>
    </xf>
    <xf numFmtId="4" fontId="35" fillId="0" borderId="16" xfId="53" applyNumberFormat="1" applyFont="1" applyFill="1" applyBorder="1">
      <alignment/>
      <protection/>
    </xf>
    <xf numFmtId="4" fontId="15" fillId="0" borderId="36" xfId="53" applyNumberFormat="1" applyFont="1" applyFill="1" applyBorder="1" applyAlignment="1">
      <alignment horizontal="right"/>
      <protection/>
    </xf>
    <xf numFmtId="4" fontId="15" fillId="0" borderId="13" xfId="53" applyNumberFormat="1" applyFont="1" applyFill="1" applyBorder="1" applyAlignment="1">
      <alignment horizontal="right"/>
      <protection/>
    </xf>
    <xf numFmtId="4" fontId="15" fillId="44" borderId="13" xfId="53" applyNumberFormat="1" applyFont="1" applyFill="1" applyBorder="1">
      <alignment/>
      <protection/>
    </xf>
    <xf numFmtId="4" fontId="15" fillId="24" borderId="13" xfId="53" applyNumberFormat="1" applyFont="1" applyFill="1" applyBorder="1">
      <alignment/>
      <protection/>
    </xf>
    <xf numFmtId="4" fontId="15" fillId="54" borderId="13" xfId="53" applyNumberFormat="1" applyFont="1" applyFill="1" applyBorder="1">
      <alignment/>
      <protection/>
    </xf>
    <xf numFmtId="4" fontId="15" fillId="52" borderId="13" xfId="53" applyNumberFormat="1" applyFont="1" applyFill="1" applyBorder="1">
      <alignment/>
      <protection/>
    </xf>
    <xf numFmtId="4" fontId="15" fillId="34" borderId="10" xfId="53" applyNumberFormat="1" applyFont="1" applyFill="1" applyBorder="1">
      <alignment/>
      <protection/>
    </xf>
    <xf numFmtId="4" fontId="15" fillId="0" borderId="17" xfId="53" applyNumberFormat="1" applyFont="1" applyFill="1" applyBorder="1">
      <alignment/>
      <protection/>
    </xf>
    <xf numFmtId="4" fontId="15" fillId="35" borderId="23" xfId="53" applyNumberFormat="1" applyFont="1" applyFill="1" applyBorder="1">
      <alignment/>
      <protection/>
    </xf>
    <xf numFmtId="4" fontId="15" fillId="34" borderId="23" xfId="53" applyNumberFormat="1" applyFont="1" applyFill="1" applyBorder="1">
      <alignment/>
      <protection/>
    </xf>
    <xf numFmtId="4" fontId="15" fillId="36" borderId="17" xfId="53" applyNumberFormat="1" applyFont="1" applyFill="1" applyBorder="1">
      <alignment/>
      <protection/>
    </xf>
    <xf numFmtId="4" fontId="12" fillId="39" borderId="21" xfId="53" applyNumberFormat="1" applyFont="1" applyFill="1" applyBorder="1" applyAlignment="1">
      <alignment horizontal="right"/>
      <protection/>
    </xf>
    <xf numFmtId="4" fontId="15" fillId="0" borderId="15" xfId="55" applyNumberFormat="1" applyFont="1" applyFill="1" applyBorder="1">
      <alignment/>
      <protection/>
    </xf>
    <xf numFmtId="4" fontId="15" fillId="0" borderId="38" xfId="55" applyNumberFormat="1" applyFont="1" applyFill="1" applyBorder="1">
      <alignment/>
      <protection/>
    </xf>
    <xf numFmtId="4" fontId="0" fillId="46" borderId="33" xfId="55" applyNumberFormat="1" applyFont="1" applyFill="1" applyBorder="1" applyAlignment="1">
      <alignment horizontal="left" vertical="center" wrapText="1"/>
      <protection/>
    </xf>
    <xf numFmtId="3" fontId="0" fillId="46" borderId="10" xfId="55" applyNumberFormat="1" applyFont="1" applyFill="1" applyBorder="1" applyAlignment="1">
      <alignment vertical="center"/>
      <protection/>
    </xf>
    <xf numFmtId="3" fontId="44" fillId="46" borderId="10" xfId="55" applyNumberFormat="1" applyFont="1" applyFill="1" applyBorder="1" applyAlignment="1">
      <alignment vertical="center"/>
      <protection/>
    </xf>
    <xf numFmtId="4" fontId="0" fillId="38" borderId="15" xfId="55" applyNumberFormat="1" applyFont="1" applyFill="1" applyBorder="1" applyAlignment="1">
      <alignment horizontal="right"/>
      <protection/>
    </xf>
    <xf numFmtId="4" fontId="0" fillId="38" borderId="38" xfId="55" applyNumberFormat="1" applyFont="1" applyFill="1" applyBorder="1" applyAlignment="1">
      <alignment horizontal="right"/>
      <protection/>
    </xf>
    <xf numFmtId="4" fontId="5" fillId="0" borderId="23" xfId="55" applyNumberFormat="1" applyFont="1" applyBorder="1">
      <alignment/>
      <protection/>
    </xf>
    <xf numFmtId="4" fontId="44" fillId="40" borderId="15" xfId="55" applyNumberFormat="1" applyFont="1" applyFill="1" applyBorder="1" applyAlignment="1">
      <alignment horizontal="right"/>
      <protection/>
    </xf>
    <xf numFmtId="4" fontId="44" fillId="40" borderId="38" xfId="55" applyNumberFormat="1" applyFont="1" applyFill="1" applyBorder="1" applyAlignment="1">
      <alignment horizontal="right"/>
      <protection/>
    </xf>
    <xf numFmtId="3" fontId="12" fillId="34" borderId="22" xfId="55" applyNumberFormat="1" applyFont="1" applyFill="1" applyBorder="1" applyAlignment="1">
      <alignment horizontal="center" vertical="center" wrapText="1"/>
      <protection/>
    </xf>
    <xf numFmtId="4" fontId="16" fillId="0" borderId="15" xfId="53" applyNumberFormat="1" applyFont="1" applyFill="1" applyBorder="1">
      <alignment/>
      <protection/>
    </xf>
    <xf numFmtId="4" fontId="34" fillId="0" borderId="15" xfId="55" applyNumberFormat="1" applyFont="1" applyFill="1" applyBorder="1">
      <alignment/>
      <protection/>
    </xf>
    <xf numFmtId="4" fontId="15" fillId="0" borderId="15" xfId="53" applyNumberFormat="1" applyFont="1" applyFill="1" applyBorder="1">
      <alignment/>
      <protection/>
    </xf>
    <xf numFmtId="4" fontId="34" fillId="40" borderId="38" xfId="55" applyNumberFormat="1" applyFont="1" applyFill="1" applyBorder="1">
      <alignment/>
      <protection/>
    </xf>
    <xf numFmtId="4" fontId="17" fillId="0" borderId="13" xfId="55" applyNumberFormat="1" applyFont="1" applyFill="1" applyBorder="1">
      <alignment/>
      <protection/>
    </xf>
    <xf numFmtId="4" fontId="17" fillId="0" borderId="16" xfId="55" applyNumberFormat="1" applyFont="1" applyFill="1" applyBorder="1">
      <alignment/>
      <protection/>
    </xf>
    <xf numFmtId="4" fontId="2" fillId="0" borderId="10" xfId="55" applyNumberFormat="1" applyFont="1" applyBorder="1">
      <alignment/>
      <protection/>
    </xf>
    <xf numFmtId="4" fontId="11" fillId="39" borderId="15" xfId="53" applyNumberFormat="1" applyFont="1" applyFill="1" applyBorder="1" applyAlignment="1">
      <alignment horizontal="center" wrapText="1"/>
      <protection/>
    </xf>
    <xf numFmtId="3" fontId="0" fillId="0" borderId="36" xfId="55" applyNumberFormat="1" applyFont="1" applyBorder="1" applyAlignment="1">
      <alignment horizontal="right" vertical="center"/>
      <protection/>
    </xf>
    <xf numFmtId="4" fontId="12" fillId="34" borderId="22" xfId="53" applyNumberFormat="1" applyFont="1" applyFill="1" applyBorder="1" applyAlignment="1">
      <alignment horizontal="left" vertical="center" wrapText="1"/>
      <protection/>
    </xf>
    <xf numFmtId="4" fontId="39" fillId="0" borderId="33" xfId="53" applyNumberFormat="1" applyFont="1" applyBorder="1" applyAlignment="1">
      <alignment horizontal="left" vertical="center" wrapText="1"/>
      <protection/>
    </xf>
    <xf numFmtId="4" fontId="12" fillId="43" borderId="22" xfId="53" applyNumberFormat="1" applyFont="1" applyFill="1" applyBorder="1" applyAlignment="1">
      <alignment horizontal="left" vertical="center" wrapText="1"/>
      <protection/>
    </xf>
    <xf numFmtId="4" fontId="12" fillId="33" borderId="50" xfId="53" applyNumberFormat="1" applyFont="1" applyFill="1" applyBorder="1" applyAlignment="1">
      <alignment horizontal="left" vertical="center" wrapText="1"/>
      <protection/>
    </xf>
    <xf numFmtId="4" fontId="12" fillId="37" borderId="22" xfId="53" applyNumberFormat="1" applyFont="1" applyFill="1" applyBorder="1" applyAlignment="1">
      <alignment horizontal="left" vertical="center" wrapText="1"/>
      <protection/>
    </xf>
    <xf numFmtId="4" fontId="40" fillId="0" borderId="18" xfId="53" applyNumberFormat="1" applyFont="1" applyBorder="1" applyAlignment="1">
      <alignment horizontal="right" vertical="center" wrapText="1"/>
      <protection/>
    </xf>
    <xf numFmtId="4" fontId="39" fillId="38" borderId="11" xfId="53" applyNumberFormat="1" applyFont="1" applyFill="1" applyBorder="1" applyAlignment="1">
      <alignment horizontal="left" vertical="center" wrapText="1"/>
      <protection/>
    </xf>
    <xf numFmtId="4" fontId="39" fillId="0" borderId="11" xfId="53" applyNumberFormat="1" applyFont="1" applyBorder="1" applyAlignment="1">
      <alignment horizontal="left" vertical="center" wrapText="1"/>
      <protection/>
    </xf>
    <xf numFmtId="4" fontId="39" fillId="0" borderId="12" xfId="53" applyNumberFormat="1" applyFont="1" applyBorder="1" applyAlignment="1">
      <alignment horizontal="left" vertical="center" wrapText="1"/>
      <protection/>
    </xf>
    <xf numFmtId="4" fontId="41" fillId="0" borderId="11" xfId="53" applyNumberFormat="1" applyFont="1" applyBorder="1" applyAlignment="1">
      <alignment horizontal="right" vertical="center" wrapText="1"/>
      <protection/>
    </xf>
    <xf numFmtId="4" fontId="42" fillId="0" borderId="12" xfId="53" applyNumberFormat="1" applyFont="1" applyBorder="1" applyAlignment="1">
      <alignment horizontal="right" vertical="center" wrapText="1"/>
      <protection/>
    </xf>
    <xf numFmtId="4" fontId="12" fillId="33" borderId="22" xfId="53" applyNumberFormat="1" applyFont="1" applyFill="1" applyBorder="1" applyAlignment="1">
      <alignment horizontal="left" vertical="center" wrapText="1"/>
      <protection/>
    </xf>
    <xf numFmtId="4" fontId="12" fillId="33" borderId="22" xfId="53" applyNumberFormat="1" applyFont="1" applyFill="1" applyBorder="1" applyAlignment="1">
      <alignment horizontal="left" vertical="center" wrapText="1"/>
      <protection/>
    </xf>
    <xf numFmtId="4" fontId="12" fillId="0" borderId="14" xfId="53" applyNumberFormat="1" applyFont="1" applyFill="1" applyBorder="1" applyAlignment="1">
      <alignment horizontal="left" vertical="center" wrapText="1"/>
      <protection/>
    </xf>
    <xf numFmtId="3" fontId="39" fillId="0" borderId="49" xfId="55" applyNumberFormat="1" applyFont="1" applyFill="1" applyBorder="1" applyAlignment="1">
      <alignment horizontal="left" vertical="center" wrapText="1"/>
      <protection/>
    </xf>
    <xf numFmtId="3" fontId="39" fillId="0" borderId="11" xfId="55" applyNumberFormat="1" applyFont="1" applyFill="1" applyBorder="1" applyAlignment="1">
      <alignment horizontal="left" vertical="center" wrapText="1"/>
      <protection/>
    </xf>
    <xf numFmtId="4" fontId="12" fillId="10" borderId="22" xfId="53" applyNumberFormat="1" applyFont="1" applyFill="1" applyBorder="1">
      <alignment/>
      <protection/>
    </xf>
    <xf numFmtId="4" fontId="12" fillId="10" borderId="33" xfId="53" applyNumberFormat="1" applyFont="1" applyFill="1" applyBorder="1" applyAlignment="1">
      <alignment horizontal="left" vertical="center" wrapText="1"/>
      <protection/>
    </xf>
    <xf numFmtId="4" fontId="12" fillId="10" borderId="22" xfId="53" applyNumberFormat="1" applyFont="1" applyFill="1" applyBorder="1" applyAlignment="1">
      <alignment horizontal="left" vertical="center" wrapText="1"/>
      <protection/>
    </xf>
    <xf numFmtId="4" fontId="12" fillId="45" borderId="22" xfId="53" applyNumberFormat="1" applyFont="1" applyFill="1" applyBorder="1" applyAlignment="1">
      <alignment horizontal="left" vertical="center" wrapText="1"/>
      <protection/>
    </xf>
    <xf numFmtId="4" fontId="39" fillId="0" borderId="11" xfId="53" applyNumberFormat="1" applyFont="1" applyBorder="1" applyAlignment="1">
      <alignment horizontal="left" vertical="center" wrapText="1"/>
      <protection/>
    </xf>
    <xf numFmtId="4" fontId="39" fillId="0" borderId="35" xfId="53" applyNumberFormat="1" applyFont="1" applyBorder="1" applyAlignment="1">
      <alignment horizontal="left" vertical="center" wrapText="1"/>
      <protection/>
    </xf>
    <xf numFmtId="3" fontId="44" fillId="19" borderId="46" xfId="55" applyNumberFormat="1" applyFont="1" applyFill="1" applyBorder="1" applyAlignment="1">
      <alignment vertical="center"/>
      <protection/>
    </xf>
    <xf numFmtId="3" fontId="0" fillId="46" borderId="46" xfId="55" applyNumberFormat="1" applyFont="1" applyFill="1" applyBorder="1" applyAlignment="1">
      <alignment vertical="center"/>
      <protection/>
    </xf>
    <xf numFmtId="3" fontId="0" fillId="46" borderId="0" xfId="55" applyNumberFormat="1" applyFont="1" applyFill="1" applyBorder="1" applyAlignment="1">
      <alignment vertical="center"/>
      <protection/>
    </xf>
    <xf numFmtId="3" fontId="0" fillId="0" borderId="46" xfId="55" applyNumberFormat="1" applyFont="1" applyFill="1" applyBorder="1" applyAlignment="1">
      <alignment vertical="center"/>
      <protection/>
    </xf>
    <xf numFmtId="3" fontId="0" fillId="0" borderId="41" xfId="55" applyNumberFormat="1" applyFont="1" applyFill="1" applyBorder="1" applyAlignment="1">
      <alignment vertical="center"/>
      <protection/>
    </xf>
    <xf numFmtId="3" fontId="0" fillId="0" borderId="42" xfId="55" applyNumberFormat="1" applyFont="1" applyFill="1" applyBorder="1" applyAlignment="1">
      <alignment vertical="center"/>
      <protection/>
    </xf>
    <xf numFmtId="3" fontId="0" fillId="0" borderId="37" xfId="55" applyNumberFormat="1" applyFont="1" applyFill="1" applyBorder="1" applyAlignment="1">
      <alignment vertical="center"/>
      <protection/>
    </xf>
    <xf numFmtId="4" fontId="16" fillId="39" borderId="41" xfId="53" applyNumberFormat="1" applyFont="1" applyFill="1" applyBorder="1">
      <alignment/>
      <protection/>
    </xf>
    <xf numFmtId="4" fontId="16" fillId="34" borderId="42" xfId="53" applyNumberFormat="1" applyFont="1" applyFill="1" applyBorder="1">
      <alignment/>
      <protection/>
    </xf>
    <xf numFmtId="4" fontId="15" fillId="34" borderId="41" xfId="53" applyNumberFormat="1" applyFont="1" applyFill="1" applyBorder="1">
      <alignment/>
      <protection/>
    </xf>
    <xf numFmtId="3" fontId="0" fillId="0" borderId="48" xfId="55" applyNumberFormat="1" applyFont="1" applyFill="1" applyBorder="1" applyAlignment="1">
      <alignment vertical="center"/>
      <protection/>
    </xf>
    <xf numFmtId="3" fontId="44" fillId="48" borderId="38" xfId="55" applyNumberFormat="1" applyFont="1" applyFill="1" applyBorder="1" applyAlignment="1">
      <alignment vertical="center"/>
      <protection/>
    </xf>
    <xf numFmtId="3" fontId="44" fillId="9" borderId="38" xfId="55" applyNumberFormat="1" applyFont="1" applyFill="1" applyBorder="1" applyAlignment="1">
      <alignment horizontal="right" vertical="center" wrapText="1"/>
      <protection/>
    </xf>
    <xf numFmtId="3" fontId="0" fillId="37" borderId="41" xfId="55" applyNumberFormat="1" applyFont="1" applyFill="1" applyBorder="1" applyAlignment="1">
      <alignment vertical="center"/>
      <protection/>
    </xf>
    <xf numFmtId="3" fontId="0" fillId="51" borderId="41" xfId="55" applyNumberFormat="1" applyFont="1" applyFill="1" applyBorder="1" applyAlignment="1">
      <alignment vertical="center"/>
      <protection/>
    </xf>
    <xf numFmtId="3" fontId="0" fillId="52" borderId="41" xfId="55" applyNumberFormat="1" applyFont="1" applyFill="1" applyBorder="1" applyAlignment="1">
      <alignment vertical="center"/>
      <protection/>
    </xf>
    <xf numFmtId="3" fontId="0" fillId="53" borderId="41" xfId="55" applyNumberFormat="1" applyFont="1" applyFill="1" applyBorder="1" applyAlignment="1">
      <alignment vertical="center"/>
      <protection/>
    </xf>
    <xf numFmtId="4" fontId="10" fillId="39" borderId="38" xfId="53" applyNumberFormat="1" applyFont="1" applyFill="1" applyBorder="1" applyAlignment="1">
      <alignment horizontal="center" wrapText="1"/>
      <protection/>
    </xf>
    <xf numFmtId="4" fontId="15" fillId="36" borderId="38" xfId="53" applyNumberFormat="1" applyFont="1" applyFill="1" applyBorder="1">
      <alignment/>
      <protection/>
    </xf>
    <xf numFmtId="4" fontId="34" fillId="37" borderId="38" xfId="55" applyNumberFormat="1" applyFont="1" applyFill="1" applyBorder="1">
      <alignment/>
      <protection/>
    </xf>
    <xf numFmtId="4" fontId="11" fillId="34" borderId="46" xfId="55" applyNumberFormat="1" applyFont="1" applyFill="1" applyBorder="1" applyAlignment="1">
      <alignment horizontal="right"/>
      <protection/>
    </xf>
    <xf numFmtId="3" fontId="44" fillId="46" borderId="46" xfId="55" applyNumberFormat="1" applyFont="1" applyFill="1" applyBorder="1" applyAlignment="1">
      <alignment vertical="center"/>
      <protection/>
    </xf>
    <xf numFmtId="3" fontId="44" fillId="46" borderId="0" xfId="55" applyNumberFormat="1" applyFont="1" applyFill="1" applyBorder="1" applyAlignment="1">
      <alignment vertical="center"/>
      <protection/>
    </xf>
    <xf numFmtId="4" fontId="34" fillId="38" borderId="38" xfId="55" applyNumberFormat="1" applyFont="1" applyFill="1" applyBorder="1">
      <alignment/>
      <protection/>
    </xf>
    <xf numFmtId="4" fontId="11" fillId="39" borderId="41" xfId="55" applyNumberFormat="1" applyFont="1" applyFill="1" applyBorder="1" applyAlignment="1">
      <alignment horizontal="right"/>
      <protection/>
    </xf>
    <xf numFmtId="4" fontId="11" fillId="34" borderId="42" xfId="55" applyNumberFormat="1" applyFont="1" applyFill="1" applyBorder="1" applyAlignment="1">
      <alignment horizontal="right"/>
      <protection/>
    </xf>
    <xf numFmtId="4" fontId="11" fillId="0" borderId="46" xfId="55" applyNumberFormat="1" applyFont="1" applyFill="1" applyBorder="1" applyAlignment="1">
      <alignment horizontal="right"/>
      <protection/>
    </xf>
    <xf numFmtId="4" fontId="11" fillId="0" borderId="46" xfId="53" applyNumberFormat="1" applyFont="1" applyFill="1" applyBorder="1" applyAlignment="1">
      <alignment horizontal="right"/>
      <protection/>
    </xf>
    <xf numFmtId="4" fontId="11" fillId="35" borderId="46" xfId="53" applyNumberFormat="1" applyFont="1" applyFill="1" applyBorder="1" applyAlignment="1">
      <alignment horizontal="right"/>
      <protection/>
    </xf>
    <xf numFmtId="4" fontId="11" fillId="0" borderId="0" xfId="53" applyNumberFormat="1" applyFont="1" applyFill="1" applyBorder="1" applyAlignment="1">
      <alignment horizontal="right"/>
      <protection/>
    </xf>
    <xf numFmtId="4" fontId="15" fillId="0" borderId="38" xfId="55" applyNumberFormat="1" applyFont="1" applyFill="1" applyBorder="1">
      <alignment/>
      <protection/>
    </xf>
    <xf numFmtId="4" fontId="15" fillId="0" borderId="41" xfId="55" applyNumberFormat="1" applyFont="1" applyFill="1" applyBorder="1">
      <alignment/>
      <protection/>
    </xf>
    <xf numFmtId="4" fontId="15" fillId="33" borderId="38" xfId="53" applyNumberFormat="1" applyFont="1" applyFill="1" applyBorder="1">
      <alignment/>
      <protection/>
    </xf>
    <xf numFmtId="4" fontId="15" fillId="0" borderId="0" xfId="53" applyNumberFormat="1" applyFont="1" applyFill="1" applyBorder="1">
      <alignment/>
      <protection/>
    </xf>
    <xf numFmtId="4" fontId="15" fillId="33" borderId="38" xfId="53" applyNumberFormat="1" applyFont="1" applyFill="1" applyBorder="1" applyAlignment="1">
      <alignment vertical="center"/>
      <protection/>
    </xf>
    <xf numFmtId="4" fontId="34" fillId="0" borderId="48" xfId="55" applyNumberFormat="1" applyFont="1" applyFill="1" applyBorder="1">
      <alignment/>
      <protection/>
    </xf>
    <xf numFmtId="4" fontId="34" fillId="0" borderId="41" xfId="55" applyNumberFormat="1" applyFont="1" applyFill="1" applyBorder="1">
      <alignment/>
      <protection/>
    </xf>
    <xf numFmtId="3" fontId="0" fillId="37" borderId="46" xfId="55" applyNumberFormat="1" applyFont="1" applyFill="1" applyBorder="1" applyAlignment="1">
      <alignment vertical="center"/>
      <protection/>
    </xf>
    <xf numFmtId="3" fontId="0" fillId="54" borderId="46" xfId="55" applyNumberFormat="1" applyFont="1" applyFill="1" applyBorder="1" applyAlignment="1">
      <alignment vertical="center"/>
      <protection/>
    </xf>
    <xf numFmtId="3" fontId="0" fillId="52" borderId="46" xfId="55" applyNumberFormat="1" applyFont="1" applyFill="1" applyBorder="1" applyAlignment="1">
      <alignment vertical="center"/>
      <protection/>
    </xf>
    <xf numFmtId="4" fontId="15" fillId="10" borderId="38" xfId="53" applyNumberFormat="1" applyFont="1" applyFill="1" applyBorder="1">
      <alignment/>
      <protection/>
    </xf>
    <xf numFmtId="4" fontId="15" fillId="34" borderId="0" xfId="53" applyNumberFormat="1" applyFont="1" applyFill="1" applyBorder="1">
      <alignment/>
      <protection/>
    </xf>
    <xf numFmtId="4" fontId="15" fillId="34" borderId="37" xfId="53" applyNumberFormat="1" applyFont="1" applyFill="1" applyBorder="1">
      <alignment/>
      <protection/>
    </xf>
    <xf numFmtId="4" fontId="15" fillId="37" borderId="38" xfId="53" applyNumberFormat="1" applyFont="1" applyFill="1" applyBorder="1">
      <alignment/>
      <protection/>
    </xf>
    <xf numFmtId="4" fontId="16" fillId="39" borderId="46" xfId="53" applyNumberFormat="1" applyFont="1" applyFill="1" applyBorder="1">
      <alignment/>
      <protection/>
    </xf>
    <xf numFmtId="4" fontId="15" fillId="38" borderId="38" xfId="53" applyNumberFormat="1" applyFont="1" applyFill="1" applyBorder="1">
      <alignment/>
      <protection/>
    </xf>
    <xf numFmtId="4" fontId="16" fillId="0" borderId="38" xfId="53" applyNumberFormat="1" applyFont="1" applyFill="1" applyBorder="1">
      <alignment/>
      <protection/>
    </xf>
    <xf numFmtId="4" fontId="15" fillId="0" borderId="42" xfId="53" applyNumberFormat="1" applyFont="1" applyFill="1" applyBorder="1">
      <alignment/>
      <protection/>
    </xf>
    <xf numFmtId="4" fontId="16" fillId="0" borderId="48" xfId="54" applyNumberFormat="1" applyFont="1" applyFill="1" applyBorder="1">
      <alignment/>
      <protection/>
    </xf>
    <xf numFmtId="4" fontId="16" fillId="0" borderId="41" xfId="54" applyNumberFormat="1" applyFont="1" applyFill="1" applyBorder="1">
      <alignment/>
      <protection/>
    </xf>
    <xf numFmtId="4" fontId="16" fillId="0" borderId="46" xfId="54" applyNumberFormat="1" applyFont="1" applyFill="1" applyBorder="1">
      <alignment/>
      <protection/>
    </xf>
    <xf numFmtId="4" fontId="16" fillId="44" borderId="41" xfId="55" applyNumberFormat="1" applyFont="1" applyFill="1" applyBorder="1">
      <alignment/>
      <protection/>
    </xf>
    <xf numFmtId="4" fontId="16" fillId="24" borderId="41" xfId="53" applyNumberFormat="1" applyFont="1" applyFill="1" applyBorder="1">
      <alignment/>
      <protection/>
    </xf>
    <xf numFmtId="4" fontId="16" fillId="54" borderId="41" xfId="53" applyNumberFormat="1" applyFont="1" applyFill="1" applyBorder="1">
      <alignment/>
      <protection/>
    </xf>
    <xf numFmtId="4" fontId="16" fillId="52" borderId="41" xfId="53" applyNumberFormat="1" applyFont="1" applyFill="1" applyBorder="1">
      <alignment/>
      <protection/>
    </xf>
    <xf numFmtId="4" fontId="16" fillId="55" borderId="41" xfId="53" applyNumberFormat="1" applyFont="1" applyFill="1" applyBorder="1">
      <alignment/>
      <protection/>
    </xf>
    <xf numFmtId="4" fontId="15" fillId="55" borderId="41" xfId="53" applyNumberFormat="1" applyFont="1" applyFill="1" applyBorder="1">
      <alignment/>
      <protection/>
    </xf>
    <xf numFmtId="4" fontId="16" fillId="10" borderId="38" xfId="53" applyNumberFormat="1" applyFont="1" applyFill="1" applyBorder="1">
      <alignment/>
      <protection/>
    </xf>
    <xf numFmtId="4" fontId="16" fillId="10" borderId="0" xfId="53" applyNumberFormat="1" applyFont="1" applyFill="1" applyBorder="1">
      <alignment/>
      <protection/>
    </xf>
    <xf numFmtId="4" fontId="16" fillId="0" borderId="48" xfId="53" applyNumberFormat="1" applyFont="1" applyBorder="1">
      <alignment/>
      <protection/>
    </xf>
    <xf numFmtId="4" fontId="16" fillId="0" borderId="41" xfId="53" applyNumberFormat="1" applyFont="1" applyBorder="1">
      <alignment/>
      <protection/>
    </xf>
    <xf numFmtId="4" fontId="16" fillId="0" borderId="37" xfId="53" applyNumberFormat="1" applyFont="1" applyBorder="1">
      <alignment/>
      <protection/>
    </xf>
    <xf numFmtId="4" fontId="16" fillId="39" borderId="13" xfId="55" applyNumberFormat="1" applyFont="1" applyFill="1" applyBorder="1">
      <alignment/>
      <protection/>
    </xf>
    <xf numFmtId="4" fontId="15" fillId="40" borderId="15" xfId="55" applyNumberFormat="1" applyFont="1" applyFill="1" applyBorder="1">
      <alignment/>
      <protection/>
    </xf>
    <xf numFmtId="3" fontId="0" fillId="54" borderId="13" xfId="55" applyNumberFormat="1" applyFont="1" applyFill="1" applyBorder="1" applyAlignment="1">
      <alignment vertical="center"/>
      <protection/>
    </xf>
    <xf numFmtId="3" fontId="0" fillId="55" borderId="13" xfId="55" applyNumberFormat="1" applyFont="1" applyFill="1" applyBorder="1" applyAlignment="1">
      <alignment vertical="center"/>
      <protection/>
    </xf>
    <xf numFmtId="3" fontId="0" fillId="39" borderId="13" xfId="55" applyNumberFormat="1" applyFont="1" applyFill="1" applyBorder="1" applyAlignment="1">
      <alignment vertical="center"/>
      <protection/>
    </xf>
    <xf numFmtId="4" fontId="6" fillId="34" borderId="24" xfId="55" applyNumberFormat="1" applyFont="1" applyFill="1" applyBorder="1" applyAlignment="1">
      <alignment wrapText="1"/>
      <protection/>
    </xf>
    <xf numFmtId="4" fontId="12" fillId="34" borderId="24" xfId="53" applyNumberFormat="1" applyFont="1" applyFill="1" applyBorder="1" applyAlignment="1">
      <alignment horizontal="right"/>
      <protection/>
    </xf>
    <xf numFmtId="4" fontId="15" fillId="37" borderId="38" xfId="53" applyNumberFormat="1" applyFont="1" applyFill="1" applyBorder="1">
      <alignment/>
      <protection/>
    </xf>
    <xf numFmtId="4" fontId="15" fillId="38" borderId="38" xfId="53" applyNumberFormat="1" applyFont="1" applyFill="1" applyBorder="1">
      <alignment/>
      <protection/>
    </xf>
    <xf numFmtId="4" fontId="13" fillId="0" borderId="41" xfId="53" applyNumberFormat="1" applyFont="1" applyFill="1" applyBorder="1">
      <alignment/>
      <protection/>
    </xf>
    <xf numFmtId="4" fontId="13" fillId="34" borderId="42" xfId="53" applyNumberFormat="1" applyFont="1" applyFill="1" applyBorder="1">
      <alignment/>
      <protection/>
    </xf>
    <xf numFmtId="4" fontId="34" fillId="39" borderId="38" xfId="53" applyNumberFormat="1" applyFont="1" applyFill="1" applyBorder="1">
      <alignment/>
      <protection/>
    </xf>
    <xf numFmtId="4" fontId="30" fillId="0" borderId="41" xfId="53" applyNumberFormat="1" applyFont="1" applyFill="1" applyBorder="1">
      <alignment/>
      <protection/>
    </xf>
    <xf numFmtId="4" fontId="30" fillId="0" borderId="42" xfId="53" applyNumberFormat="1" applyFont="1" applyFill="1" applyBorder="1">
      <alignment/>
      <protection/>
    </xf>
    <xf numFmtId="4" fontId="2" fillId="0" borderId="46" xfId="53" applyNumberFormat="1" applyFill="1" applyBorder="1">
      <alignment/>
      <protection/>
    </xf>
    <xf numFmtId="4" fontId="16" fillId="0" borderId="48" xfId="53" applyNumberFormat="1" applyFont="1" applyFill="1" applyBorder="1">
      <alignment/>
      <protection/>
    </xf>
    <xf numFmtId="4" fontId="86" fillId="0" borderId="46" xfId="53" applyNumberFormat="1" applyFont="1" applyFill="1" applyBorder="1">
      <alignment/>
      <protection/>
    </xf>
    <xf numFmtId="4" fontId="13" fillId="24" borderId="41" xfId="53" applyNumberFormat="1" applyFont="1" applyFill="1" applyBorder="1">
      <alignment/>
      <protection/>
    </xf>
    <xf numFmtId="4" fontId="13" fillId="54" borderId="41" xfId="53" applyNumberFormat="1" applyFont="1" applyFill="1" applyBorder="1">
      <alignment/>
      <protection/>
    </xf>
    <xf numFmtId="4" fontId="13" fillId="52" borderId="41" xfId="53" applyNumberFormat="1" applyFont="1" applyFill="1" applyBorder="1">
      <alignment/>
      <protection/>
    </xf>
    <xf numFmtId="4" fontId="13" fillId="55" borderId="41" xfId="53" applyNumberFormat="1" applyFont="1" applyFill="1" applyBorder="1">
      <alignment/>
      <protection/>
    </xf>
    <xf numFmtId="4" fontId="13" fillId="10" borderId="38" xfId="53" applyNumberFormat="1" applyFont="1" applyFill="1" applyBorder="1">
      <alignment/>
      <protection/>
    </xf>
    <xf numFmtId="4" fontId="13" fillId="34" borderId="0" xfId="53" applyNumberFormat="1" applyFont="1" applyFill="1" applyBorder="1">
      <alignment/>
      <protection/>
    </xf>
    <xf numFmtId="4" fontId="11" fillId="34" borderId="15" xfId="55" applyNumberFormat="1" applyFont="1" applyFill="1" applyBorder="1" applyAlignment="1">
      <alignment horizontal="center" wrapText="1"/>
      <protection/>
    </xf>
    <xf numFmtId="4" fontId="19" fillId="0" borderId="13" xfId="55" applyNumberFormat="1" applyFont="1" applyBorder="1">
      <alignment/>
      <protection/>
    </xf>
    <xf numFmtId="4" fontId="5" fillId="0" borderId="13" xfId="53" applyNumberFormat="1" applyFont="1" applyBorder="1">
      <alignment/>
      <protection/>
    </xf>
    <xf numFmtId="4" fontId="17" fillId="0" borderId="13" xfId="53" applyNumberFormat="1" applyFont="1" applyFill="1" applyBorder="1">
      <alignment/>
      <protection/>
    </xf>
    <xf numFmtId="4" fontId="17" fillId="34" borderId="13" xfId="53" applyNumberFormat="1" applyFont="1" applyFill="1" applyBorder="1">
      <alignment/>
      <protection/>
    </xf>
    <xf numFmtId="4" fontId="17" fillId="0" borderId="13" xfId="53" applyNumberFormat="1" applyFont="1" applyFill="1" applyBorder="1">
      <alignment/>
      <protection/>
    </xf>
    <xf numFmtId="4" fontId="13" fillId="34" borderId="23" xfId="53" applyNumberFormat="1" applyFont="1" applyFill="1" applyBorder="1">
      <alignment/>
      <protection/>
    </xf>
    <xf numFmtId="4" fontId="34" fillId="39" borderId="15" xfId="53" applyNumberFormat="1" applyFont="1" applyFill="1" applyBorder="1">
      <alignment/>
      <protection/>
    </xf>
    <xf numFmtId="4" fontId="5" fillId="39" borderId="16" xfId="54" applyNumberFormat="1" applyFont="1" applyFill="1" applyBorder="1">
      <alignment/>
      <protection/>
    </xf>
    <xf numFmtId="4" fontId="19" fillId="0" borderId="13" xfId="53" applyNumberFormat="1" applyFont="1" applyBorder="1">
      <alignment/>
      <protection/>
    </xf>
    <xf numFmtId="4" fontId="30" fillId="0" borderId="13" xfId="53" applyNumberFormat="1" applyFont="1" applyFill="1" applyBorder="1">
      <alignment/>
      <protection/>
    </xf>
    <xf numFmtId="4" fontId="30" fillId="0" borderId="23" xfId="53" applyNumberFormat="1" applyFont="1" applyFill="1" applyBorder="1">
      <alignment/>
      <protection/>
    </xf>
    <xf numFmtId="4" fontId="30" fillId="33" borderId="15" xfId="53" applyNumberFormat="1" applyFont="1" applyFill="1" applyBorder="1">
      <alignment/>
      <protection/>
    </xf>
    <xf numFmtId="4" fontId="2" fillId="0" borderId="16" xfId="53" applyNumberFormat="1" applyFill="1" applyBorder="1">
      <alignment/>
      <protection/>
    </xf>
    <xf numFmtId="4" fontId="17" fillId="0" borderId="36" xfId="53" applyNumberFormat="1" applyFont="1" applyFill="1" applyBorder="1">
      <alignment/>
      <protection/>
    </xf>
    <xf numFmtId="4" fontId="34" fillId="34" borderId="13" xfId="53" applyNumberFormat="1" applyFont="1" applyFill="1" applyBorder="1">
      <alignment/>
      <protection/>
    </xf>
    <xf numFmtId="4" fontId="34" fillId="39" borderId="16" xfId="53" applyNumberFormat="1" applyFont="1" applyFill="1" applyBorder="1">
      <alignment/>
      <protection/>
    </xf>
    <xf numFmtId="4" fontId="17" fillId="24" borderId="13" xfId="53" applyNumberFormat="1" applyFont="1" applyFill="1" applyBorder="1">
      <alignment/>
      <protection/>
    </xf>
    <xf numFmtId="4" fontId="17" fillId="54" borderId="13" xfId="53" applyNumberFormat="1" applyFont="1" applyFill="1" applyBorder="1">
      <alignment/>
      <protection/>
    </xf>
    <xf numFmtId="4" fontId="17" fillId="52" borderId="13" xfId="53" applyNumberFormat="1" applyFont="1" applyFill="1" applyBorder="1">
      <alignment/>
      <protection/>
    </xf>
    <xf numFmtId="4" fontId="17" fillId="55" borderId="13" xfId="53" applyNumberFormat="1" applyFont="1" applyFill="1" applyBorder="1">
      <alignment/>
      <protection/>
    </xf>
    <xf numFmtId="4" fontId="34" fillId="55" borderId="13" xfId="53" applyNumberFormat="1" applyFont="1" applyFill="1" applyBorder="1">
      <alignment/>
      <protection/>
    </xf>
    <xf numFmtId="4" fontId="13" fillId="10" borderId="15" xfId="53" applyNumberFormat="1" applyFont="1" applyFill="1" applyBorder="1">
      <alignment/>
      <protection/>
    </xf>
    <xf numFmtId="4" fontId="13" fillId="10" borderId="15" xfId="53" applyNumberFormat="1" applyFont="1" applyFill="1" applyBorder="1">
      <alignment/>
      <protection/>
    </xf>
    <xf numFmtId="4" fontId="13" fillId="34" borderId="10" xfId="53" applyNumberFormat="1" applyFont="1" applyFill="1" applyBorder="1">
      <alignment/>
      <protection/>
    </xf>
    <xf numFmtId="4" fontId="0" fillId="34" borderId="11" xfId="55" applyNumberFormat="1" applyFont="1" applyFill="1" applyBorder="1" applyAlignment="1">
      <alignment horizontal="left" vertical="center" wrapText="1"/>
      <protection/>
    </xf>
    <xf numFmtId="4" fontId="0" fillId="0" borderId="11" xfId="55" applyNumberFormat="1" applyFont="1" applyBorder="1" applyAlignment="1">
      <alignment horizontal="left" vertical="center" wrapText="1"/>
      <protection/>
    </xf>
    <xf numFmtId="4" fontId="2" fillId="0" borderId="13" xfId="51" applyNumberFormat="1" applyFont="1" applyBorder="1">
      <alignment/>
      <protection/>
    </xf>
    <xf numFmtId="4" fontId="0" fillId="0" borderId="18" xfId="55" applyNumberFormat="1" applyFont="1" applyBorder="1" applyAlignment="1">
      <alignment horizontal="left" vertical="center" wrapText="1"/>
      <protection/>
    </xf>
    <xf numFmtId="4" fontId="16" fillId="34" borderId="21" xfId="53" applyNumberFormat="1" applyFont="1" applyFill="1" applyBorder="1">
      <alignment/>
      <protection/>
    </xf>
    <xf numFmtId="4" fontId="35" fillId="34" borderId="10" xfId="53" applyNumberFormat="1" applyFont="1" applyFill="1" applyBorder="1">
      <alignment/>
      <protection/>
    </xf>
    <xf numFmtId="4" fontId="0" fillId="39" borderId="18" xfId="55" applyNumberFormat="1" applyFont="1" applyFill="1" applyBorder="1" applyAlignment="1">
      <alignment horizontal="left" vertical="center"/>
      <protection/>
    </xf>
    <xf numFmtId="0" fontId="5" fillId="0" borderId="33" xfId="52" applyFont="1" applyFill="1" applyBorder="1">
      <alignment/>
      <protection/>
    </xf>
    <xf numFmtId="0" fontId="2" fillId="0" borderId="18" xfId="52" applyFont="1" applyFill="1" applyBorder="1" applyAlignment="1">
      <alignment wrapText="1"/>
      <protection/>
    </xf>
    <xf numFmtId="49" fontId="2" fillId="0" borderId="13" xfId="52" applyNumberFormat="1" applyFont="1" applyFill="1" applyBorder="1">
      <alignment/>
      <protection/>
    </xf>
    <xf numFmtId="4" fontId="2" fillId="0" borderId="13" xfId="52" applyNumberFormat="1" applyFont="1" applyFill="1" applyBorder="1" applyAlignment="1">
      <alignment wrapText="1"/>
      <protection/>
    </xf>
    <xf numFmtId="49" fontId="2" fillId="39" borderId="13" xfId="52" applyNumberFormat="1" applyFont="1" applyFill="1" applyBorder="1" applyAlignment="1">
      <alignment horizontal="left"/>
      <protection/>
    </xf>
    <xf numFmtId="4" fontId="2" fillId="0" borderId="13" xfId="52" applyNumberFormat="1" applyFont="1" applyFill="1" applyBorder="1">
      <alignment/>
      <protection/>
    </xf>
    <xf numFmtId="0" fontId="2" fillId="0" borderId="26" xfId="51" applyFont="1" applyFill="1" applyBorder="1" applyAlignment="1">
      <alignment horizontal="left"/>
      <protection/>
    </xf>
    <xf numFmtId="0" fontId="2" fillId="0" borderId="11" xfId="52" applyFont="1" applyFill="1" applyBorder="1" applyAlignment="1">
      <alignment wrapText="1"/>
      <protection/>
    </xf>
    <xf numFmtId="4" fontId="84" fillId="0" borderId="13" xfId="51" applyNumberFormat="1" applyFont="1" applyFill="1" applyBorder="1">
      <alignment/>
      <protection/>
    </xf>
    <xf numFmtId="4" fontId="84" fillId="0" borderId="13" xfId="51" applyNumberFormat="1" applyFont="1" applyFill="1" applyBorder="1" applyAlignment="1">
      <alignment wrapText="1"/>
      <protection/>
    </xf>
    <xf numFmtId="4" fontId="85" fillId="0" borderId="16" xfId="51" applyNumberFormat="1" applyFont="1" applyFill="1" applyBorder="1">
      <alignment/>
      <protection/>
    </xf>
    <xf numFmtId="4" fontId="85" fillId="0" borderId="16" xfId="51" applyNumberFormat="1" applyFont="1" applyFill="1" applyBorder="1" applyAlignment="1">
      <alignment wrapText="1"/>
      <protection/>
    </xf>
    <xf numFmtId="49" fontId="2" fillId="39" borderId="13" xfId="51" applyNumberFormat="1" applyFont="1" applyFill="1" applyBorder="1">
      <alignment/>
      <protection/>
    </xf>
    <xf numFmtId="4" fontId="84" fillId="39" borderId="16" xfId="51" applyNumberFormat="1" applyFont="1" applyFill="1" applyBorder="1">
      <alignment/>
      <protection/>
    </xf>
    <xf numFmtId="4" fontId="6" fillId="39" borderId="16" xfId="51" applyNumberFormat="1" applyFont="1" applyFill="1" applyBorder="1">
      <alignment/>
      <protection/>
    </xf>
    <xf numFmtId="4" fontId="22" fillId="0" borderId="16" xfId="51" applyNumberFormat="1" applyFont="1" applyFill="1" applyBorder="1" applyAlignment="1">
      <alignment wrapText="1"/>
      <protection/>
    </xf>
    <xf numFmtId="4" fontId="2" fillId="0" borderId="16" xfId="51" applyNumberFormat="1" applyFont="1" applyFill="1" applyBorder="1" applyAlignment="1">
      <alignment wrapText="1"/>
      <protection/>
    </xf>
    <xf numFmtId="4" fontId="2" fillId="0" borderId="17" xfId="51" applyNumberFormat="1" applyFont="1" applyBorder="1">
      <alignment/>
      <protection/>
    </xf>
    <xf numFmtId="4" fontId="2" fillId="0" borderId="16" xfId="51" applyNumberFormat="1" applyFont="1" applyFill="1" applyBorder="1">
      <alignment/>
      <protection/>
    </xf>
    <xf numFmtId="4" fontId="2" fillId="0" borderId="11" xfId="51" applyNumberFormat="1" applyFont="1" applyFill="1" applyBorder="1">
      <alignment/>
      <protection/>
    </xf>
    <xf numFmtId="4" fontId="2" fillId="0" borderId="11" xfId="52" applyNumberFormat="1" applyFont="1" applyFill="1" applyBorder="1">
      <alignment/>
      <protection/>
    </xf>
    <xf numFmtId="4" fontId="6" fillId="39" borderId="11" xfId="51" applyNumberFormat="1" applyFont="1" applyFill="1" applyBorder="1">
      <alignment/>
      <protection/>
    </xf>
    <xf numFmtId="4" fontId="6" fillId="0" borderId="11" xfId="51" applyNumberFormat="1" applyFont="1" applyFill="1" applyBorder="1">
      <alignment/>
      <protection/>
    </xf>
    <xf numFmtId="4" fontId="7" fillId="0" borderId="11" xfId="51" applyNumberFormat="1" applyFont="1" applyFill="1" applyBorder="1">
      <alignment/>
      <protection/>
    </xf>
    <xf numFmtId="4" fontId="20" fillId="0" borderId="11" xfId="51" applyNumberFormat="1" applyFont="1" applyFill="1" applyBorder="1">
      <alignment/>
      <protection/>
    </xf>
    <xf numFmtId="4" fontId="2" fillId="0" borderId="20" xfId="52" applyNumberFormat="1" applyFont="1" applyFill="1" applyBorder="1">
      <alignment/>
      <protection/>
    </xf>
    <xf numFmtId="4" fontId="2" fillId="39" borderId="20" xfId="51" applyNumberFormat="1" applyFont="1" applyFill="1" applyBorder="1">
      <alignment/>
      <protection/>
    </xf>
    <xf numFmtId="4" fontId="5" fillId="0" borderId="20" xfId="51" applyNumberFormat="1" applyFont="1" applyFill="1" applyBorder="1">
      <alignment/>
      <protection/>
    </xf>
    <xf numFmtId="4" fontId="84" fillId="0" borderId="20" xfId="51" applyNumberFormat="1" applyFont="1" applyBorder="1">
      <alignment/>
      <protection/>
    </xf>
    <xf numFmtId="4" fontId="5" fillId="0" borderId="23" xfId="51" applyNumberFormat="1" applyFont="1" applyFill="1" applyBorder="1">
      <alignment/>
      <protection/>
    </xf>
    <xf numFmtId="4" fontId="2" fillId="0" borderId="36" xfId="52" applyNumberFormat="1" applyFont="1" applyFill="1" applyBorder="1">
      <alignment/>
      <protection/>
    </xf>
    <xf numFmtId="4" fontId="0" fillId="0" borderId="13" xfId="0" applyNumberFormat="1" applyFont="1" applyBorder="1" applyAlignment="1">
      <alignment/>
    </xf>
    <xf numFmtId="4" fontId="2" fillId="39" borderId="16" xfId="51" applyNumberFormat="1" applyFont="1" applyFill="1" applyBorder="1">
      <alignment/>
      <protection/>
    </xf>
    <xf numFmtId="4" fontId="6" fillId="0" borderId="13" xfId="51" applyNumberFormat="1" applyFont="1" applyFill="1" applyBorder="1">
      <alignment/>
      <protection/>
    </xf>
    <xf numFmtId="4" fontId="12" fillId="34" borderId="22" xfId="53" applyNumberFormat="1" applyFont="1" applyFill="1" applyBorder="1">
      <alignment/>
      <protection/>
    </xf>
    <xf numFmtId="4" fontId="16" fillId="36" borderId="22" xfId="53" applyNumberFormat="1" applyFont="1" applyFill="1" applyBorder="1">
      <alignment/>
      <protection/>
    </xf>
    <xf numFmtId="4" fontId="12" fillId="43" borderId="22" xfId="53" applyNumberFormat="1" applyFont="1" applyFill="1" applyBorder="1">
      <alignment/>
      <protection/>
    </xf>
    <xf numFmtId="4" fontId="15" fillId="33" borderId="50" xfId="53" applyNumberFormat="1" applyFont="1" applyFill="1" applyBorder="1" applyAlignment="1">
      <alignment horizontal="right" vertical="center" wrapText="1"/>
      <protection/>
    </xf>
    <xf numFmtId="4" fontId="44" fillId="37" borderId="22" xfId="55" applyNumberFormat="1" applyFont="1" applyFill="1" applyBorder="1" applyAlignment="1">
      <alignment horizontal="right"/>
      <protection/>
    </xf>
    <xf numFmtId="3" fontId="44" fillId="19" borderId="18" xfId="55" applyNumberFormat="1" applyFont="1" applyFill="1" applyBorder="1" applyAlignment="1">
      <alignment vertical="center"/>
      <protection/>
    </xf>
    <xf numFmtId="4" fontId="16" fillId="0" borderId="18" xfId="55" applyNumberFormat="1" applyFont="1" applyFill="1" applyBorder="1">
      <alignment/>
      <protection/>
    </xf>
    <xf numFmtId="3" fontId="0" fillId="46" borderId="18" xfId="55" applyNumberFormat="1" applyFont="1" applyFill="1" applyBorder="1" applyAlignment="1">
      <alignment vertical="center"/>
      <protection/>
    </xf>
    <xf numFmtId="3" fontId="0" fillId="46" borderId="33" xfId="55" applyNumberFormat="1" applyFont="1" applyFill="1" applyBorder="1" applyAlignment="1">
      <alignment vertical="center"/>
      <protection/>
    </xf>
    <xf numFmtId="4" fontId="0" fillId="38" borderId="22" xfId="55" applyNumberFormat="1" applyFont="1" applyFill="1" applyBorder="1" applyAlignment="1">
      <alignment horizontal="right"/>
      <protection/>
    </xf>
    <xf numFmtId="4" fontId="16" fillId="0" borderId="11" xfId="55" applyNumberFormat="1" applyFont="1" applyFill="1" applyBorder="1">
      <alignment/>
      <protection/>
    </xf>
    <xf numFmtId="4" fontId="16" fillId="0" borderId="12" xfId="55" applyNumberFormat="1" applyFont="1" applyFill="1" applyBorder="1">
      <alignment/>
      <protection/>
    </xf>
    <xf numFmtId="4" fontId="44" fillId="40" borderId="22" xfId="55" applyNumberFormat="1" applyFont="1" applyFill="1" applyBorder="1" applyAlignment="1">
      <alignment horizontal="right"/>
      <protection/>
    </xf>
    <xf numFmtId="3" fontId="0" fillId="0" borderId="18" xfId="55" applyNumberFormat="1" applyFont="1" applyFill="1" applyBorder="1" applyAlignment="1">
      <alignment vertical="center"/>
      <protection/>
    </xf>
    <xf numFmtId="3" fontId="0" fillId="0" borderId="11" xfId="55" applyNumberFormat="1" applyFont="1" applyFill="1" applyBorder="1" applyAlignment="1">
      <alignment vertical="center"/>
      <protection/>
    </xf>
    <xf numFmtId="3" fontId="0" fillId="0" borderId="12" xfId="55" applyNumberFormat="1" applyFont="1" applyFill="1" applyBorder="1" applyAlignment="1">
      <alignment vertical="center"/>
      <protection/>
    </xf>
    <xf numFmtId="3" fontId="0" fillId="0" borderId="35" xfId="55" applyNumberFormat="1" applyFont="1" applyFill="1" applyBorder="1" applyAlignment="1">
      <alignment vertical="center"/>
      <protection/>
    </xf>
    <xf numFmtId="4" fontId="16" fillId="0" borderId="18" xfId="53" applyNumberFormat="1" applyFont="1" applyFill="1" applyBorder="1">
      <alignment/>
      <protection/>
    </xf>
    <xf numFmtId="4" fontId="16" fillId="35" borderId="18" xfId="53" applyNumberFormat="1" applyFont="1" applyFill="1" applyBorder="1">
      <alignment/>
      <protection/>
    </xf>
    <xf numFmtId="4" fontId="16" fillId="0" borderId="12" xfId="53" applyNumberFormat="1" applyFont="1" applyFill="1" applyBorder="1">
      <alignment/>
      <protection/>
    </xf>
    <xf numFmtId="4" fontId="16" fillId="34" borderId="35" xfId="53" applyNumberFormat="1" applyFont="1" applyFill="1" applyBorder="1">
      <alignment/>
      <protection/>
    </xf>
    <xf numFmtId="4" fontId="16" fillId="34" borderId="14" xfId="53" applyNumberFormat="1" applyFont="1" applyFill="1" applyBorder="1">
      <alignment/>
      <protection/>
    </xf>
    <xf numFmtId="4" fontId="15" fillId="33" borderId="22" xfId="53" applyNumberFormat="1" applyFont="1" applyFill="1" applyBorder="1">
      <alignment/>
      <protection/>
    </xf>
    <xf numFmtId="4" fontId="15" fillId="0" borderId="22" xfId="55" applyNumberFormat="1" applyFont="1" applyFill="1" applyBorder="1">
      <alignment/>
      <protection/>
    </xf>
    <xf numFmtId="3" fontId="0" fillId="0" borderId="49" xfId="55" applyNumberFormat="1" applyFont="1" applyFill="1" applyBorder="1" applyAlignment="1">
      <alignment horizontal="right" vertical="center"/>
      <protection/>
    </xf>
    <xf numFmtId="3" fontId="0" fillId="19" borderId="18" xfId="55" applyNumberFormat="1" applyFont="1" applyFill="1" applyBorder="1" applyAlignment="1">
      <alignment horizontal="right" vertical="center"/>
      <protection/>
    </xf>
    <xf numFmtId="3" fontId="0" fillId="46" borderId="18" xfId="55" applyNumberFormat="1" applyFont="1" applyFill="1" applyBorder="1" applyAlignment="1">
      <alignment horizontal="right" vertical="center"/>
      <protection/>
    </xf>
    <xf numFmtId="3" fontId="0" fillId="47" borderId="18" xfId="55" applyNumberFormat="1" applyFont="1" applyFill="1" applyBorder="1" applyAlignment="1">
      <alignment horizontal="right" vertical="center"/>
      <protection/>
    </xf>
    <xf numFmtId="3" fontId="0" fillId="48" borderId="18" xfId="55" applyNumberFormat="1" applyFont="1" applyFill="1" applyBorder="1" applyAlignment="1">
      <alignment horizontal="right" vertical="center"/>
      <protection/>
    </xf>
    <xf numFmtId="3" fontId="0" fillId="49" borderId="18" xfId="55" applyNumberFormat="1" applyFont="1" applyFill="1" applyBorder="1" applyAlignment="1">
      <alignment horizontal="right" vertical="center"/>
      <protection/>
    </xf>
    <xf numFmtId="4" fontId="5" fillId="0" borderId="11" xfId="55" applyNumberFormat="1" applyFont="1" applyBorder="1">
      <alignment/>
      <protection/>
    </xf>
    <xf numFmtId="4" fontId="2" fillId="39" borderId="18" xfId="55" applyNumberFormat="1" applyFont="1" applyFill="1" applyBorder="1">
      <alignment/>
      <protection/>
    </xf>
    <xf numFmtId="4" fontId="15" fillId="0" borderId="11" xfId="53" applyNumberFormat="1" applyFont="1" applyFill="1" applyBorder="1">
      <alignment/>
      <protection/>
    </xf>
    <xf numFmtId="4" fontId="18" fillId="0" borderId="18" xfId="53" applyNumberFormat="1" applyFont="1" applyFill="1" applyBorder="1">
      <alignment/>
      <protection/>
    </xf>
    <xf numFmtId="4" fontId="15" fillId="33" borderId="22" xfId="53" applyNumberFormat="1" applyFont="1" applyFill="1" applyBorder="1" applyAlignment="1">
      <alignment horizontal="right" vertical="center" wrapText="1"/>
      <protection/>
    </xf>
    <xf numFmtId="3" fontId="0" fillId="0" borderId="49" xfId="55" applyNumberFormat="1" applyFont="1" applyFill="1" applyBorder="1" applyAlignment="1">
      <alignment vertical="center"/>
      <protection/>
    </xf>
    <xf numFmtId="3" fontId="44" fillId="9" borderId="22" xfId="55" applyNumberFormat="1" applyFont="1" applyFill="1" applyBorder="1" applyAlignment="1">
      <alignment horizontal="right" vertical="center" wrapText="1"/>
      <protection/>
    </xf>
    <xf numFmtId="3" fontId="0" fillId="37" borderId="11" xfId="55" applyNumberFormat="1" applyFont="1" applyFill="1" applyBorder="1" applyAlignment="1">
      <alignment vertical="center"/>
      <protection/>
    </xf>
    <xf numFmtId="3" fontId="0" fillId="51" borderId="11" xfId="55" applyNumberFormat="1" applyFont="1" applyFill="1" applyBorder="1" applyAlignment="1">
      <alignment vertical="center"/>
      <protection/>
    </xf>
    <xf numFmtId="3" fontId="0" fillId="52" borderId="11" xfId="55" applyNumberFormat="1" applyFont="1" applyFill="1" applyBorder="1" applyAlignment="1">
      <alignment vertical="center"/>
      <protection/>
    </xf>
    <xf numFmtId="3" fontId="0" fillId="53" borderId="11" xfId="55" applyNumberFormat="1" applyFont="1" applyFill="1" applyBorder="1" applyAlignment="1">
      <alignment vertical="center"/>
      <protection/>
    </xf>
    <xf numFmtId="4" fontId="16" fillId="10" borderId="22" xfId="53" applyNumberFormat="1" applyFont="1" applyFill="1" applyBorder="1">
      <alignment/>
      <protection/>
    </xf>
    <xf numFmtId="4" fontId="16" fillId="10" borderId="33" xfId="53" applyNumberFormat="1" applyFont="1" applyFill="1" applyBorder="1">
      <alignment/>
      <protection/>
    </xf>
    <xf numFmtId="4" fontId="16" fillId="34" borderId="33" xfId="53" applyNumberFormat="1" applyFont="1" applyFill="1" applyBorder="1">
      <alignment/>
      <protection/>
    </xf>
    <xf numFmtId="4" fontId="12" fillId="34" borderId="32" xfId="53" applyNumberFormat="1" applyFont="1" applyFill="1" applyBorder="1" applyAlignment="1">
      <alignment horizontal="right"/>
      <protection/>
    </xf>
    <xf numFmtId="4" fontId="10" fillId="34" borderId="24" xfId="53" applyNumberFormat="1" applyFont="1" applyFill="1" applyBorder="1" applyAlignment="1">
      <alignment horizontal="center"/>
      <protection/>
    </xf>
    <xf numFmtId="4" fontId="12" fillId="34" borderId="24" xfId="53" applyNumberFormat="1" applyFont="1" applyFill="1" applyBorder="1">
      <alignment/>
      <protection/>
    </xf>
    <xf numFmtId="4" fontId="16" fillId="36" borderId="24" xfId="53" applyNumberFormat="1" applyFont="1" applyFill="1" applyBorder="1">
      <alignment/>
      <protection/>
    </xf>
    <xf numFmtId="4" fontId="12" fillId="43" borderId="24" xfId="53" applyNumberFormat="1" applyFont="1" applyFill="1" applyBorder="1">
      <alignment/>
      <protection/>
    </xf>
    <xf numFmtId="4" fontId="15" fillId="33" borderId="51" xfId="53" applyNumberFormat="1" applyFont="1" applyFill="1" applyBorder="1" applyAlignment="1">
      <alignment horizontal="right" vertical="center" wrapText="1"/>
      <protection/>
    </xf>
    <xf numFmtId="4" fontId="44" fillId="37" borderId="24" xfId="55" applyNumberFormat="1" applyFont="1" applyFill="1" applyBorder="1" applyAlignment="1">
      <alignment horizontal="right"/>
      <protection/>
    </xf>
    <xf numFmtId="3" fontId="44" fillId="19" borderId="45" xfId="55" applyNumberFormat="1" applyFont="1" applyFill="1" applyBorder="1" applyAlignment="1">
      <alignment vertical="center"/>
      <protection/>
    </xf>
    <xf numFmtId="4" fontId="16" fillId="0" borderId="45" xfId="55" applyNumberFormat="1" applyFont="1" applyFill="1" applyBorder="1">
      <alignment/>
      <protection/>
    </xf>
    <xf numFmtId="3" fontId="0" fillId="46" borderId="45" xfId="55" applyNumberFormat="1" applyFont="1" applyFill="1" applyBorder="1" applyAlignment="1">
      <alignment vertical="center"/>
      <protection/>
    </xf>
    <xf numFmtId="3" fontId="0" fillId="46" borderId="43" xfId="55" applyNumberFormat="1" applyFont="1" applyFill="1" applyBorder="1" applyAlignment="1">
      <alignment vertical="center"/>
      <protection/>
    </xf>
    <xf numFmtId="4" fontId="0" fillId="38" borderId="24" xfId="55" applyNumberFormat="1" applyFont="1" applyFill="1" applyBorder="1" applyAlignment="1">
      <alignment horizontal="right"/>
      <protection/>
    </xf>
    <xf numFmtId="4" fontId="16" fillId="0" borderId="20" xfId="55" applyNumberFormat="1" applyFont="1" applyFill="1" applyBorder="1">
      <alignment/>
      <protection/>
    </xf>
    <xf numFmtId="4" fontId="16" fillId="0" borderId="40" xfId="55" applyNumberFormat="1" applyFont="1" applyFill="1" applyBorder="1">
      <alignment/>
      <protection/>
    </xf>
    <xf numFmtId="3" fontId="0" fillId="0" borderId="45" xfId="55" applyNumberFormat="1" applyFont="1" applyFill="1" applyBorder="1" applyAlignment="1">
      <alignment vertical="center"/>
      <protection/>
    </xf>
    <xf numFmtId="3" fontId="0" fillId="0" borderId="20" xfId="55" applyNumberFormat="1" applyFont="1" applyFill="1" applyBorder="1" applyAlignment="1">
      <alignment vertical="center"/>
      <protection/>
    </xf>
    <xf numFmtId="3" fontId="0" fillId="0" borderId="40" xfId="55" applyNumberFormat="1" applyFont="1" applyFill="1" applyBorder="1" applyAlignment="1">
      <alignment vertical="center"/>
      <protection/>
    </xf>
    <xf numFmtId="3" fontId="0" fillId="0" borderId="26" xfId="55" applyNumberFormat="1" applyFont="1" applyFill="1" applyBorder="1" applyAlignment="1">
      <alignment vertical="center"/>
      <protection/>
    </xf>
    <xf numFmtId="4" fontId="16" fillId="0" borderId="45" xfId="53" applyNumberFormat="1" applyFont="1" applyFill="1" applyBorder="1">
      <alignment/>
      <protection/>
    </xf>
    <xf numFmtId="4" fontId="16" fillId="35" borderId="45" xfId="53" applyNumberFormat="1" applyFont="1" applyFill="1" applyBorder="1">
      <alignment/>
      <protection/>
    </xf>
    <xf numFmtId="4" fontId="14" fillId="34" borderId="43" xfId="53" applyNumberFormat="1" applyFont="1" applyFill="1" applyBorder="1">
      <alignment/>
      <protection/>
    </xf>
    <xf numFmtId="4" fontId="15" fillId="33" borderId="24" xfId="53" applyNumberFormat="1" applyFont="1" applyFill="1" applyBorder="1">
      <alignment/>
      <protection/>
    </xf>
    <xf numFmtId="4" fontId="15" fillId="0" borderId="24" xfId="55" applyNumberFormat="1" applyFont="1" applyFill="1" applyBorder="1">
      <alignment/>
      <protection/>
    </xf>
    <xf numFmtId="3" fontId="0" fillId="0" borderId="52" xfId="55" applyNumberFormat="1" applyFont="1" applyFill="1" applyBorder="1" applyAlignment="1">
      <alignment horizontal="right" vertical="center"/>
      <protection/>
    </xf>
    <xf numFmtId="3" fontId="0" fillId="19" borderId="45" xfId="55" applyNumberFormat="1" applyFont="1" applyFill="1" applyBorder="1" applyAlignment="1">
      <alignment horizontal="right" vertical="center"/>
      <protection/>
    </xf>
    <xf numFmtId="3" fontId="0" fillId="46" borderId="45" xfId="55" applyNumberFormat="1" applyFont="1" applyFill="1" applyBorder="1" applyAlignment="1">
      <alignment horizontal="right" vertical="center"/>
      <protection/>
    </xf>
    <xf numFmtId="3" fontId="0" fillId="47" borderId="45" xfId="55" applyNumberFormat="1" applyFont="1" applyFill="1" applyBorder="1" applyAlignment="1">
      <alignment horizontal="right" vertical="center"/>
      <protection/>
    </xf>
    <xf numFmtId="3" fontId="0" fillId="48" borderId="45" xfId="55" applyNumberFormat="1" applyFont="1" applyFill="1" applyBorder="1" applyAlignment="1">
      <alignment horizontal="right" vertical="center"/>
      <protection/>
    </xf>
    <xf numFmtId="3" fontId="0" fillId="49" borderId="45" xfId="55" applyNumberFormat="1" applyFont="1" applyFill="1" applyBorder="1" applyAlignment="1">
      <alignment horizontal="right" vertical="center"/>
      <protection/>
    </xf>
    <xf numFmtId="4" fontId="5" fillId="0" borderId="20" xfId="55" applyNumberFormat="1" applyFont="1" applyBorder="1">
      <alignment/>
      <protection/>
    </xf>
    <xf numFmtId="4" fontId="2" fillId="39" borderId="45" xfId="55" applyNumberFormat="1" applyFont="1" applyFill="1" applyBorder="1">
      <alignment/>
      <protection/>
    </xf>
    <xf numFmtId="4" fontId="15" fillId="33" borderId="24" xfId="53" applyNumberFormat="1" applyFont="1" applyFill="1" applyBorder="1" applyAlignment="1">
      <alignment horizontal="right" vertical="center" wrapText="1"/>
      <protection/>
    </xf>
    <xf numFmtId="3" fontId="44" fillId="9" borderId="24" xfId="55" applyNumberFormat="1" applyFont="1" applyFill="1" applyBorder="1" applyAlignment="1">
      <alignment horizontal="right" vertical="center" wrapText="1"/>
      <protection/>
    </xf>
    <xf numFmtId="3" fontId="0" fillId="53" borderId="20" xfId="55" applyNumberFormat="1" applyFont="1" applyFill="1" applyBorder="1" applyAlignment="1">
      <alignment vertical="center"/>
      <protection/>
    </xf>
    <xf numFmtId="4" fontId="16" fillId="10" borderId="24" xfId="53" applyNumberFormat="1" applyFont="1" applyFill="1" applyBorder="1">
      <alignment/>
      <protection/>
    </xf>
    <xf numFmtId="4" fontId="16" fillId="10" borderId="43" xfId="53" applyNumberFormat="1" applyFont="1" applyFill="1" applyBorder="1">
      <alignment/>
      <protection/>
    </xf>
    <xf numFmtId="4" fontId="16" fillId="34" borderId="43" xfId="53" applyNumberFormat="1" applyFont="1" applyFill="1" applyBorder="1">
      <alignment/>
      <protection/>
    </xf>
    <xf numFmtId="4" fontId="12" fillId="45" borderId="24" xfId="53" applyNumberFormat="1" applyFont="1" applyFill="1" applyBorder="1">
      <alignment/>
      <protection/>
    </xf>
    <xf numFmtId="4" fontId="12" fillId="45" borderId="51" xfId="53" applyNumberFormat="1" applyFont="1" applyFill="1" applyBorder="1">
      <alignment/>
      <protection/>
    </xf>
    <xf numFmtId="4" fontId="16" fillId="0" borderId="20" xfId="53" applyNumberFormat="1" applyFont="1" applyFill="1" applyBorder="1">
      <alignment/>
      <protection/>
    </xf>
    <xf numFmtId="4" fontId="16" fillId="0" borderId="26" xfId="53" applyNumberFormat="1" applyFont="1" applyFill="1" applyBorder="1">
      <alignment/>
      <protection/>
    </xf>
    <xf numFmtId="4" fontId="16" fillId="0" borderId="10" xfId="55" applyNumberFormat="1" applyFont="1" applyFill="1" applyBorder="1">
      <alignment/>
      <protection/>
    </xf>
    <xf numFmtId="3" fontId="0" fillId="37" borderId="36" xfId="55" applyNumberFormat="1" applyFont="1" applyFill="1" applyBorder="1" applyAlignment="1">
      <alignment vertical="center"/>
      <protection/>
    </xf>
    <xf numFmtId="4" fontId="14" fillId="34" borderId="42" xfId="53" applyNumberFormat="1" applyFont="1" applyFill="1" applyBorder="1">
      <alignment/>
      <protection/>
    </xf>
    <xf numFmtId="4" fontId="14" fillId="34" borderId="0" xfId="53" applyNumberFormat="1" applyFont="1" applyFill="1" applyBorder="1">
      <alignment/>
      <protection/>
    </xf>
    <xf numFmtId="4" fontId="16" fillId="34" borderId="0" xfId="53" applyNumberFormat="1" applyFont="1" applyFill="1" applyBorder="1">
      <alignment/>
      <protection/>
    </xf>
    <xf numFmtId="4" fontId="10" fillId="39" borderId="24" xfId="55" applyNumberFormat="1" applyFont="1" applyFill="1" applyBorder="1" applyAlignment="1">
      <alignment horizontal="center"/>
      <protection/>
    </xf>
    <xf numFmtId="4" fontId="16" fillId="39" borderId="45" xfId="55" applyNumberFormat="1" applyFont="1" applyFill="1" applyBorder="1">
      <alignment/>
      <protection/>
    </xf>
    <xf numFmtId="4" fontId="15" fillId="40" borderId="24" xfId="55" applyNumberFormat="1" applyFont="1" applyFill="1" applyBorder="1">
      <alignment/>
      <protection/>
    </xf>
    <xf numFmtId="4" fontId="16" fillId="39" borderId="45" xfId="53" applyNumberFormat="1" applyFont="1" applyFill="1" applyBorder="1">
      <alignment/>
      <protection/>
    </xf>
    <xf numFmtId="3" fontId="0" fillId="50" borderId="45" xfId="55" applyNumberFormat="1" applyFont="1" applyFill="1" applyBorder="1" applyAlignment="1">
      <alignment horizontal="right" vertical="center"/>
      <protection/>
    </xf>
    <xf numFmtId="4" fontId="15" fillId="0" borderId="45" xfId="53" applyNumberFormat="1" applyFont="1" applyFill="1" applyBorder="1">
      <alignment/>
      <protection/>
    </xf>
    <xf numFmtId="4" fontId="18" fillId="0" borderId="43" xfId="53" applyNumberFormat="1" applyFont="1" applyFill="1" applyBorder="1">
      <alignment/>
      <protection/>
    </xf>
    <xf numFmtId="4" fontId="0" fillId="0" borderId="20" xfId="55" applyNumberFormat="1" applyFont="1" applyFill="1" applyBorder="1" applyAlignment="1">
      <alignment horizontal="right"/>
      <protection/>
    </xf>
    <xf numFmtId="3" fontId="0" fillId="37" borderId="45" xfId="55" applyNumberFormat="1" applyFont="1" applyFill="1" applyBorder="1" applyAlignment="1">
      <alignment vertical="center"/>
      <protection/>
    </xf>
    <xf numFmtId="3" fontId="0" fillId="51" borderId="45" xfId="55" applyNumberFormat="1" applyFont="1" applyFill="1" applyBorder="1" applyAlignment="1">
      <alignment vertical="center"/>
      <protection/>
    </xf>
    <xf numFmtId="3" fontId="0" fillId="52" borderId="45" xfId="55" applyNumberFormat="1" applyFont="1" applyFill="1" applyBorder="1" applyAlignment="1">
      <alignment vertical="center"/>
      <protection/>
    </xf>
    <xf numFmtId="4" fontId="16" fillId="39" borderId="11" xfId="53" applyNumberFormat="1" applyFont="1" applyFill="1" applyBorder="1">
      <alignment/>
      <protection/>
    </xf>
    <xf numFmtId="3" fontId="44" fillId="48" borderId="22" xfId="55" applyNumberFormat="1" applyFont="1" applyFill="1" applyBorder="1" applyAlignment="1">
      <alignment vertical="center"/>
      <protection/>
    </xf>
    <xf numFmtId="4" fontId="2" fillId="39" borderId="17" xfId="51" applyNumberFormat="1" applyFont="1" applyFill="1" applyBorder="1">
      <alignment/>
      <protection/>
    </xf>
    <xf numFmtId="0" fontId="6" fillId="39" borderId="0" xfId="51" applyFont="1" applyFill="1">
      <alignment/>
      <protection/>
    </xf>
    <xf numFmtId="0" fontId="2" fillId="39" borderId="0" xfId="0" applyFont="1" applyFill="1" applyAlignment="1">
      <alignment/>
    </xf>
    <xf numFmtId="4" fontId="0" fillId="39" borderId="0" xfId="0" applyNumberFormat="1" applyFill="1" applyAlignment="1">
      <alignment/>
    </xf>
    <xf numFmtId="4" fontId="36" fillId="39" borderId="0" xfId="0" applyNumberFormat="1" applyFont="1" applyFill="1" applyAlignment="1">
      <alignment/>
    </xf>
    <xf numFmtId="4" fontId="36" fillId="39" borderId="0" xfId="0" applyNumberFormat="1" applyFont="1" applyFill="1" applyAlignment="1">
      <alignment wrapText="1"/>
    </xf>
    <xf numFmtId="4" fontId="2" fillId="39" borderId="0" xfId="0" applyNumberFormat="1" applyFont="1" applyFill="1" applyAlignment="1">
      <alignment wrapText="1"/>
    </xf>
    <xf numFmtId="0" fontId="0" fillId="39" borderId="0" xfId="0" applyFill="1" applyAlignment="1">
      <alignment wrapText="1"/>
    </xf>
    <xf numFmtId="4" fontId="5" fillId="39" borderId="0" xfId="0" applyNumberFormat="1" applyFont="1" applyFill="1" applyAlignment="1">
      <alignment wrapText="1"/>
    </xf>
    <xf numFmtId="4" fontId="2" fillId="39" borderId="0" xfId="0" applyNumberFormat="1" applyFont="1" applyFill="1" applyBorder="1" applyAlignment="1">
      <alignment wrapText="1"/>
    </xf>
    <xf numFmtId="0" fontId="0" fillId="39" borderId="0" xfId="0" applyFill="1" applyBorder="1" applyAlignment="1">
      <alignment wrapText="1"/>
    </xf>
    <xf numFmtId="4" fontId="6" fillId="39" borderId="0" xfId="0" applyNumberFormat="1" applyFont="1" applyFill="1" applyAlignment="1">
      <alignment/>
    </xf>
    <xf numFmtId="4" fontId="12" fillId="39" borderId="0" xfId="53" applyNumberFormat="1" applyFont="1" applyFill="1" applyBorder="1" applyAlignment="1">
      <alignment horizontal="right"/>
      <protection/>
    </xf>
    <xf numFmtId="0" fontId="0" fillId="39" borderId="0" xfId="0" applyFont="1" applyFill="1" applyBorder="1" applyAlignment="1">
      <alignment wrapText="1"/>
    </xf>
    <xf numFmtId="0" fontId="0" fillId="39" borderId="0" xfId="0" applyFont="1" applyFill="1" applyAlignment="1">
      <alignment wrapText="1"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4" fontId="31" fillId="39" borderId="0" xfId="0" applyNumberFormat="1" applyFont="1" applyFill="1" applyAlignment="1">
      <alignment/>
    </xf>
    <xf numFmtId="4" fontId="31" fillId="39" borderId="0" xfId="0" applyNumberFormat="1" applyFont="1" applyFill="1" applyBorder="1" applyAlignment="1">
      <alignment/>
    </xf>
    <xf numFmtId="0" fontId="23" fillId="39" borderId="0" xfId="0" applyFont="1" applyFill="1" applyBorder="1" applyAlignment="1">
      <alignment/>
    </xf>
    <xf numFmtId="0" fontId="23" fillId="39" borderId="0" xfId="0" applyFont="1" applyFill="1" applyAlignment="1">
      <alignment/>
    </xf>
    <xf numFmtId="3" fontId="0" fillId="39" borderId="0" xfId="0" applyNumberFormat="1" applyFill="1" applyBorder="1" applyAlignment="1">
      <alignment/>
    </xf>
    <xf numFmtId="0" fontId="0" fillId="39" borderId="0" xfId="0" applyFont="1" applyFill="1" applyAlignment="1">
      <alignment/>
    </xf>
    <xf numFmtId="4" fontId="6" fillId="39" borderId="0" xfId="51" applyNumberFormat="1" applyFont="1" applyFill="1" applyBorder="1">
      <alignment/>
      <protection/>
    </xf>
    <xf numFmtId="4" fontId="25" fillId="39" borderId="0" xfId="0" applyNumberFormat="1" applyFont="1" applyFill="1" applyAlignment="1">
      <alignment/>
    </xf>
    <xf numFmtId="0" fontId="24" fillId="39" borderId="0" xfId="0" applyFont="1" applyFill="1" applyAlignment="1">
      <alignment/>
    </xf>
    <xf numFmtId="4" fontId="22" fillId="39" borderId="0" xfId="0" applyNumberFormat="1" applyFont="1" applyFill="1" applyAlignment="1">
      <alignment/>
    </xf>
    <xf numFmtId="0" fontId="26" fillId="39" borderId="0" xfId="0" applyFont="1" applyFill="1" applyAlignment="1">
      <alignment/>
    </xf>
    <xf numFmtId="0" fontId="22" fillId="39" borderId="0" xfId="0" applyFont="1" applyFill="1" applyAlignment="1">
      <alignment/>
    </xf>
    <xf numFmtId="4" fontId="38" fillId="39" borderId="0" xfId="0" applyNumberFormat="1" applyFont="1" applyFill="1" applyAlignment="1">
      <alignment/>
    </xf>
    <xf numFmtId="4" fontId="22" fillId="39" borderId="0" xfId="0" applyNumberFormat="1" applyFont="1" applyFill="1" applyBorder="1" applyAlignment="1">
      <alignment/>
    </xf>
    <xf numFmtId="4" fontId="22" fillId="39" borderId="0" xfId="51" applyNumberFormat="1" applyFont="1" applyFill="1" applyBorder="1">
      <alignment/>
      <protection/>
    </xf>
    <xf numFmtId="4" fontId="87" fillId="39" borderId="0" xfId="0" applyNumberFormat="1" applyFont="1" applyFill="1" applyAlignment="1">
      <alignment/>
    </xf>
    <xf numFmtId="4" fontId="0" fillId="39" borderId="0" xfId="0" applyNumberFormat="1" applyFont="1" applyFill="1" applyAlignment="1">
      <alignment/>
    </xf>
    <xf numFmtId="0" fontId="6" fillId="0" borderId="22" xfId="51" applyFont="1" applyFill="1" applyBorder="1" applyAlignment="1">
      <alignment horizontal="left" wrapText="1"/>
      <protection/>
    </xf>
    <xf numFmtId="0" fontId="6" fillId="0" borderId="24" xfId="51" applyFont="1" applyFill="1" applyBorder="1" applyAlignment="1">
      <alignment horizontal="left" wrapText="1"/>
      <protection/>
    </xf>
    <xf numFmtId="0" fontId="6" fillId="33" borderId="22" xfId="51" applyFont="1" applyFill="1" applyBorder="1" applyAlignment="1">
      <alignment horizontal="left" wrapText="1"/>
      <protection/>
    </xf>
    <xf numFmtId="0" fontId="6" fillId="33" borderId="24" xfId="51" applyFont="1" applyFill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</cellXfs>
  <cellStyles count="6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_250496_headcount" xfId="46"/>
    <cellStyle name="Normálna 2" xfId="47"/>
    <cellStyle name="normálne 2" xfId="48"/>
    <cellStyle name="normálne 2 2" xfId="49"/>
    <cellStyle name="normálne 3" xfId="50"/>
    <cellStyle name="normálne_Príloha è. 1 - AS STU r.2007" xfId="51"/>
    <cellStyle name="normálne_Príloha è. 1 - AS STU r.2007 2" xfId="52"/>
    <cellStyle name="normálne_Suhrn DOT 2005 dofinanc v maji + korekcia v dec05 2" xfId="53"/>
    <cellStyle name="normálne_Suhrn DOT 2005 dofinanc v maji + korekcia v dec05 3" xfId="54"/>
    <cellStyle name="normálne_Suhrn DOT 2005 dofinanc v maji + korekcia v dec05 3 2" xfId="55"/>
    <cellStyle name="Percent" xfId="56"/>
    <cellStyle name="percentá 2" xfId="57"/>
    <cellStyle name="percentá 2 2" xfId="58"/>
    <cellStyle name="Followed Hyperlink" xfId="59"/>
    <cellStyle name="Poznámka" xfId="60"/>
    <cellStyle name="Prepojená bunka" xfId="61"/>
    <cellStyle name="Spolu" xfId="62"/>
    <cellStyle name="Text upozornenia" xfId="63"/>
    <cellStyle name="Vstup" xfId="64"/>
    <cellStyle name="Výpočet" xfId="65"/>
    <cellStyle name="Výstup" xfId="66"/>
    <cellStyle name="Vysvetľujúci text" xfId="67"/>
    <cellStyle name="Zlá" xfId="68"/>
    <cellStyle name="Zvýraznenie1" xfId="69"/>
    <cellStyle name="Zvýraznenie2" xfId="70"/>
    <cellStyle name="Zvýraznenie3" xfId="71"/>
    <cellStyle name="Zvýraznenie4" xfId="72"/>
    <cellStyle name="Zvýraznenie5" xfId="73"/>
    <cellStyle name="Zvýraznenie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Local%20Settings\Temporary%20Internet%20Files\Content.IE5\CSWIM86G\Dokumenty\Rok%202002\SR\MODEL%202002SR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oz99\V99-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My%20Documents\HZnov&#233;\Dotacia\DOT%202005\UPRAVY\Zv&#253;&#353;enie%20zn&#237;&#382;enia%20k%2031.12.05\Upravy%20TP%20jul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VYR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Local%20Settings\Temporary%20Internet%20Files\Content.IE5\8PIJ8PAZ\datab&#225;za_&#353;tudentov_2005_PM_V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Dokumenty\HZnov&#233;\Dotacia\DOT%202005\SD%202005%20vypo&#269;ty\DOT%202005%20pre%20AS%2021%2003%2005\SD%202005%20pre%20%20KR%2021%2002%20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Dokumenty\HZnov&#233;\Dotacia\DOT%202004\SR2004\STU%20S2FIIIT%20Kopie%20-%20Meder%20%20igr_doc_20040130_1a_r_2004_SR_V_9_oprave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erly1\dokumenty_M1\r2002\r2002_DATABAZA_VS_a_metodika\r2002_rozpis_rozpo&#269;tu_pre_VS_SKK_VVZ_OK_V5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Dokumenty\HZnov&#233;\Dotacia\DOT%202005\SD%202005%20vypo&#269;ty\DOT%202005%20pre%20AS%2021%2003%2005\SD%202005_SR_V_17_19012005%20%20%20HZ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Dokumenty\HZnov&#233;\Dotacia\DOT%202004\SR2004\0STUmare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Local%20Settings\Temporary%20Internet%20Files\Content.IE5\CSWIM86G\Dokumenty\Rok%202003\RRDot\R2003_navrh%20rozpisu%20k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Dokumenty\Rok%202002\SR\MODEL%202002SR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2005\r_2004_SR_V_2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oz99\SR-99\Roz99\V99-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Prie9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VS\Dokumenty\DATA.EXL\ROZ98\VYKVS9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Dokumenty\HZnov&#233;\Dotacia\DOT%202004\SR2004\R2003_navrh%20rozpisu%20kv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Local%20Settings\Temporary%20Internet%20Files\Content.IE5\CSWIM86G\Dokumenty\Rok%202002\SR\r2002_rozpis_rozpo&#269;tu_pre_VS_V5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Dokumenty\Rok%202002\SR\r2002_rozpis_rozpo&#269;tu_pre_VS_V5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Local%20Settings\Temporary%20Internet%20Files\Content.IE5\CSWIM86G\Dokumenty\Rok%202003\RRDot\R2003_rozpis_dot&#225;cii_VVS_FIN_2003032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Local%20Settings\Temporary%20Internet%20Files\Content.IE5\CSWIM86G\Dokumenty\Rok%202003\Rozpis%20%20z%20M&#352;\R2003_navrh%20rozpisu%20k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VYR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nakova\My%20Documents\rozpo&#269;et\dot&#225;cia\dot&#225;cia_%202012\UD%20k%2031.3.2012\Upravy%20%20D%202012%20%20po%20AS_k_3_201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ro\Downloads\&#218;pravy%20dot&#225;cie\Upraven&#225;_dot&#225;cia_mesiace\&#218;pravy%20dot&#225;cie_9_2020_schv&#225;len&#225;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Dokumenty\HZnov&#233;\Dotacia\VY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Y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r2001_data_SO_ak0_verzia2_kvesto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Dokumenty\HZnov&#233;\Dotacia\DOT%202005\SD%202005%20vypo&#269;ty\DOT%202005%20pre%20AS%2021%2003%2005\MZDY%20-%20pokusy%20s%20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St&#244;l-BV\2004\SR_2004\Arch&#237;v\r2004_navrh_rozpoctu%20G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idekova\Local%20Settings\Temporary%20Internet%20Files\Content.IE5\8PIJ8PAZ\r_2005_SR_V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>
        <row r="2">
          <cell r="J2">
            <v>0.5</v>
          </cell>
        </row>
        <row r="45">
          <cell r="AK45">
            <v>13263.81745266041</v>
          </cell>
        </row>
        <row r="47">
          <cell r="AA47">
            <v>284425</v>
          </cell>
        </row>
        <row r="52">
          <cell r="AQ52">
            <v>476234761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prava- tarifné platy"/>
      <sheetName val="List2"/>
      <sheetName val="Lis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Legenda"/>
      <sheetName val="VYRM98D2"/>
      <sheetName val="VYRM98D"/>
      <sheetName val="VYRM98-10u"/>
      <sheetName val="VYRM97-12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 (2)"/>
      <sheetName val="Mp-Uči"/>
      <sheetName val="vyk95"/>
      <sheetName val="Stavy"/>
      <sheetName val="Mz01-96"/>
      <sheetName val="Mzdy95"/>
      <sheetName val="Mzdy9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oeficienty"/>
      <sheetName val="data"/>
      <sheetName val="sústava študijných odborov"/>
      <sheetName val="Poznámky"/>
    </sheetNames>
    <sheetDataSet>
      <sheetData sheetId="0">
        <row r="31">
          <cell r="D31">
            <v>1</v>
          </cell>
        </row>
        <row r="32">
          <cell r="D32">
            <v>0.3</v>
          </cell>
        </row>
        <row r="33">
          <cell r="D33">
            <v>1.5</v>
          </cell>
        </row>
        <row r="34">
          <cell r="D34">
            <v>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2-KPN"/>
      <sheetName val="T4-data_odbory"/>
      <sheetName val="T5-sumar_odbory"/>
      <sheetName val="T6-výkon"/>
      <sheetName val="List2"/>
      <sheetName val="Lis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1_rozpis STU 04 03"/>
      <sheetName val="T1-rozpisovy-list"/>
      <sheetName val="T2-KPN"/>
      <sheetName val="T3-vstupy"/>
      <sheetName val="T4-data_odbory"/>
      <sheetName val="T5-sumar_odbory"/>
      <sheetName val="T6-výkon"/>
      <sheetName val="T16-KKŠ"/>
      <sheetName val="T7-mzdyNIE"/>
      <sheetName val="T8-TaS"/>
      <sheetName val="T8-TaS  STU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7-Klinické"/>
    </sheetNames>
    <sheetDataSet>
      <sheetData sheetId="3">
        <row r="49">
          <cell r="C49">
            <v>2</v>
          </cell>
        </row>
        <row r="52">
          <cell r="C52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mzdy-TaS"/>
      <sheetName val="T15-sumár externe"/>
      <sheetName val="T16-rozpisovy-list"/>
      <sheetName val="T17-KKŠ"/>
      <sheetName val="T18-mená"/>
      <sheetName val="VVZ-hist-mzdy"/>
      <sheetName val="T3_vstupy"/>
    </sheetNames>
    <sheetDataSet>
      <sheetData sheetId="2">
        <row r="29">
          <cell r="C29">
            <v>2.27</v>
          </cell>
        </row>
        <row r="30">
          <cell r="C30">
            <v>1.89</v>
          </cell>
        </row>
        <row r="31">
          <cell r="C31">
            <v>1.5</v>
          </cell>
        </row>
        <row r="32">
          <cell r="C32">
            <v>1.13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 "/>
    </sheetNames>
    <sheetDataSet>
      <sheetData sheetId="2">
        <row r="48">
          <cell r="C48">
            <v>2</v>
          </cell>
        </row>
        <row r="49">
          <cell r="C49">
            <v>1.66</v>
          </cell>
        </row>
        <row r="50">
          <cell r="C50">
            <v>1.33</v>
          </cell>
        </row>
        <row r="51">
          <cell r="C51">
            <v>1</v>
          </cell>
        </row>
        <row r="76">
          <cell r="C76">
            <v>358751</v>
          </cell>
        </row>
        <row r="79">
          <cell r="C79">
            <v>48356.64799999999</v>
          </cell>
        </row>
        <row r="82">
          <cell r="C82">
            <v>37000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</sheetNames>
    <sheetDataSet>
      <sheetData sheetId="2">
        <row r="43">
          <cell r="C43">
            <v>3467843</v>
          </cell>
        </row>
        <row r="44">
          <cell r="C44">
            <v>0.95</v>
          </cell>
        </row>
        <row r="49">
          <cell r="C49">
            <v>246347</v>
          </cell>
        </row>
        <row r="60">
          <cell r="C60">
            <v>13500</v>
          </cell>
        </row>
        <row r="64">
          <cell r="C64">
            <v>723369.9360000007</v>
          </cell>
        </row>
        <row r="65">
          <cell r="C65">
            <v>0.5</v>
          </cell>
        </row>
        <row r="70">
          <cell r="C70">
            <v>300156</v>
          </cell>
        </row>
        <row r="100">
          <cell r="C100">
            <v>20</v>
          </cell>
        </row>
        <row r="105">
          <cell r="C105">
            <v>200</v>
          </cell>
        </row>
        <row r="106">
          <cell r="C106">
            <v>200</v>
          </cell>
        </row>
        <row r="108">
          <cell r="C108">
            <v>1</v>
          </cell>
        </row>
        <row r="109">
          <cell r="C109">
            <v>2</v>
          </cell>
        </row>
        <row r="110">
          <cell r="C110">
            <v>2.5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  <row r="66">
          <cell r="C66">
            <v>13500</v>
          </cell>
        </row>
        <row r="69">
          <cell r="C69">
            <v>875741.6000000001</v>
          </cell>
        </row>
        <row r="70">
          <cell r="C70">
            <v>1.1</v>
          </cell>
        </row>
        <row r="75">
          <cell r="C75">
            <v>58186.30000000014</v>
          </cell>
        </row>
        <row r="105">
          <cell r="C105">
            <v>17</v>
          </cell>
        </row>
        <row r="114">
          <cell r="C114">
            <v>200</v>
          </cell>
        </row>
        <row r="115">
          <cell r="C115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7-mzdy (2)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  <sheetName val="T0-podklad-merge"/>
    </sheetNames>
    <sheetDataSet>
      <sheetData sheetId="1">
        <row r="27">
          <cell r="I27">
            <v>0.24152542372881355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kaz20"/>
      <sheetName val="Príjmy20"/>
      <sheetName val="kv20"/>
      <sheetName val="priplatky20"/>
      <sheetName val="Mzdy-20"/>
      <sheetName val="fondy 20"/>
      <sheetName val="fixy-ucel20"/>
      <sheetName val="Var-20"/>
      <sheetName val="630 § 01"/>
      <sheetName val="§ 01 Štip.dokt.20"/>
      <sheetName val="§18štip99"/>
      <sheetName val="RRP-20"/>
      <sheetName val="RRP-20 -Z"/>
      <sheetName val="RRP-20 -f"/>
      <sheetName val="VYK20"/>
      <sheetName val="Vys-99"/>
      <sheetName val="VVZvstupyTP"/>
      <sheetName val="nepd20vstup  "/>
      <sheetName val="Zložka"/>
      <sheetName val="zaMP99"/>
      <sheetName val="VVZvstupy"/>
      <sheetName val="mp0199"/>
      <sheetName val="MPnpd98-32"/>
      <sheetName val="Príjmy99-K"/>
      <sheetName val="čerpanie-98"/>
      <sheetName val="P-3"/>
    </sheetNames>
    <sheetDataSet>
      <sheetData sheetId="3">
        <row r="7">
          <cell r="B7">
            <v>400</v>
          </cell>
          <cell r="C7">
            <v>800</v>
          </cell>
          <cell r="K7">
            <v>100</v>
          </cell>
          <cell r="L7">
            <v>200</v>
          </cell>
        </row>
      </sheetData>
      <sheetData sheetId="21">
        <row r="33">
          <cell r="P33">
            <v>0.30080900097311114</v>
          </cell>
        </row>
      </sheetData>
      <sheetData sheetId="25">
        <row r="3">
          <cell r="N3">
            <v>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4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Pr-7"/>
      <sheetName val="Pr-8"/>
      <sheetName val="Pr-9"/>
      <sheetName val="Pr-10"/>
      <sheetName val="Pr-11"/>
      <sheetName val="Pr-12"/>
      <sheetName val="Pr-12 (2)"/>
    </sheetNames>
    <sheetDataSet>
      <sheetData sheetId="0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VYKVS98"/>
      <sheetName val="VVZ-VS97"/>
    </sheetNames>
    <sheetDataSet>
      <sheetData sheetId="2">
        <row r="3">
          <cell r="L3">
            <v>18500</v>
          </cell>
        </row>
        <row r="105">
          <cell r="I105">
            <v>16800580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92">
          <cell r="C92">
            <v>35000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Lis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5">
        <row r="49">
          <cell r="AA49">
            <v>157800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D 2012  po AS zaokr"/>
      <sheetName val="SD2012"/>
      <sheetName val="Hárok2"/>
      <sheetName val="Hárok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 - vyp_KEN"/>
      <sheetName val="T2 - KEN"/>
      <sheetName val="T3 - data_odbory"/>
      <sheetName val="T4 - sum_data"/>
      <sheetName val="T5 - vyp_vykon"/>
      <sheetName val="T6 - rozpis_610"/>
      <sheetName val="T7 - rozpis_630"/>
    </sheetNames>
    <sheetDataSet>
      <sheetData sheetId="1">
        <row r="5">
          <cell r="B5">
            <v>1.67</v>
          </cell>
        </row>
        <row r="7">
          <cell r="B7">
            <v>1.69</v>
          </cell>
        </row>
        <row r="9">
          <cell r="B9">
            <v>1.54</v>
          </cell>
        </row>
        <row r="10">
          <cell r="B10">
            <v>1.2</v>
          </cell>
        </row>
        <row r="18">
          <cell r="B18">
            <v>3.2</v>
          </cell>
        </row>
        <row r="19">
          <cell r="B19">
            <v>2.19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2-KPN POKUS"/>
      <sheetName val="T6-výkon 1500  POKUS"/>
      <sheetName val="T6-výkon 700  POKUS (2)"/>
      <sheetName val="T6-výkon 250  POKUS (3)"/>
      <sheetName val="List1"/>
      <sheetName val="List2"/>
      <sheetName val="Lis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0-podklad-merge"/>
    </sheetNames>
    <sheetDataSet>
      <sheetData sheetId="1">
        <row r="34">
          <cell r="D34">
            <v>1.5</v>
          </cell>
        </row>
        <row r="35">
          <cell r="D35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"/>
      <sheetName val="T18-stavby"/>
    </sheetNames>
    <sheetDataSet>
      <sheetData sheetId="2">
        <row r="52">
          <cell r="C52">
            <v>2</v>
          </cell>
        </row>
        <row r="53">
          <cell r="C53">
            <v>1.66</v>
          </cell>
        </row>
        <row r="54">
          <cell r="C54">
            <v>1.33</v>
          </cell>
        </row>
        <row r="55">
          <cell r="C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177"/>
  <sheetViews>
    <sheetView zoomScale="85" zoomScaleNormal="85" zoomScaleSheetLayoutView="75" zoomScalePageLayoutView="0" workbookViewId="0" topLeftCell="A1">
      <pane xSplit="1" ySplit="6" topLeftCell="B6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B10" sqref="B10"/>
    </sheetView>
  </sheetViews>
  <sheetFormatPr defaultColWidth="9.140625" defaultRowHeight="12.75"/>
  <cols>
    <col min="1" max="1" width="40.421875" style="0" customWidth="1"/>
    <col min="2" max="2" width="15.57421875" style="0" customWidth="1"/>
    <col min="3" max="3" width="16.140625" style="178" bestFit="1" customWidth="1"/>
    <col min="4" max="5" width="14.57421875" style="178" bestFit="1" customWidth="1"/>
    <col min="6" max="6" width="15.140625" style="178" customWidth="1"/>
    <col min="7" max="7" width="13.140625" style="178" bestFit="1" customWidth="1"/>
    <col min="8" max="8" width="14.140625" style="178" bestFit="1" customWidth="1"/>
    <col min="9" max="10" width="13.140625" style="178" bestFit="1" customWidth="1"/>
    <col min="11" max="11" width="14.140625" style="178" bestFit="1" customWidth="1"/>
    <col min="12" max="13" width="13.140625" style="178" customWidth="1"/>
    <col min="14" max="14" width="14.421875" style="178" bestFit="1" customWidth="1"/>
    <col min="15" max="16" width="14.421875" style="178" customWidth="1"/>
    <col min="17" max="17" width="13.57421875" style="178" bestFit="1" customWidth="1"/>
    <col min="18" max="18" width="21.140625" style="110" customWidth="1"/>
    <col min="19" max="19" width="29.57421875" style="110" customWidth="1"/>
    <col min="20" max="20" width="11.7109375" style="110" bestFit="1" customWidth="1"/>
    <col min="21" max="21" width="10.140625" style="110" bestFit="1" customWidth="1"/>
    <col min="22" max="25" width="9.140625" style="110" customWidth="1"/>
  </cols>
  <sheetData>
    <row r="1" spans="1:16" ht="12.75">
      <c r="A1" t="s">
        <v>75</v>
      </c>
      <c r="B1" s="1"/>
      <c r="C1" s="181"/>
      <c r="D1" s="181"/>
      <c r="E1" s="182"/>
      <c r="F1" s="182"/>
      <c r="G1" s="182"/>
      <c r="H1" s="182"/>
      <c r="I1" s="182"/>
      <c r="J1" s="181"/>
      <c r="K1" s="181"/>
      <c r="L1" s="183"/>
      <c r="M1" s="183"/>
      <c r="N1" s="181"/>
      <c r="O1" s="181"/>
      <c r="P1" s="181"/>
    </row>
    <row r="2" spans="1:20" ht="19.5" customHeight="1" thickBot="1">
      <c r="A2" s="60" t="s">
        <v>105</v>
      </c>
      <c r="B2" s="6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194</v>
      </c>
      <c r="R2" s="782"/>
      <c r="S2" s="783"/>
      <c r="T2" s="783"/>
    </row>
    <row r="3" spans="1:20" ht="44.25" customHeight="1" thickBot="1">
      <c r="A3" s="72"/>
      <c r="B3" s="141"/>
      <c r="C3" s="165" t="s">
        <v>1</v>
      </c>
      <c r="D3" s="165" t="s">
        <v>2</v>
      </c>
      <c r="E3" s="165" t="s">
        <v>3</v>
      </c>
      <c r="F3" s="165" t="s">
        <v>4</v>
      </c>
      <c r="G3" s="165" t="s">
        <v>193</v>
      </c>
      <c r="H3" s="165" t="s">
        <v>6</v>
      </c>
      <c r="I3" s="165" t="s">
        <v>7</v>
      </c>
      <c r="J3" s="165" t="s">
        <v>21</v>
      </c>
      <c r="K3" s="184" t="s">
        <v>65</v>
      </c>
      <c r="L3" s="165" t="s">
        <v>9</v>
      </c>
      <c r="M3" s="165" t="s">
        <v>84</v>
      </c>
      <c r="N3" s="165" t="s">
        <v>22</v>
      </c>
      <c r="O3" s="73" t="s">
        <v>11</v>
      </c>
      <c r="P3" s="185" t="s">
        <v>76</v>
      </c>
      <c r="Q3" s="165" t="s">
        <v>24</v>
      </c>
      <c r="R3" s="783"/>
      <c r="S3" s="783"/>
      <c r="T3" s="783"/>
    </row>
    <row r="4" spans="1:21" ht="23.25" customHeight="1" thickBot="1">
      <c r="A4" s="58" t="s">
        <v>113</v>
      </c>
      <c r="B4" s="142"/>
      <c r="C4" s="127">
        <v>12223258</v>
      </c>
      <c r="D4" s="127">
        <v>5027683</v>
      </c>
      <c r="E4" s="127">
        <v>11343539</v>
      </c>
      <c r="F4" s="127">
        <v>12248676</v>
      </c>
      <c r="G4" s="127">
        <v>4408264</v>
      </c>
      <c r="H4" s="127">
        <v>9381790</v>
      </c>
      <c r="I4" s="127">
        <v>3741291</v>
      </c>
      <c r="J4" s="127">
        <v>3086859</v>
      </c>
      <c r="K4" s="127">
        <v>68830</v>
      </c>
      <c r="L4" s="127">
        <v>996632</v>
      </c>
      <c r="M4" s="127">
        <v>269003</v>
      </c>
      <c r="N4" s="127">
        <v>3219472</v>
      </c>
      <c r="O4" s="127">
        <v>2701412</v>
      </c>
      <c r="P4" s="127">
        <v>200000</v>
      </c>
      <c r="Q4" s="268">
        <f>SUM(C4:P4)</f>
        <v>68916709</v>
      </c>
      <c r="R4" s="109"/>
      <c r="S4" s="109"/>
      <c r="T4" s="109"/>
      <c r="U4" s="784"/>
    </row>
    <row r="5" spans="1:20" ht="21.75" customHeight="1" thickBot="1">
      <c r="A5" s="75" t="s">
        <v>191</v>
      </c>
      <c r="B5" s="143"/>
      <c r="C5" s="76">
        <f aca="true" t="shared" si="0" ref="C5:P5">C4+C127</f>
        <v>13039569.86</v>
      </c>
      <c r="D5" s="76">
        <f t="shared" si="0"/>
        <v>5478341.3100000005</v>
      </c>
      <c r="E5" s="76">
        <f t="shared" si="0"/>
        <v>12111751.44</v>
      </c>
      <c r="F5" s="76">
        <f t="shared" si="0"/>
        <v>13187963.96</v>
      </c>
      <c r="G5" s="76">
        <f t="shared" si="0"/>
        <v>4507449.08</v>
      </c>
      <c r="H5" s="76">
        <f t="shared" si="0"/>
        <v>10264658.6</v>
      </c>
      <c r="I5" s="76">
        <f t="shared" si="0"/>
        <v>3866245.69</v>
      </c>
      <c r="J5" s="76" t="e">
        <f t="shared" si="0"/>
        <v>#REF!</v>
      </c>
      <c r="K5" s="76" t="e">
        <f t="shared" si="0"/>
        <v>#REF!</v>
      </c>
      <c r="L5" s="76">
        <f t="shared" si="0"/>
        <v>1076766</v>
      </c>
      <c r="M5" s="76">
        <f t="shared" si="0"/>
        <v>273118</v>
      </c>
      <c r="N5" s="76">
        <f t="shared" si="0"/>
        <v>3645307.06</v>
      </c>
      <c r="O5" s="76">
        <f t="shared" si="0"/>
        <v>2401724</v>
      </c>
      <c r="P5" s="76">
        <f t="shared" si="0"/>
        <v>51085</v>
      </c>
      <c r="Q5" s="76" t="e">
        <f>SUM(C5:P5)</f>
        <v>#REF!</v>
      </c>
      <c r="R5" s="109"/>
      <c r="S5" s="109"/>
      <c r="T5" s="109"/>
    </row>
    <row r="6" spans="1:20" ht="20.25" customHeight="1" thickBot="1">
      <c r="A6" s="135" t="s">
        <v>60</v>
      </c>
      <c r="B6" s="259" t="s">
        <v>25</v>
      </c>
      <c r="C6" s="260"/>
      <c r="D6" s="260"/>
      <c r="E6" s="260"/>
      <c r="F6" s="260"/>
      <c r="G6" s="260"/>
      <c r="H6" s="50"/>
      <c r="I6" s="50"/>
      <c r="J6" s="50"/>
      <c r="K6" s="50"/>
      <c r="L6" s="50"/>
      <c r="M6" s="50"/>
      <c r="N6" s="50"/>
      <c r="O6" s="50"/>
      <c r="P6" s="50"/>
      <c r="Q6" s="50"/>
      <c r="R6" s="109"/>
      <c r="S6" s="109"/>
      <c r="T6" s="109"/>
    </row>
    <row r="7" spans="1:20" ht="12.75">
      <c r="A7" s="43" t="s">
        <v>66</v>
      </c>
      <c r="B7" s="265" t="s">
        <v>77</v>
      </c>
      <c r="C7" s="649">
        <f>11220+990+3120+720-560+8140+1840+2440+4020+1760-2900+330+315+4635+280+24150-990+240+5640</f>
        <v>65390</v>
      </c>
      <c r="D7" s="649">
        <f>2670+720+1780+480+710+990+320-660+560+1255+35+5660+800</f>
        <v>15320</v>
      </c>
      <c r="E7" s="649">
        <f>36420+990+13120-720+24940+6240+6580+13080+5760-12260+280+8485+280+41590+17840+1880+560-3400+810+9000</f>
        <v>171475</v>
      </c>
      <c r="F7" s="649">
        <f>13440+3840+8960+3600+4600+6160+2640+300-7680+4585+280+19000-280+200+280-4240+80+3400</f>
        <v>59165</v>
      </c>
      <c r="G7" s="649">
        <f>7710+990+2880-2880+5800+1200+1830+3000+1760-2700+2580+280+7860+2880+200+80+2000</f>
        <v>35470</v>
      </c>
      <c r="H7" s="649"/>
      <c r="I7" s="649">
        <f>9240+3840-1080+5600+2160+2260+3360+1440-2020+560+3185+280+11760+4240-720+2800</f>
        <v>46905</v>
      </c>
      <c r="J7" s="649"/>
      <c r="K7" s="649"/>
      <c r="L7" s="47"/>
      <c r="M7" s="47"/>
      <c r="N7" s="47"/>
      <c r="O7" s="269"/>
      <c r="P7" s="50"/>
      <c r="Q7" s="270">
        <f aca="true" t="shared" si="1" ref="Q7:Q35">SUM(C7:P7)</f>
        <v>393725</v>
      </c>
      <c r="R7" s="109"/>
      <c r="S7" s="109"/>
      <c r="T7" s="109"/>
    </row>
    <row r="8" spans="1:20" ht="12.75">
      <c r="A8" s="43" t="s">
        <v>92</v>
      </c>
      <c r="B8" s="265" t="s">
        <v>78</v>
      </c>
      <c r="C8" s="649">
        <f>1120+560+280-560</f>
        <v>1400</v>
      </c>
      <c r="D8" s="649">
        <f>280+840</f>
        <v>1120</v>
      </c>
      <c r="E8" s="649">
        <f>840+2220+560+280+550+550-2220</f>
        <v>2780</v>
      </c>
      <c r="F8" s="649">
        <f>840+560+560+280+840+280</f>
        <v>3360</v>
      </c>
      <c r="G8" s="649">
        <f>280+840+1650</f>
        <v>2770</v>
      </c>
      <c r="H8" s="649">
        <f>990</f>
        <v>990</v>
      </c>
      <c r="I8" s="649">
        <f>550+560+3330-830</f>
        <v>3610</v>
      </c>
      <c r="J8" s="649"/>
      <c r="K8" s="649"/>
      <c r="L8" s="47"/>
      <c r="M8" s="47"/>
      <c r="N8" s="47"/>
      <c r="O8" s="47"/>
      <c r="P8" s="50"/>
      <c r="Q8" s="270">
        <f t="shared" si="1"/>
        <v>16030</v>
      </c>
      <c r="R8" s="109"/>
      <c r="S8" s="109"/>
      <c r="T8" s="109"/>
    </row>
    <row r="9" spans="1:20" ht="12.75">
      <c r="A9" s="43" t="s">
        <v>62</v>
      </c>
      <c r="B9" s="265" t="s">
        <v>67</v>
      </c>
      <c r="C9" s="47">
        <f>197892+398340+60576+78300+22746.71-250.99-1.34</f>
        <v>757602.38</v>
      </c>
      <c r="D9" s="47">
        <f>56444+558083-60576+2000+190321-211.78</f>
        <v>746060.22</v>
      </c>
      <c r="E9" s="47">
        <f>354437+238498+5000+127425+130539+145745</f>
        <v>1001644</v>
      </c>
      <c r="F9" s="47">
        <f>626763.04+935401-0.04+10000+7650+268813+93291-8.38</f>
        <v>1941909.62</v>
      </c>
      <c r="G9" s="47">
        <f>2000+54905</f>
        <v>56905</v>
      </c>
      <c r="H9" s="47">
        <f>162756+266697+2650+6250+45073</f>
        <v>483426</v>
      </c>
      <c r="I9" s="47">
        <f>85013+65501-35205.91-40254.2</f>
        <v>75053.89</v>
      </c>
      <c r="J9" s="47"/>
      <c r="K9" s="47"/>
      <c r="L9" s="47"/>
      <c r="M9" s="47"/>
      <c r="N9" s="47">
        <v>53110</v>
      </c>
      <c r="O9" s="47"/>
      <c r="P9" s="50"/>
      <c r="Q9" s="270">
        <f t="shared" si="1"/>
        <v>5115711.11</v>
      </c>
      <c r="R9" s="109"/>
      <c r="S9" s="109"/>
      <c r="T9" s="109"/>
    </row>
    <row r="10" spans="1:20" ht="12.75">
      <c r="A10" s="70" t="s">
        <v>68</v>
      </c>
      <c r="B10" s="265" t="s">
        <v>79</v>
      </c>
      <c r="C10" s="47"/>
      <c r="D10" s="47">
        <v>300000</v>
      </c>
      <c r="E10" s="47">
        <f>113750+121826+134500+121687+140367+182487.5+82495</f>
        <v>897112.5</v>
      </c>
      <c r="F10" s="47"/>
      <c r="G10" s="47"/>
      <c r="H10" s="47">
        <f>25000</f>
        <v>25000</v>
      </c>
      <c r="I10" s="47"/>
      <c r="J10" s="47"/>
      <c r="K10" s="47"/>
      <c r="L10" s="47"/>
      <c r="M10" s="47"/>
      <c r="N10" s="47"/>
      <c r="O10" s="47"/>
      <c r="P10" s="271"/>
      <c r="Q10" s="270">
        <f t="shared" si="1"/>
        <v>1222112.5</v>
      </c>
      <c r="R10" s="109"/>
      <c r="S10" s="109"/>
      <c r="T10" s="109"/>
    </row>
    <row r="11" spans="1:20" ht="12.75">
      <c r="A11" s="51" t="s">
        <v>108</v>
      </c>
      <c r="B11" s="47" t="s">
        <v>110</v>
      </c>
      <c r="C11" s="47">
        <v>492068</v>
      </c>
      <c r="D11" s="47">
        <v>87650</v>
      </c>
      <c r="E11" s="47">
        <v>464087</v>
      </c>
      <c r="F11" s="47">
        <v>560985</v>
      </c>
      <c r="G11" s="47">
        <v>0</v>
      </c>
      <c r="H11" s="47">
        <v>237849</v>
      </c>
      <c r="I11" s="47">
        <v>44040</v>
      </c>
      <c r="J11" s="47"/>
      <c r="K11" s="47"/>
      <c r="L11" s="47">
        <v>15455</v>
      </c>
      <c r="M11" s="47"/>
      <c r="N11" s="47"/>
      <c r="O11" s="47"/>
      <c r="P11" s="47"/>
      <c r="Q11" s="272">
        <f t="shared" si="1"/>
        <v>1902134</v>
      </c>
      <c r="R11" s="109"/>
      <c r="S11" s="109"/>
      <c r="T11" s="109"/>
    </row>
    <row r="12" spans="1:20" ht="12.75">
      <c r="A12" s="51" t="s">
        <v>109</v>
      </c>
      <c r="B12" s="47" t="s">
        <v>111</v>
      </c>
      <c r="C12" s="128">
        <v>38279</v>
      </c>
      <c r="D12" s="47">
        <v>188823</v>
      </c>
      <c r="E12" s="128">
        <v>81841</v>
      </c>
      <c r="F12" s="128">
        <v>15584</v>
      </c>
      <c r="G12" s="128">
        <v>2676</v>
      </c>
      <c r="H12" s="128">
        <v>113792</v>
      </c>
      <c r="I12" s="128">
        <v>0</v>
      </c>
      <c r="J12" s="128"/>
      <c r="K12" s="128"/>
      <c r="L12" s="128">
        <v>15975</v>
      </c>
      <c r="M12" s="128"/>
      <c r="N12" s="47"/>
      <c r="O12" s="47"/>
      <c r="P12" s="47"/>
      <c r="Q12" s="272">
        <f t="shared" si="1"/>
        <v>456970</v>
      </c>
      <c r="R12" s="783"/>
      <c r="S12" s="109"/>
      <c r="T12" s="109"/>
    </row>
    <row r="13" spans="1:20" ht="12.75">
      <c r="A13" s="51" t="s">
        <v>161</v>
      </c>
      <c r="B13" s="265" t="s">
        <v>110</v>
      </c>
      <c r="C13" s="47">
        <f>6405+3500</f>
        <v>9905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273"/>
      <c r="P13" s="274"/>
      <c r="Q13" s="272">
        <f t="shared" si="1"/>
        <v>9905</v>
      </c>
      <c r="R13" s="785"/>
      <c r="S13" s="109"/>
      <c r="T13" s="109"/>
    </row>
    <row r="14" spans="1:25" s="5" customFormat="1" ht="12.75">
      <c r="A14" s="51" t="s">
        <v>162</v>
      </c>
      <c r="B14" s="265" t="s">
        <v>152</v>
      </c>
      <c r="C14" s="128"/>
      <c r="D14" s="128">
        <v>768</v>
      </c>
      <c r="E14" s="128"/>
      <c r="F14" s="128"/>
      <c r="G14" s="128"/>
      <c r="H14" s="128">
        <v>-768</v>
      </c>
      <c r="I14" s="128"/>
      <c r="J14" s="128"/>
      <c r="K14" s="128"/>
      <c r="L14" s="128"/>
      <c r="M14" s="128"/>
      <c r="N14" s="128"/>
      <c r="O14" s="128"/>
      <c r="P14" s="128"/>
      <c r="Q14" s="275">
        <f t="shared" si="1"/>
        <v>0</v>
      </c>
      <c r="R14" s="786"/>
      <c r="S14" s="787"/>
      <c r="T14" s="787"/>
      <c r="U14" s="788"/>
      <c r="V14" s="788"/>
      <c r="W14" s="788"/>
      <c r="X14" s="788"/>
      <c r="Y14" s="788"/>
    </row>
    <row r="15" spans="1:25" s="5" customFormat="1" ht="12.75">
      <c r="A15" s="645" t="s">
        <v>164</v>
      </c>
      <c r="B15" s="646" t="s">
        <v>81</v>
      </c>
      <c r="C15" s="647">
        <v>133172</v>
      </c>
      <c r="D15" s="647">
        <v>54946</v>
      </c>
      <c r="E15" s="647">
        <v>108764</v>
      </c>
      <c r="F15" s="647">
        <v>120946</v>
      </c>
      <c r="G15" s="647">
        <v>59081</v>
      </c>
      <c r="H15" s="647">
        <v>106241</v>
      </c>
      <c r="I15" s="647">
        <v>50207</v>
      </c>
      <c r="J15" s="647"/>
      <c r="K15" s="647">
        <v>188</v>
      </c>
      <c r="L15" s="647">
        <v>11627</v>
      </c>
      <c r="M15" s="128">
        <v>1780</v>
      </c>
      <c r="N15" s="128">
        <f>43824</f>
        <v>43824</v>
      </c>
      <c r="O15" s="128"/>
      <c r="P15" s="128">
        <f>1381552-690776</f>
        <v>690776</v>
      </c>
      <c r="Q15" s="275">
        <f t="shared" si="1"/>
        <v>1381552</v>
      </c>
      <c r="R15" s="786"/>
      <c r="S15" s="787"/>
      <c r="T15" s="787"/>
      <c r="U15" s="788"/>
      <c r="V15" s="788"/>
      <c r="W15" s="788"/>
      <c r="X15" s="788"/>
      <c r="Y15" s="788"/>
    </row>
    <row r="16" spans="1:25" s="5" customFormat="1" ht="12.75">
      <c r="A16" s="645" t="s">
        <v>164</v>
      </c>
      <c r="B16" s="646" t="s">
        <v>81</v>
      </c>
      <c r="C16" s="647">
        <v>13582</v>
      </c>
      <c r="D16" s="647">
        <v>5605</v>
      </c>
      <c r="E16" s="647">
        <v>11095</v>
      </c>
      <c r="F16" s="647">
        <v>12338</v>
      </c>
      <c r="G16" s="647">
        <v>6027</v>
      </c>
      <c r="H16" s="647">
        <v>10838</v>
      </c>
      <c r="I16" s="647">
        <v>5122</v>
      </c>
      <c r="J16" s="647"/>
      <c r="K16" s="647"/>
      <c r="L16" s="647"/>
      <c r="M16" s="128"/>
      <c r="N16" s="128">
        <v>47859</v>
      </c>
      <c r="O16" s="128"/>
      <c r="P16" s="128">
        <v>-112466</v>
      </c>
      <c r="Q16" s="275">
        <f t="shared" si="1"/>
        <v>0</v>
      </c>
      <c r="R16" s="786"/>
      <c r="S16" s="787"/>
      <c r="T16" s="787"/>
      <c r="U16" s="788"/>
      <c r="V16" s="788"/>
      <c r="W16" s="788"/>
      <c r="X16" s="788"/>
      <c r="Y16" s="788"/>
    </row>
    <row r="17" spans="1:25" s="5" customFormat="1" ht="12.75">
      <c r="A17" s="645" t="s">
        <v>164</v>
      </c>
      <c r="B17" s="646" t="s">
        <v>163</v>
      </c>
      <c r="C17" s="647"/>
      <c r="D17" s="647"/>
      <c r="E17" s="647"/>
      <c r="F17" s="647"/>
      <c r="G17" s="647"/>
      <c r="H17" s="647">
        <v>300000</v>
      </c>
      <c r="I17" s="647"/>
      <c r="J17" s="647">
        <v>1500000</v>
      </c>
      <c r="K17" s="647"/>
      <c r="L17" s="647"/>
      <c r="M17" s="128"/>
      <c r="N17" s="128"/>
      <c r="O17" s="128"/>
      <c r="P17" s="128"/>
      <c r="Q17" s="275">
        <f t="shared" si="1"/>
        <v>1800000</v>
      </c>
      <c r="R17" s="786"/>
      <c r="S17" s="787"/>
      <c r="T17" s="787"/>
      <c r="U17" s="788"/>
      <c r="V17" s="788"/>
      <c r="W17" s="788"/>
      <c r="X17" s="788"/>
      <c r="Y17" s="788"/>
    </row>
    <row r="18" spans="1:25" s="5" customFormat="1" ht="38.25">
      <c r="A18" s="51" t="s">
        <v>165</v>
      </c>
      <c r="B18" s="265" t="s">
        <v>166</v>
      </c>
      <c r="C18" s="128"/>
      <c r="D18" s="128"/>
      <c r="E18" s="128"/>
      <c r="F18" s="128"/>
      <c r="G18" s="128"/>
      <c r="H18" s="128">
        <v>-860</v>
      </c>
      <c r="I18" s="128"/>
      <c r="J18" s="128"/>
      <c r="K18" s="128"/>
      <c r="L18" s="128"/>
      <c r="M18" s="128"/>
      <c r="N18" s="128"/>
      <c r="O18" s="128"/>
      <c r="P18" s="128"/>
      <c r="Q18" s="276">
        <f t="shared" si="1"/>
        <v>-860</v>
      </c>
      <c r="R18" s="789"/>
      <c r="S18" s="787"/>
      <c r="T18" s="787"/>
      <c r="U18" s="788"/>
      <c r="V18" s="788"/>
      <c r="W18" s="788"/>
      <c r="X18" s="788"/>
      <c r="Y18" s="788"/>
    </row>
    <row r="19" spans="1:25" s="5" customFormat="1" ht="25.5">
      <c r="A19" s="51" t="s">
        <v>171</v>
      </c>
      <c r="B19" s="265" t="s">
        <v>81</v>
      </c>
      <c r="C19" s="128">
        <v>17027</v>
      </c>
      <c r="D19" s="128">
        <v>7836</v>
      </c>
      <c r="E19" s="128">
        <v>15070</v>
      </c>
      <c r="F19" s="128">
        <v>15116</v>
      </c>
      <c r="G19" s="128">
        <v>7724</v>
      </c>
      <c r="H19" s="128">
        <v>15418</v>
      </c>
      <c r="I19" s="128">
        <v>2647</v>
      </c>
      <c r="J19" s="128"/>
      <c r="K19" s="128"/>
      <c r="L19" s="128"/>
      <c r="M19" s="128"/>
      <c r="N19" s="128">
        <f>10526+244</f>
        <v>10770</v>
      </c>
      <c r="O19" s="128"/>
      <c r="P19" s="277">
        <f>244-244</f>
        <v>0</v>
      </c>
      <c r="Q19" s="276">
        <f t="shared" si="1"/>
        <v>91608</v>
      </c>
      <c r="R19" s="789"/>
      <c r="S19" s="787"/>
      <c r="T19" s="787"/>
      <c r="U19" s="788"/>
      <c r="V19" s="788"/>
      <c r="W19" s="788"/>
      <c r="X19" s="788"/>
      <c r="Y19" s="788"/>
    </row>
    <row r="20" spans="1:25" s="5" customFormat="1" ht="12.75">
      <c r="A20" s="51" t="s">
        <v>172</v>
      </c>
      <c r="B20" s="265" t="s">
        <v>173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277">
        <v>60317</v>
      </c>
      <c r="Q20" s="276">
        <f t="shared" si="1"/>
        <v>60317</v>
      </c>
      <c r="R20" s="789"/>
      <c r="S20" s="787"/>
      <c r="T20" s="790"/>
      <c r="U20" s="791"/>
      <c r="V20" s="791"/>
      <c r="W20" s="788"/>
      <c r="X20" s="788"/>
      <c r="Y20" s="788"/>
    </row>
    <row r="21" spans="1:22" ht="25.5">
      <c r="A21" s="51" t="s">
        <v>171</v>
      </c>
      <c r="B21" s="265" t="s">
        <v>80</v>
      </c>
      <c r="C21" s="47">
        <v>1681</v>
      </c>
      <c r="D21" s="47">
        <v>1383</v>
      </c>
      <c r="E21" s="47">
        <v>2946</v>
      </c>
      <c r="F21" s="47">
        <v>6572</v>
      </c>
      <c r="G21" s="47"/>
      <c r="H21" s="47">
        <v>3303</v>
      </c>
      <c r="I21" s="47"/>
      <c r="J21" s="47"/>
      <c r="K21" s="47"/>
      <c r="L21" s="47"/>
      <c r="M21" s="47"/>
      <c r="N21" s="47">
        <v>722</v>
      </c>
      <c r="O21" s="47"/>
      <c r="P21" s="50"/>
      <c r="Q21" s="278">
        <f t="shared" si="1"/>
        <v>16607</v>
      </c>
      <c r="R21" s="109"/>
      <c r="S21" s="109"/>
      <c r="T21" s="224"/>
      <c r="U21" s="225"/>
      <c r="V21" s="225"/>
    </row>
    <row r="22" spans="1:22" ht="25.5">
      <c r="A22" s="51" t="s">
        <v>171</v>
      </c>
      <c r="B22" s="265" t="s">
        <v>163</v>
      </c>
      <c r="C22" s="47"/>
      <c r="D22" s="47"/>
      <c r="E22" s="47"/>
      <c r="F22" s="47"/>
      <c r="G22" s="47"/>
      <c r="H22" s="47">
        <v>991</v>
      </c>
      <c r="I22" s="47"/>
      <c r="J22" s="47">
        <v>4366</v>
      </c>
      <c r="K22" s="47"/>
      <c r="L22" s="47"/>
      <c r="M22" s="47"/>
      <c r="N22" s="47"/>
      <c r="O22" s="47"/>
      <c r="P22" s="50"/>
      <c r="Q22" s="278">
        <f t="shared" si="1"/>
        <v>5357</v>
      </c>
      <c r="R22" s="109"/>
      <c r="S22" s="109"/>
      <c r="T22" s="224"/>
      <c r="U22" s="225"/>
      <c r="V22" s="225"/>
    </row>
    <row r="23" spans="1:22" s="110" customFormat="1" ht="12.75">
      <c r="A23" s="51" t="s">
        <v>172</v>
      </c>
      <c r="B23" s="175" t="s">
        <v>81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660">
        <v>-9232</v>
      </c>
      <c r="Q23" s="658">
        <f t="shared" si="1"/>
        <v>-9232</v>
      </c>
      <c r="R23" s="792"/>
      <c r="S23" s="109"/>
      <c r="T23" s="224"/>
      <c r="U23" s="225"/>
      <c r="V23" s="225"/>
    </row>
    <row r="24" spans="1:25" s="5" customFormat="1" ht="15.75">
      <c r="A24" s="138" t="s">
        <v>177</v>
      </c>
      <c r="B24" s="203" t="s">
        <v>81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39">
        <v>7400</v>
      </c>
      <c r="Q24" s="272">
        <f t="shared" si="1"/>
        <v>7400</v>
      </c>
      <c r="R24" s="787"/>
      <c r="S24" s="787"/>
      <c r="T24" s="793"/>
      <c r="U24" s="791"/>
      <c r="V24" s="791"/>
      <c r="W24" s="788"/>
      <c r="X24" s="788"/>
      <c r="Y24" s="788"/>
    </row>
    <row r="25" spans="1:25" s="6" customFormat="1" ht="12.75">
      <c r="A25" s="138" t="s">
        <v>177</v>
      </c>
      <c r="B25" s="202" t="s">
        <v>80</v>
      </c>
      <c r="C25" s="47"/>
      <c r="D25" s="47"/>
      <c r="E25" s="47"/>
      <c r="F25" s="47"/>
      <c r="G25" s="47"/>
      <c r="H25" s="47"/>
      <c r="I25" s="47"/>
      <c r="J25" s="288"/>
      <c r="K25" s="288"/>
      <c r="L25" s="47"/>
      <c r="M25" s="47"/>
      <c r="N25" s="47"/>
      <c r="O25" s="47"/>
      <c r="P25" s="283">
        <v>1045</v>
      </c>
      <c r="Q25" s="275">
        <f t="shared" si="1"/>
        <v>1045</v>
      </c>
      <c r="R25" s="787"/>
      <c r="S25" s="787"/>
      <c r="T25" s="790"/>
      <c r="U25" s="794"/>
      <c r="V25" s="794"/>
      <c r="W25" s="795"/>
      <c r="X25" s="795"/>
      <c r="Y25" s="795"/>
    </row>
    <row r="26" spans="1:25" s="6" customFormat="1" ht="13.5" thickBot="1">
      <c r="A26" s="138" t="s">
        <v>177</v>
      </c>
      <c r="B26" s="205" t="s">
        <v>163</v>
      </c>
      <c r="C26" s="92"/>
      <c r="D26" s="92"/>
      <c r="E26" s="92"/>
      <c r="F26" s="92"/>
      <c r="G26" s="92"/>
      <c r="H26" s="92"/>
      <c r="I26" s="80"/>
      <c r="J26" s="80"/>
      <c r="K26" s="80"/>
      <c r="L26" s="80"/>
      <c r="M26" s="80"/>
      <c r="N26" s="80"/>
      <c r="O26" s="80"/>
      <c r="P26" s="661">
        <v>787</v>
      </c>
      <c r="Q26" s="275">
        <f t="shared" si="1"/>
        <v>787</v>
      </c>
      <c r="R26" s="787"/>
      <c r="S26" s="787"/>
      <c r="T26" s="790"/>
      <c r="U26" s="794"/>
      <c r="V26" s="794"/>
      <c r="W26" s="795"/>
      <c r="X26" s="795"/>
      <c r="Y26" s="795"/>
    </row>
    <row r="27" spans="1:25" s="6" customFormat="1" ht="25.5">
      <c r="A27" s="51" t="s">
        <v>176</v>
      </c>
      <c r="B27" s="47" t="s">
        <v>81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652"/>
      <c r="P27" s="654">
        <v>-578310</v>
      </c>
      <c r="Q27" s="275">
        <f t="shared" si="1"/>
        <v>-578310</v>
      </c>
      <c r="R27" s="787"/>
      <c r="S27" s="787"/>
      <c r="T27" s="790"/>
      <c r="U27" s="794"/>
      <c r="V27" s="794"/>
      <c r="W27" s="795"/>
      <c r="X27" s="795"/>
      <c r="Y27" s="795"/>
    </row>
    <row r="28" spans="1:25" s="6" customFormat="1" ht="25.5">
      <c r="A28" s="51" t="s">
        <v>176</v>
      </c>
      <c r="B28" s="47" t="s">
        <v>163</v>
      </c>
      <c r="C28" s="128"/>
      <c r="D28" s="47"/>
      <c r="E28" s="128"/>
      <c r="F28" s="128"/>
      <c r="G28" s="128"/>
      <c r="H28" s="128">
        <v>163751</v>
      </c>
      <c r="I28" s="128"/>
      <c r="J28" s="128">
        <v>414559</v>
      </c>
      <c r="K28" s="128"/>
      <c r="L28" s="128"/>
      <c r="M28" s="128"/>
      <c r="N28" s="128"/>
      <c r="O28" s="653"/>
      <c r="P28" s="655"/>
      <c r="Q28" s="275">
        <f t="shared" si="1"/>
        <v>578310</v>
      </c>
      <c r="R28" s="787"/>
      <c r="S28" s="787"/>
      <c r="T28" s="790"/>
      <c r="U28" s="794"/>
      <c r="V28" s="794"/>
      <c r="W28" s="795"/>
      <c r="X28" s="795"/>
      <c r="Y28" s="795"/>
    </row>
    <row r="29" spans="1:25" s="5" customFormat="1" ht="25.5">
      <c r="A29" s="51" t="s">
        <v>178</v>
      </c>
      <c r="B29" s="265" t="s">
        <v>163</v>
      </c>
      <c r="C29" s="128"/>
      <c r="D29" s="128"/>
      <c r="E29" s="128"/>
      <c r="F29" s="128"/>
      <c r="G29" s="128"/>
      <c r="H29" s="128">
        <v>-51436</v>
      </c>
      <c r="I29" s="128"/>
      <c r="J29" s="128">
        <v>-39113</v>
      </c>
      <c r="K29" s="128"/>
      <c r="L29" s="128"/>
      <c r="M29" s="128"/>
      <c r="N29" s="128"/>
      <c r="O29" s="128"/>
      <c r="P29" s="659"/>
      <c r="Q29" s="275">
        <f t="shared" si="1"/>
        <v>-90549</v>
      </c>
      <c r="R29" s="787"/>
      <c r="S29" s="787"/>
      <c r="T29" s="790"/>
      <c r="U29" s="791"/>
      <c r="V29" s="791"/>
      <c r="W29" s="788"/>
      <c r="X29" s="788"/>
      <c r="Y29" s="788"/>
    </row>
    <row r="30" spans="1:25" s="4" customFormat="1" ht="25.5">
      <c r="A30" s="51" t="s">
        <v>185</v>
      </c>
      <c r="B30" s="175" t="s">
        <v>180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>
        <v>149045</v>
      </c>
      <c r="O30" s="47"/>
      <c r="P30" s="662"/>
      <c r="Q30" s="275">
        <f t="shared" si="1"/>
        <v>149045</v>
      </c>
      <c r="R30" s="109"/>
      <c r="S30" s="109"/>
      <c r="T30" s="224"/>
      <c r="U30" s="225"/>
      <c r="V30" s="225"/>
      <c r="W30" s="110"/>
      <c r="X30" s="110"/>
      <c r="Y30" s="110"/>
    </row>
    <row r="31" spans="1:25" s="4" customFormat="1" ht="25.5">
      <c r="A31" s="51" t="s">
        <v>179</v>
      </c>
      <c r="B31" s="175" t="s">
        <v>180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>
        <v>82949</v>
      </c>
      <c r="O31" s="47"/>
      <c r="P31" s="662"/>
      <c r="Q31" s="275">
        <f t="shared" si="1"/>
        <v>82949</v>
      </c>
      <c r="R31" s="109"/>
      <c r="S31" s="109"/>
      <c r="T31" s="224"/>
      <c r="U31" s="225"/>
      <c r="V31" s="225"/>
      <c r="W31" s="110"/>
      <c r="X31" s="110"/>
      <c r="Y31" s="110"/>
    </row>
    <row r="32" spans="1:22" ht="25.5">
      <c r="A32" s="70" t="s">
        <v>181</v>
      </c>
      <c r="B32" s="656" t="s">
        <v>175</v>
      </c>
      <c r="C32" s="129">
        <v>-84009</v>
      </c>
      <c r="D32" s="129">
        <v>-7098</v>
      </c>
      <c r="E32" s="129">
        <v>-54217</v>
      </c>
      <c r="F32" s="129">
        <v>85813</v>
      </c>
      <c r="G32" s="129">
        <v>-1590</v>
      </c>
      <c r="H32" s="129">
        <v>19732</v>
      </c>
      <c r="I32" s="129">
        <v>-8631</v>
      </c>
      <c r="J32" s="129"/>
      <c r="K32" s="129"/>
      <c r="L32" s="129"/>
      <c r="M32" s="129"/>
      <c r="N32" s="129"/>
      <c r="O32" s="273"/>
      <c r="P32" s="657"/>
      <c r="Q32" s="275">
        <f t="shared" si="1"/>
        <v>-50000</v>
      </c>
      <c r="R32" s="109"/>
      <c r="S32" s="109"/>
      <c r="T32" s="224"/>
      <c r="U32" s="225"/>
      <c r="V32" s="225"/>
    </row>
    <row r="33" spans="1:22" ht="25.5">
      <c r="A33" s="70" t="s">
        <v>182</v>
      </c>
      <c r="B33" s="656" t="s">
        <v>81</v>
      </c>
      <c r="C33" s="129">
        <v>38112</v>
      </c>
      <c r="D33" s="129">
        <v>15725</v>
      </c>
      <c r="E33" s="129">
        <v>31127</v>
      </c>
      <c r="F33" s="129">
        <v>34613</v>
      </c>
      <c r="G33" s="129">
        <v>16908</v>
      </c>
      <c r="H33" s="129">
        <v>30405</v>
      </c>
      <c r="I33" s="129">
        <v>14369</v>
      </c>
      <c r="J33" s="129"/>
      <c r="K33" s="129"/>
      <c r="L33" s="129">
        <v>3328</v>
      </c>
      <c r="M33" s="129">
        <v>508</v>
      </c>
      <c r="N33" s="129"/>
      <c r="O33" s="273"/>
      <c r="P33" s="676"/>
      <c r="Q33" s="275">
        <f t="shared" si="1"/>
        <v>185095</v>
      </c>
      <c r="R33" s="109"/>
      <c r="S33" s="109"/>
      <c r="T33" s="224"/>
      <c r="U33" s="225"/>
      <c r="V33" s="225"/>
    </row>
    <row r="34" spans="1:22" ht="25.5">
      <c r="A34" s="70" t="s">
        <v>183</v>
      </c>
      <c r="B34" s="47" t="s">
        <v>80</v>
      </c>
      <c r="C34" s="47">
        <v>4899</v>
      </c>
      <c r="D34" s="47">
        <v>2032</v>
      </c>
      <c r="E34" s="47">
        <v>5327</v>
      </c>
      <c r="F34" s="47">
        <v>5793</v>
      </c>
      <c r="G34" s="47">
        <v>1239</v>
      </c>
      <c r="H34" s="47">
        <v>2738</v>
      </c>
      <c r="I34" s="47">
        <v>772</v>
      </c>
      <c r="J34" s="47"/>
      <c r="K34" s="47"/>
      <c r="L34" s="47">
        <v>394</v>
      </c>
      <c r="M34" s="47">
        <v>186</v>
      </c>
      <c r="N34" s="47"/>
      <c r="O34" s="652"/>
      <c r="P34" s="654"/>
      <c r="Q34" s="275">
        <f t="shared" si="1"/>
        <v>23380</v>
      </c>
      <c r="R34" s="109"/>
      <c r="S34" s="109"/>
      <c r="T34" s="224"/>
      <c r="U34" s="225"/>
      <c r="V34" s="225"/>
    </row>
    <row r="35" spans="1:22" ht="12.75">
      <c r="A35" s="51"/>
      <c r="B35" s="47"/>
      <c r="C35" s="128"/>
      <c r="D35" s="4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653"/>
      <c r="P35" s="655"/>
      <c r="Q35" s="275">
        <f t="shared" si="1"/>
        <v>0</v>
      </c>
      <c r="R35" s="109"/>
      <c r="S35" s="109"/>
      <c r="T35" s="224"/>
      <c r="U35" s="225"/>
      <c r="V35" s="225"/>
    </row>
    <row r="36" spans="1:22" ht="12.75" hidden="1">
      <c r="A36" s="43"/>
      <c r="B36" s="94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272">
        <f aca="true" t="shared" si="2" ref="Q36:Q61">SUM(C36:P36)</f>
        <v>0</v>
      </c>
      <c r="R36" s="109"/>
      <c r="S36" s="109"/>
      <c r="T36" s="224"/>
      <c r="U36" s="225"/>
      <c r="V36" s="225"/>
    </row>
    <row r="37" spans="1:22" ht="12.75" hidden="1">
      <c r="A37" s="43"/>
      <c r="B37" s="94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272"/>
      <c r="Q37" s="272">
        <f t="shared" si="2"/>
        <v>0</v>
      </c>
      <c r="R37" s="109"/>
      <c r="S37" s="109"/>
      <c r="T37" s="224"/>
      <c r="U37" s="225"/>
      <c r="V37" s="225"/>
    </row>
    <row r="38" spans="1:22" ht="12.75" hidden="1">
      <c r="A38" s="43"/>
      <c r="B38" s="144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272"/>
      <c r="Q38" s="272">
        <f t="shared" si="2"/>
        <v>0</v>
      </c>
      <c r="R38" s="109"/>
      <c r="S38" s="109"/>
      <c r="T38" s="224"/>
      <c r="U38" s="225"/>
      <c r="V38" s="225"/>
    </row>
    <row r="39" spans="1:22" ht="12.75" hidden="1">
      <c r="A39" s="43"/>
      <c r="B39" s="94"/>
      <c r="C39" s="13"/>
      <c r="D39" s="13"/>
      <c r="E39" s="13"/>
      <c r="F39" s="13"/>
      <c r="G39" s="47"/>
      <c r="H39" s="13"/>
      <c r="I39" s="13"/>
      <c r="J39" s="47"/>
      <c r="K39" s="47"/>
      <c r="L39" s="47"/>
      <c r="M39" s="47"/>
      <c r="N39" s="47"/>
      <c r="O39" s="47"/>
      <c r="P39" s="50"/>
      <c r="Q39" s="272">
        <f t="shared" si="2"/>
        <v>0</v>
      </c>
      <c r="R39" s="109"/>
      <c r="S39" s="109"/>
      <c r="T39" s="224"/>
      <c r="U39" s="225"/>
      <c r="V39" s="225"/>
    </row>
    <row r="40" spans="1:22" ht="14.25" customHeight="1" hidden="1">
      <c r="A40" s="43"/>
      <c r="B40" s="94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50"/>
      <c r="Q40" s="272">
        <f t="shared" si="2"/>
        <v>0</v>
      </c>
      <c r="R40" s="109"/>
      <c r="S40" s="109"/>
      <c r="T40" s="224"/>
      <c r="U40" s="225"/>
      <c r="V40" s="225"/>
    </row>
    <row r="41" spans="1:22" ht="12.75" hidden="1">
      <c r="A41" s="43"/>
      <c r="B41" s="94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50"/>
      <c r="Q41" s="272">
        <f t="shared" si="2"/>
        <v>0</v>
      </c>
      <c r="R41" s="109"/>
      <c r="S41" s="109"/>
      <c r="T41" s="224"/>
      <c r="U41" s="225"/>
      <c r="V41" s="225"/>
    </row>
    <row r="42" spans="1:22" ht="12.75" hidden="1">
      <c r="A42" s="70"/>
      <c r="B42" s="94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50"/>
      <c r="Q42" s="272">
        <f t="shared" si="2"/>
        <v>0</v>
      </c>
      <c r="R42" s="109"/>
      <c r="S42" s="109"/>
      <c r="T42" s="224"/>
      <c r="U42" s="225"/>
      <c r="V42" s="225"/>
    </row>
    <row r="43" spans="1:22" ht="12.75" hidden="1">
      <c r="A43" s="51"/>
      <c r="B43" s="94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50"/>
      <c r="Q43" s="272">
        <f t="shared" si="2"/>
        <v>0</v>
      </c>
      <c r="R43" s="109"/>
      <c r="S43" s="109"/>
      <c r="T43" s="224"/>
      <c r="U43" s="225"/>
      <c r="V43" s="225"/>
    </row>
    <row r="44" spans="1:25" s="2" customFormat="1" ht="12.75" hidden="1">
      <c r="A44" s="70"/>
      <c r="B44" s="94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272">
        <f t="shared" si="2"/>
        <v>0</v>
      </c>
      <c r="R44" s="109"/>
      <c r="S44" s="109"/>
      <c r="T44" s="224"/>
      <c r="U44" s="796"/>
      <c r="V44" s="796"/>
      <c r="W44" s="797"/>
      <c r="X44" s="797"/>
      <c r="Y44" s="797"/>
    </row>
    <row r="45" spans="1:25" s="2" customFormat="1" ht="12.75" hidden="1">
      <c r="A45" s="70"/>
      <c r="B45" s="94"/>
      <c r="C45" s="47"/>
      <c r="D45" s="47"/>
      <c r="E45" s="46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272">
        <f t="shared" si="2"/>
        <v>0</v>
      </c>
      <c r="R45" s="109"/>
      <c r="S45" s="109"/>
      <c r="T45" s="224"/>
      <c r="U45" s="796"/>
      <c r="V45" s="796"/>
      <c r="W45" s="797"/>
      <c r="X45" s="797"/>
      <c r="Y45" s="797"/>
    </row>
    <row r="46" spans="1:22" ht="12.75" hidden="1">
      <c r="A46" s="111"/>
      <c r="B46" s="94"/>
      <c r="C46" s="47"/>
      <c r="D46" s="47"/>
      <c r="E46" s="47"/>
      <c r="F46" s="153"/>
      <c r="G46" s="47"/>
      <c r="H46" s="47"/>
      <c r="I46" s="47"/>
      <c r="J46" s="47"/>
      <c r="K46" s="47"/>
      <c r="L46" s="13"/>
      <c r="M46" s="13"/>
      <c r="N46" s="13"/>
      <c r="O46" s="13"/>
      <c r="P46" s="13"/>
      <c r="Q46" s="272">
        <f t="shared" si="2"/>
        <v>0</v>
      </c>
      <c r="R46" s="109"/>
      <c r="S46" s="109"/>
      <c r="T46" s="224"/>
      <c r="U46" s="225"/>
      <c r="V46" s="225"/>
    </row>
    <row r="47" spans="1:22" ht="12.75" hidden="1">
      <c r="A47" s="70"/>
      <c r="B47" s="94"/>
      <c r="C47" s="47"/>
      <c r="D47" s="47"/>
      <c r="E47" s="47"/>
      <c r="F47" s="153"/>
      <c r="G47" s="47"/>
      <c r="H47" s="47"/>
      <c r="I47" s="47"/>
      <c r="J47" s="47"/>
      <c r="K47" s="47"/>
      <c r="L47" s="13"/>
      <c r="M47" s="13"/>
      <c r="N47" s="13"/>
      <c r="O47" s="13"/>
      <c r="P47" s="13"/>
      <c r="Q47" s="272">
        <f t="shared" si="2"/>
        <v>0</v>
      </c>
      <c r="R47" s="109"/>
      <c r="S47" s="109"/>
      <c r="T47" s="224"/>
      <c r="U47" s="225"/>
      <c r="V47" s="225"/>
    </row>
    <row r="48" spans="1:22" ht="12.75" hidden="1">
      <c r="A48" s="70"/>
      <c r="B48" s="94"/>
      <c r="C48" s="46"/>
      <c r="D48" s="46"/>
      <c r="E48" s="47"/>
      <c r="F48" s="47"/>
      <c r="G48" s="47"/>
      <c r="H48" s="46"/>
      <c r="I48" s="47"/>
      <c r="J48" s="13"/>
      <c r="K48" s="13"/>
      <c r="L48" s="13"/>
      <c r="M48" s="13"/>
      <c r="N48" s="13"/>
      <c r="O48" s="13"/>
      <c r="P48" s="13"/>
      <c r="Q48" s="272">
        <f t="shared" si="2"/>
        <v>0</v>
      </c>
      <c r="R48" s="109"/>
      <c r="S48" s="109"/>
      <c r="T48" s="224"/>
      <c r="U48" s="225"/>
      <c r="V48" s="225"/>
    </row>
    <row r="49" spans="1:22" ht="12.75" hidden="1">
      <c r="A49" s="70"/>
      <c r="B49" s="94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272">
        <f t="shared" si="2"/>
        <v>0</v>
      </c>
      <c r="R49" s="109"/>
      <c r="S49" s="109"/>
      <c r="T49" s="224"/>
      <c r="U49" s="225"/>
      <c r="V49" s="225"/>
    </row>
    <row r="50" spans="1:22" ht="12.75" hidden="1">
      <c r="A50" s="51"/>
      <c r="B50" s="94"/>
      <c r="C50" s="47"/>
      <c r="D50" s="47"/>
      <c r="E50" s="46"/>
      <c r="F50" s="4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272">
        <f t="shared" si="2"/>
        <v>0</v>
      </c>
      <c r="R50" s="109"/>
      <c r="S50" s="109"/>
      <c r="T50" s="224"/>
      <c r="U50" s="225"/>
      <c r="V50" s="225"/>
    </row>
    <row r="51" spans="1:22" ht="12.75" hidden="1">
      <c r="A51" s="9"/>
      <c r="B51" s="94"/>
      <c r="C51" s="47"/>
      <c r="D51" s="47"/>
      <c r="E51" s="47"/>
      <c r="F51" s="153"/>
      <c r="G51" s="47"/>
      <c r="H51" s="47"/>
      <c r="I51" s="47"/>
      <c r="J51" s="47"/>
      <c r="K51" s="47"/>
      <c r="L51" s="13"/>
      <c r="M51" s="13"/>
      <c r="N51" s="13"/>
      <c r="O51" s="13"/>
      <c r="P51" s="13"/>
      <c r="Q51" s="272">
        <f t="shared" si="2"/>
        <v>0</v>
      </c>
      <c r="R51" s="109"/>
      <c r="S51" s="109"/>
      <c r="T51" s="224"/>
      <c r="U51" s="225"/>
      <c r="V51" s="225"/>
    </row>
    <row r="52" spans="1:22" ht="12.75" hidden="1">
      <c r="A52" s="51"/>
      <c r="B52" s="94"/>
      <c r="C52" s="47"/>
      <c r="D52" s="47"/>
      <c r="E52" s="47"/>
      <c r="F52" s="153"/>
      <c r="G52" s="47"/>
      <c r="H52" s="47"/>
      <c r="I52" s="47"/>
      <c r="J52" s="47"/>
      <c r="K52" s="47"/>
      <c r="L52" s="13"/>
      <c r="M52" s="13"/>
      <c r="N52" s="13"/>
      <c r="O52" s="13"/>
      <c r="P52" s="13"/>
      <c r="Q52" s="272">
        <f t="shared" si="2"/>
        <v>0</v>
      </c>
      <c r="R52" s="109"/>
      <c r="S52" s="109"/>
      <c r="T52" s="224"/>
      <c r="U52" s="225"/>
      <c r="V52" s="225"/>
    </row>
    <row r="53" spans="1:22" ht="12.75" hidden="1">
      <c r="A53" s="51"/>
      <c r="B53" s="94"/>
      <c r="C53" s="47"/>
      <c r="D53" s="47"/>
      <c r="E53" s="47"/>
      <c r="F53" s="153"/>
      <c r="G53" s="47"/>
      <c r="H53" s="47"/>
      <c r="I53" s="47"/>
      <c r="J53" s="47"/>
      <c r="K53" s="47"/>
      <c r="L53" s="13"/>
      <c r="M53" s="13"/>
      <c r="N53" s="13"/>
      <c r="O53" s="13"/>
      <c r="P53" s="13"/>
      <c r="Q53" s="272">
        <f t="shared" si="2"/>
        <v>0</v>
      </c>
      <c r="R53" s="109"/>
      <c r="S53" s="109"/>
      <c r="T53" s="224"/>
      <c r="U53" s="225"/>
      <c r="V53" s="225"/>
    </row>
    <row r="54" spans="1:22" ht="12.75" hidden="1">
      <c r="A54" s="51"/>
      <c r="B54" s="94"/>
      <c r="C54" s="47"/>
      <c r="D54" s="47"/>
      <c r="E54" s="47"/>
      <c r="F54" s="153"/>
      <c r="G54" s="47"/>
      <c r="H54" s="47"/>
      <c r="I54" s="47"/>
      <c r="J54" s="47"/>
      <c r="K54" s="47"/>
      <c r="L54" s="13"/>
      <c r="M54" s="13"/>
      <c r="N54" s="13"/>
      <c r="O54" s="13"/>
      <c r="P54" s="13"/>
      <c r="Q54" s="272">
        <f t="shared" si="2"/>
        <v>0</v>
      </c>
      <c r="R54" s="109"/>
      <c r="S54" s="109"/>
      <c r="T54" s="224"/>
      <c r="U54" s="225"/>
      <c r="V54" s="225"/>
    </row>
    <row r="55" spans="1:22" ht="12.75" hidden="1">
      <c r="A55" s="51"/>
      <c r="B55" s="94"/>
      <c r="C55" s="47"/>
      <c r="D55" s="47"/>
      <c r="E55" s="47"/>
      <c r="F55" s="47"/>
      <c r="G55" s="47"/>
      <c r="H55" s="47"/>
      <c r="I55" s="47"/>
      <c r="J55" s="47"/>
      <c r="K55" s="47"/>
      <c r="L55" s="13"/>
      <c r="M55" s="13"/>
      <c r="N55" s="13"/>
      <c r="O55" s="13"/>
      <c r="P55" s="13"/>
      <c r="Q55" s="272">
        <f t="shared" si="2"/>
        <v>0</v>
      </c>
      <c r="R55" s="109"/>
      <c r="S55" s="109"/>
      <c r="T55" s="224"/>
      <c r="U55" s="225"/>
      <c r="V55" s="225"/>
    </row>
    <row r="56" spans="1:22" ht="12.75" hidden="1">
      <c r="A56" s="51"/>
      <c r="B56" s="94"/>
      <c r="C56" s="47"/>
      <c r="D56" s="47"/>
      <c r="E56" s="47"/>
      <c r="F56" s="47"/>
      <c r="G56" s="47"/>
      <c r="H56" s="47"/>
      <c r="I56" s="47"/>
      <c r="J56" s="47"/>
      <c r="K56" s="47"/>
      <c r="L56" s="13"/>
      <c r="M56" s="13"/>
      <c r="N56" s="13"/>
      <c r="O56" s="13"/>
      <c r="P56" s="13"/>
      <c r="Q56" s="272">
        <f t="shared" si="2"/>
        <v>0</v>
      </c>
      <c r="R56" s="109"/>
      <c r="S56" s="109"/>
      <c r="T56" s="224"/>
      <c r="U56" s="225"/>
      <c r="V56" s="225"/>
    </row>
    <row r="57" spans="1:22" ht="12.75" hidden="1">
      <c r="A57" s="51"/>
      <c r="B57" s="94"/>
      <c r="C57" s="47"/>
      <c r="D57" s="47"/>
      <c r="E57" s="47"/>
      <c r="F57" s="153"/>
      <c r="G57" s="47"/>
      <c r="H57" s="47"/>
      <c r="I57" s="47"/>
      <c r="J57" s="47"/>
      <c r="K57" s="47"/>
      <c r="L57" s="13"/>
      <c r="M57" s="13"/>
      <c r="N57" s="13"/>
      <c r="O57" s="13"/>
      <c r="P57" s="13"/>
      <c r="Q57" s="272">
        <f t="shared" si="2"/>
        <v>0</v>
      </c>
      <c r="R57" s="109"/>
      <c r="S57" s="109"/>
      <c r="T57" s="224"/>
      <c r="U57" s="225"/>
      <c r="V57" s="225"/>
    </row>
    <row r="58" spans="1:22" ht="12.75" hidden="1">
      <c r="A58" s="51"/>
      <c r="B58" s="94"/>
      <c r="C58" s="47"/>
      <c r="D58" s="47"/>
      <c r="E58" s="47"/>
      <c r="F58" s="153"/>
      <c r="G58" s="47"/>
      <c r="H58" s="47"/>
      <c r="I58" s="47"/>
      <c r="J58" s="47"/>
      <c r="K58" s="47"/>
      <c r="L58" s="13"/>
      <c r="M58" s="13"/>
      <c r="N58" s="13"/>
      <c r="O58" s="13"/>
      <c r="P58" s="13"/>
      <c r="Q58" s="272">
        <f t="shared" si="2"/>
        <v>0</v>
      </c>
      <c r="R58" s="109"/>
      <c r="S58" s="109"/>
      <c r="T58" s="224"/>
      <c r="U58" s="225"/>
      <c r="V58" s="225"/>
    </row>
    <row r="59" spans="1:22" ht="12.75" hidden="1">
      <c r="A59" s="51"/>
      <c r="B59" s="94"/>
      <c r="C59" s="47"/>
      <c r="D59" s="47"/>
      <c r="E59" s="47"/>
      <c r="F59" s="153"/>
      <c r="G59" s="47"/>
      <c r="H59" s="47"/>
      <c r="I59" s="47"/>
      <c r="J59" s="47"/>
      <c r="K59" s="47"/>
      <c r="L59" s="13"/>
      <c r="M59" s="13"/>
      <c r="N59" s="13"/>
      <c r="O59" s="13"/>
      <c r="P59" s="13"/>
      <c r="Q59" s="272">
        <f t="shared" si="2"/>
        <v>0</v>
      </c>
      <c r="R59" s="109"/>
      <c r="S59" s="109"/>
      <c r="T59" s="224"/>
      <c r="U59" s="225"/>
      <c r="V59" s="225"/>
    </row>
    <row r="60" spans="1:22" ht="12.75" hidden="1">
      <c r="A60" s="51"/>
      <c r="B60" s="94"/>
      <c r="C60" s="47"/>
      <c r="D60" s="47"/>
      <c r="E60" s="47"/>
      <c r="F60" s="153"/>
      <c r="G60" s="47"/>
      <c r="H60" s="47"/>
      <c r="I60" s="47"/>
      <c r="J60" s="47"/>
      <c r="K60" s="47"/>
      <c r="L60" s="13"/>
      <c r="M60" s="13"/>
      <c r="N60" s="13"/>
      <c r="O60" s="13"/>
      <c r="P60" s="13"/>
      <c r="Q60" s="272">
        <f t="shared" si="2"/>
        <v>0</v>
      </c>
      <c r="R60" s="109"/>
      <c r="S60" s="109"/>
      <c r="T60" s="224"/>
      <c r="U60" s="225"/>
      <c r="V60" s="225"/>
    </row>
    <row r="61" spans="1:22" ht="13.5" thickBot="1">
      <c r="A61" s="112"/>
      <c r="B61" s="94"/>
      <c r="C61" s="46"/>
      <c r="D61" s="46"/>
      <c r="E61" s="47"/>
      <c r="F61" s="47"/>
      <c r="G61" s="47"/>
      <c r="H61" s="46"/>
      <c r="I61" s="47"/>
      <c r="J61" s="13"/>
      <c r="K61" s="13"/>
      <c r="L61" s="13"/>
      <c r="M61" s="13"/>
      <c r="N61" s="13"/>
      <c r="O61" s="13"/>
      <c r="P61" s="13"/>
      <c r="Q61" s="272">
        <f t="shared" si="2"/>
        <v>0</v>
      </c>
      <c r="R61" s="109"/>
      <c r="S61" s="109"/>
      <c r="T61" s="224"/>
      <c r="U61" s="225"/>
      <c r="V61" s="225"/>
    </row>
    <row r="62" spans="1:22" ht="15" customHeight="1" thickBot="1">
      <c r="A62" s="136" t="s">
        <v>27</v>
      </c>
      <c r="B62" s="266"/>
      <c r="C62" s="47"/>
      <c r="D62" s="47"/>
      <c r="E62" s="47"/>
      <c r="F62" s="47"/>
      <c r="G62" s="47"/>
      <c r="H62" s="47"/>
      <c r="I62" s="47"/>
      <c r="J62" s="78"/>
      <c r="K62" s="78"/>
      <c r="L62" s="47"/>
      <c r="M62" s="47"/>
      <c r="N62" s="78"/>
      <c r="O62" s="78"/>
      <c r="P62" s="78"/>
      <c r="Q62" s="272"/>
      <c r="R62" s="109"/>
      <c r="S62" s="109"/>
      <c r="T62" s="224"/>
      <c r="U62" s="225"/>
      <c r="V62" s="225"/>
    </row>
    <row r="63" spans="1:22" ht="15" customHeight="1">
      <c r="A63" s="137" t="s">
        <v>96</v>
      </c>
      <c r="B63" s="267"/>
      <c r="C63" s="47"/>
      <c r="D63" s="47"/>
      <c r="E63" s="47"/>
      <c r="F63" s="47"/>
      <c r="G63" s="47"/>
      <c r="H63" s="47"/>
      <c r="I63" s="47"/>
      <c r="J63" s="78"/>
      <c r="K63" s="78"/>
      <c r="L63" s="47"/>
      <c r="M63" s="47"/>
      <c r="N63" s="78"/>
      <c r="O63" s="78"/>
      <c r="P63" s="78"/>
      <c r="Q63" s="272">
        <f aca="true" t="shared" si="3" ref="Q63:Q71">SUM(C63:P63)</f>
        <v>0</v>
      </c>
      <c r="R63" s="109"/>
      <c r="S63" s="109"/>
      <c r="T63" s="224"/>
      <c r="U63" s="225"/>
      <c r="V63" s="225"/>
    </row>
    <row r="64" spans="1:22" ht="15" customHeight="1">
      <c r="A64" s="137" t="s">
        <v>100</v>
      </c>
      <c r="B64" s="267"/>
      <c r="C64" s="47"/>
      <c r="D64" s="47"/>
      <c r="E64" s="47"/>
      <c r="F64" s="47"/>
      <c r="G64" s="47"/>
      <c r="H64" s="47"/>
      <c r="I64" s="47"/>
      <c r="J64" s="78"/>
      <c r="K64" s="78"/>
      <c r="L64" s="47"/>
      <c r="M64" s="47"/>
      <c r="N64" s="78"/>
      <c r="O64" s="78"/>
      <c r="P64" s="78"/>
      <c r="Q64" s="272">
        <f t="shared" si="3"/>
        <v>0</v>
      </c>
      <c r="R64" s="109"/>
      <c r="S64" s="109"/>
      <c r="T64" s="224"/>
      <c r="U64" s="225"/>
      <c r="V64" s="225"/>
    </row>
    <row r="65" spans="1:22" ht="15" customHeight="1">
      <c r="A65" s="382" t="s">
        <v>106</v>
      </c>
      <c r="B65" s="383" t="s">
        <v>67</v>
      </c>
      <c r="C65" s="47"/>
      <c r="D65" s="47">
        <f>17895</f>
        <v>17895</v>
      </c>
      <c r="E65" s="47">
        <v>-17895</v>
      </c>
      <c r="F65" s="47"/>
      <c r="G65" s="47"/>
      <c r="H65" s="47"/>
      <c r="I65" s="47"/>
      <c r="J65" s="78"/>
      <c r="K65" s="78"/>
      <c r="L65" s="47"/>
      <c r="M65" s="47"/>
      <c r="N65" s="78"/>
      <c r="O65" s="78"/>
      <c r="P65" s="78"/>
      <c r="Q65" s="272">
        <f t="shared" si="3"/>
        <v>0</v>
      </c>
      <c r="R65" s="109"/>
      <c r="S65" s="109"/>
      <c r="T65" s="224"/>
      <c r="U65" s="225"/>
      <c r="V65" s="225"/>
    </row>
    <row r="66" spans="1:22" ht="12.75">
      <c r="A66" s="382" t="s">
        <v>106</v>
      </c>
      <c r="B66" s="383" t="s">
        <v>67</v>
      </c>
      <c r="C66" s="47"/>
      <c r="D66" s="47"/>
      <c r="E66" s="47">
        <v>-7500</v>
      </c>
      <c r="F66" s="47">
        <v>7500</v>
      </c>
      <c r="G66" s="47"/>
      <c r="H66" s="47"/>
      <c r="I66" s="47"/>
      <c r="J66" s="78"/>
      <c r="K66" s="78"/>
      <c r="L66" s="47"/>
      <c r="M66" s="47"/>
      <c r="N66" s="78"/>
      <c r="O66" s="78"/>
      <c r="P66" s="78"/>
      <c r="Q66" s="272">
        <f t="shared" si="3"/>
        <v>0</v>
      </c>
      <c r="R66" s="109"/>
      <c r="S66" s="109"/>
      <c r="T66" s="224"/>
      <c r="U66" s="225"/>
      <c r="V66" s="225"/>
    </row>
    <row r="67" spans="1:22" ht="12.75">
      <c r="A67" s="382" t="s">
        <v>106</v>
      </c>
      <c r="B67" s="174" t="s">
        <v>67</v>
      </c>
      <c r="C67" s="126"/>
      <c r="D67" s="126"/>
      <c r="E67" s="126">
        <v>9075</v>
      </c>
      <c r="F67" s="126"/>
      <c r="G67" s="126"/>
      <c r="H67" s="126"/>
      <c r="I67" s="126"/>
      <c r="J67" s="126"/>
      <c r="K67" s="126"/>
      <c r="L67" s="126"/>
      <c r="M67" s="126"/>
      <c r="N67" s="126">
        <v>-9075</v>
      </c>
      <c r="O67" s="126"/>
      <c r="P67" s="126"/>
      <c r="Q67" s="272">
        <f t="shared" si="3"/>
        <v>0</v>
      </c>
      <c r="R67" s="109"/>
      <c r="S67" s="109"/>
      <c r="T67" s="224"/>
      <c r="U67" s="225"/>
      <c r="V67" s="225"/>
    </row>
    <row r="68" spans="1:22" ht="12" customHeight="1">
      <c r="A68" s="382" t="s">
        <v>106</v>
      </c>
      <c r="B68" s="174" t="s">
        <v>67</v>
      </c>
      <c r="C68" s="126"/>
      <c r="D68" s="639">
        <v>-25000</v>
      </c>
      <c r="E68" s="639"/>
      <c r="F68" s="639">
        <v>25000</v>
      </c>
      <c r="G68" s="639"/>
      <c r="H68" s="126"/>
      <c r="I68" s="126"/>
      <c r="J68" s="126"/>
      <c r="K68" s="126"/>
      <c r="L68" s="126"/>
      <c r="M68" s="126"/>
      <c r="N68" s="126"/>
      <c r="O68" s="126"/>
      <c r="P68" s="126"/>
      <c r="Q68" s="272">
        <f t="shared" si="3"/>
        <v>0</v>
      </c>
      <c r="R68" s="109"/>
      <c r="S68" s="109"/>
      <c r="T68" s="224"/>
      <c r="U68" s="225"/>
      <c r="V68" s="225"/>
    </row>
    <row r="69" spans="1:22" ht="12" customHeight="1">
      <c r="A69" s="382" t="s">
        <v>106</v>
      </c>
      <c r="B69" s="174" t="s">
        <v>67</v>
      </c>
      <c r="C69" s="126"/>
      <c r="D69" s="639">
        <v>-19161</v>
      </c>
      <c r="E69" s="639"/>
      <c r="F69" s="639"/>
      <c r="G69" s="639"/>
      <c r="H69" s="126"/>
      <c r="I69" s="126">
        <v>19161</v>
      </c>
      <c r="J69" s="126"/>
      <c r="K69" s="126"/>
      <c r="L69" s="126"/>
      <c r="M69" s="126"/>
      <c r="N69" s="126"/>
      <c r="O69" s="126"/>
      <c r="P69" s="126"/>
      <c r="Q69" s="272">
        <f t="shared" si="3"/>
        <v>0</v>
      </c>
      <c r="R69" s="109"/>
      <c r="S69" s="109"/>
      <c r="T69" s="224"/>
      <c r="U69" s="225"/>
      <c r="V69" s="225"/>
    </row>
    <row r="70" spans="1:22" ht="12" customHeight="1">
      <c r="A70" s="382" t="s">
        <v>106</v>
      </c>
      <c r="B70" s="174" t="s">
        <v>67</v>
      </c>
      <c r="C70" s="126"/>
      <c r="D70" s="639"/>
      <c r="E70" s="639"/>
      <c r="F70" s="639"/>
      <c r="G70" s="639"/>
      <c r="H70" s="126"/>
      <c r="I70" s="126"/>
      <c r="J70" s="126"/>
      <c r="K70" s="126"/>
      <c r="L70" s="126"/>
      <c r="M70" s="126"/>
      <c r="N70" s="126"/>
      <c r="O70" s="126"/>
      <c r="P70" s="126"/>
      <c r="Q70" s="272">
        <f t="shared" si="3"/>
        <v>0</v>
      </c>
      <c r="R70" s="109"/>
      <c r="S70" s="109"/>
      <c r="T70" s="224"/>
      <c r="U70" s="225"/>
      <c r="V70" s="225"/>
    </row>
    <row r="71" spans="1:22" ht="12" customHeight="1" thickBot="1">
      <c r="A71" s="644"/>
      <c r="B71" s="174"/>
      <c r="C71" s="126"/>
      <c r="D71" s="639"/>
      <c r="E71" s="639"/>
      <c r="F71" s="639"/>
      <c r="G71" s="639"/>
      <c r="H71" s="126"/>
      <c r="I71" s="126"/>
      <c r="J71" s="126"/>
      <c r="K71" s="126"/>
      <c r="L71" s="126"/>
      <c r="M71" s="126"/>
      <c r="N71" s="126"/>
      <c r="O71" s="126"/>
      <c r="P71" s="126"/>
      <c r="Q71" s="272">
        <f t="shared" si="3"/>
        <v>0</v>
      </c>
      <c r="R71" s="109"/>
      <c r="S71" s="109"/>
      <c r="T71" s="224"/>
      <c r="U71" s="225"/>
      <c r="V71" s="225"/>
    </row>
    <row r="72" spans="1:22" ht="15" customHeight="1" thickBot="1">
      <c r="A72" s="136" t="s">
        <v>28</v>
      </c>
      <c r="B72" s="145"/>
      <c r="C72" s="130"/>
      <c r="D72" s="130"/>
      <c r="E72" s="130"/>
      <c r="F72" s="130"/>
      <c r="G72" s="130"/>
      <c r="H72" s="130"/>
      <c r="I72" s="130"/>
      <c r="J72" s="279"/>
      <c r="K72" s="279"/>
      <c r="L72" s="130"/>
      <c r="M72" s="130"/>
      <c r="N72" s="279"/>
      <c r="O72" s="279"/>
      <c r="P72" s="279"/>
      <c r="Q72" s="79"/>
      <c r="R72" s="109"/>
      <c r="S72" s="109"/>
      <c r="T72" s="224"/>
      <c r="U72" s="225"/>
      <c r="V72" s="225"/>
    </row>
    <row r="73" spans="1:22" ht="0.75" customHeight="1" thickBot="1">
      <c r="A73" s="43" t="s">
        <v>29</v>
      </c>
      <c r="B73" s="145"/>
      <c r="C73" s="130"/>
      <c r="D73" s="130"/>
      <c r="E73" s="130"/>
      <c r="F73" s="130"/>
      <c r="G73" s="130"/>
      <c r="H73" s="130"/>
      <c r="I73" s="130"/>
      <c r="J73" s="279"/>
      <c r="K73" s="279"/>
      <c r="L73" s="673"/>
      <c r="M73" s="130"/>
      <c r="N73" s="279"/>
      <c r="O73" s="279"/>
      <c r="P73" s="279"/>
      <c r="Q73" s="79"/>
      <c r="R73" s="109"/>
      <c r="S73" s="109"/>
      <c r="T73" s="224"/>
      <c r="U73" s="225"/>
      <c r="V73" s="225"/>
    </row>
    <row r="74" spans="1:22" s="110" customFormat="1" ht="25.5">
      <c r="A74" s="247" t="s">
        <v>99</v>
      </c>
      <c r="B74" s="648" t="s">
        <v>152</v>
      </c>
      <c r="C74" s="649"/>
      <c r="D74" s="649">
        <f>21527+2000+1100+824</f>
        <v>25451</v>
      </c>
      <c r="E74" s="649">
        <v>4698</v>
      </c>
      <c r="F74" s="649"/>
      <c r="G74" s="649"/>
      <c r="H74" s="284">
        <f>10574+768</f>
        <v>11342</v>
      </c>
      <c r="I74" s="649"/>
      <c r="J74" s="649"/>
      <c r="K74" s="664"/>
      <c r="L74" s="674"/>
      <c r="M74" s="669"/>
      <c r="N74" s="649">
        <v>13933</v>
      </c>
      <c r="O74" s="649">
        <f>-21527-3768-824-13933-10574-4698-100</f>
        <v>-55424</v>
      </c>
      <c r="P74" s="47"/>
      <c r="Q74" s="282">
        <f>SUM(P74:P74)</f>
        <v>0</v>
      </c>
      <c r="R74" s="109"/>
      <c r="S74" s="109"/>
      <c r="T74" s="224"/>
      <c r="U74" s="225"/>
      <c r="V74" s="225"/>
    </row>
    <row r="75" spans="1:25" s="8" customFormat="1" ht="15.75" customHeight="1">
      <c r="A75" s="248" t="s">
        <v>95</v>
      </c>
      <c r="B75" s="202" t="s">
        <v>80</v>
      </c>
      <c r="C75" s="129">
        <f>28850+7000</f>
        <v>35850</v>
      </c>
      <c r="D75" s="129">
        <f>6790+14000</f>
        <v>20790</v>
      </c>
      <c r="E75" s="129">
        <f>14000+7000</f>
        <v>21000</v>
      </c>
      <c r="F75" s="129">
        <f>31570+12000</f>
        <v>43570</v>
      </c>
      <c r="G75" s="129">
        <v>5000</v>
      </c>
      <c r="H75" s="129">
        <v>10000</v>
      </c>
      <c r="I75" s="129">
        <v>11790</v>
      </c>
      <c r="J75" s="280"/>
      <c r="K75" s="665"/>
      <c r="L75" s="129">
        <v>2000</v>
      </c>
      <c r="M75" s="670"/>
      <c r="N75" s="129"/>
      <c r="O75" s="129">
        <f>-110000-40000</f>
        <v>-150000</v>
      </c>
      <c r="P75" s="281"/>
      <c r="Q75" s="79">
        <f aca="true" t="shared" si="4" ref="Q75:Q106">SUM(C75:P75)</f>
        <v>0</v>
      </c>
      <c r="R75" s="109"/>
      <c r="S75" s="798"/>
      <c r="T75" s="799"/>
      <c r="U75" s="800"/>
      <c r="V75" s="800"/>
      <c r="W75" s="801"/>
      <c r="X75" s="801"/>
      <c r="Y75" s="801"/>
    </row>
    <row r="76" spans="1:22" ht="12.75">
      <c r="A76" s="249" t="s">
        <v>156</v>
      </c>
      <c r="B76" s="174" t="s">
        <v>81</v>
      </c>
      <c r="C76" s="47">
        <f>12954+4041.6</f>
        <v>16995.6</v>
      </c>
      <c r="D76" s="47"/>
      <c r="E76" s="47">
        <f>12881.4+4019.04</f>
        <v>16900.44</v>
      </c>
      <c r="F76" s="47">
        <f>11936.4+4201.56</f>
        <v>16137.96</v>
      </c>
      <c r="G76" s="47">
        <f>11701.2+4118.88</f>
        <v>15820.080000000002</v>
      </c>
      <c r="H76" s="47">
        <f>12954+4041.6</f>
        <v>16995.6</v>
      </c>
      <c r="I76" s="47"/>
      <c r="J76" s="78"/>
      <c r="K76" s="666"/>
      <c r="L76" s="47"/>
      <c r="M76" s="48"/>
      <c r="N76" s="47">
        <f>-62427-20422.68</f>
        <v>-82849.68</v>
      </c>
      <c r="O76" s="47"/>
      <c r="P76" s="78"/>
      <c r="Q76" s="79">
        <f t="shared" si="4"/>
        <v>0</v>
      </c>
      <c r="R76" s="109"/>
      <c r="S76" s="109"/>
      <c r="T76" s="224"/>
      <c r="U76" s="802"/>
      <c r="V76" s="225"/>
    </row>
    <row r="77" spans="1:22" ht="15" customHeight="1">
      <c r="A77" s="226" t="s">
        <v>157</v>
      </c>
      <c r="B77" s="202" t="s">
        <v>80</v>
      </c>
      <c r="C77" s="47">
        <v>42366</v>
      </c>
      <c r="D77" s="47">
        <v>17758</v>
      </c>
      <c r="E77" s="47">
        <v>46978</v>
      </c>
      <c r="F77" s="47">
        <v>47792</v>
      </c>
      <c r="G77" s="47">
        <v>10335</v>
      </c>
      <c r="H77" s="47">
        <v>22681</v>
      </c>
      <c r="I77" s="47">
        <v>6571</v>
      </c>
      <c r="J77" s="78"/>
      <c r="K77" s="666"/>
      <c r="L77" s="47">
        <v>3370</v>
      </c>
      <c r="M77" s="48">
        <v>1641</v>
      </c>
      <c r="N77" s="47">
        <v>508</v>
      </c>
      <c r="O77" s="47"/>
      <c r="P77" s="283">
        <v>-200000</v>
      </c>
      <c r="Q77" s="78">
        <f t="shared" si="4"/>
        <v>0</v>
      </c>
      <c r="R77" s="109"/>
      <c r="S77" s="109"/>
      <c r="T77" s="224"/>
      <c r="U77" s="225"/>
      <c r="V77" s="225"/>
    </row>
    <row r="78" spans="1:20" ht="12.75">
      <c r="A78" s="9" t="s">
        <v>159</v>
      </c>
      <c r="B78" s="202" t="s">
        <v>81</v>
      </c>
      <c r="C78" s="47"/>
      <c r="D78" s="47"/>
      <c r="E78" s="47"/>
      <c r="F78" s="47"/>
      <c r="G78" s="130"/>
      <c r="H78" s="130"/>
      <c r="I78" s="130"/>
      <c r="J78" s="279"/>
      <c r="K78" s="667"/>
      <c r="L78" s="130"/>
      <c r="M78" s="671"/>
      <c r="N78" s="130"/>
      <c r="O78" s="130">
        <v>50000</v>
      </c>
      <c r="P78" s="283"/>
      <c r="Q78" s="78">
        <f t="shared" si="4"/>
        <v>50000</v>
      </c>
      <c r="R78" s="109"/>
      <c r="S78" s="109"/>
      <c r="T78" s="109"/>
    </row>
    <row r="79" spans="1:20" ht="12.75">
      <c r="A79" s="9" t="s">
        <v>159</v>
      </c>
      <c r="B79" s="202" t="s">
        <v>80</v>
      </c>
      <c r="C79" s="47"/>
      <c r="D79" s="47"/>
      <c r="E79" s="47"/>
      <c r="F79" s="47"/>
      <c r="G79" s="130"/>
      <c r="H79" s="130"/>
      <c r="I79" s="130"/>
      <c r="J79" s="279"/>
      <c r="K79" s="667"/>
      <c r="L79" s="130"/>
      <c r="M79" s="671"/>
      <c r="N79" s="130"/>
      <c r="O79" s="130">
        <v>-50000</v>
      </c>
      <c r="P79" s="283"/>
      <c r="Q79" s="78">
        <f t="shared" si="4"/>
        <v>-50000</v>
      </c>
      <c r="R79" s="109"/>
      <c r="S79" s="109"/>
      <c r="T79" s="109"/>
    </row>
    <row r="80" spans="1:20" ht="12.75" customHeight="1">
      <c r="A80" s="9" t="s">
        <v>107</v>
      </c>
      <c r="B80" s="202" t="s">
        <v>80</v>
      </c>
      <c r="C80" s="47">
        <v>4056</v>
      </c>
      <c r="D80" s="47"/>
      <c r="E80" s="47"/>
      <c r="F80" s="47">
        <v>1352</v>
      </c>
      <c r="G80" s="47">
        <v>2704</v>
      </c>
      <c r="H80" s="47"/>
      <c r="I80" s="284"/>
      <c r="J80" s="47"/>
      <c r="K80" s="663"/>
      <c r="L80" s="47"/>
      <c r="M80" s="48"/>
      <c r="N80" s="47"/>
      <c r="O80" s="47">
        <v>-8112</v>
      </c>
      <c r="P80" s="47"/>
      <c r="Q80" s="78">
        <f t="shared" si="4"/>
        <v>0</v>
      </c>
      <c r="R80" s="109"/>
      <c r="S80" s="109"/>
      <c r="T80" s="109"/>
    </row>
    <row r="81" spans="1:20" ht="12.75" customHeight="1">
      <c r="A81" s="9" t="s">
        <v>155</v>
      </c>
      <c r="B81" s="202" t="s">
        <v>80</v>
      </c>
      <c r="C81" s="47"/>
      <c r="D81" s="47"/>
      <c r="E81" s="47"/>
      <c r="F81" s="47"/>
      <c r="G81" s="47"/>
      <c r="H81" s="47">
        <v>-152000</v>
      </c>
      <c r="I81" s="284"/>
      <c r="J81" s="78"/>
      <c r="K81" s="663"/>
      <c r="L81" s="675"/>
      <c r="M81" s="48"/>
      <c r="N81" s="47">
        <v>152000</v>
      </c>
      <c r="O81" s="78"/>
      <c r="P81" s="283"/>
      <c r="Q81" s="78">
        <f t="shared" si="4"/>
        <v>0</v>
      </c>
      <c r="R81" s="109"/>
      <c r="S81" s="109"/>
      <c r="T81" s="109"/>
    </row>
    <row r="82" spans="1:20" ht="12.75" customHeight="1">
      <c r="A82" s="9" t="s">
        <v>158</v>
      </c>
      <c r="B82" s="202" t="s">
        <v>80</v>
      </c>
      <c r="C82" s="47"/>
      <c r="D82" s="47"/>
      <c r="E82" s="47"/>
      <c r="F82" s="47"/>
      <c r="G82" s="47"/>
      <c r="H82" s="47"/>
      <c r="I82" s="284"/>
      <c r="J82" s="78"/>
      <c r="K82" s="663"/>
      <c r="L82" s="675"/>
      <c r="M82" s="48"/>
      <c r="N82" s="47"/>
      <c r="O82" s="283">
        <v>-80000</v>
      </c>
      <c r="P82" s="283"/>
      <c r="Q82" s="677">
        <f t="shared" si="4"/>
        <v>-80000</v>
      </c>
      <c r="R82" s="109"/>
      <c r="S82" s="109"/>
      <c r="T82" s="109"/>
    </row>
    <row r="83" spans="1:20" ht="12.75" customHeight="1">
      <c r="A83" s="9" t="s">
        <v>158</v>
      </c>
      <c r="B83" s="202" t="s">
        <v>103</v>
      </c>
      <c r="C83" s="47"/>
      <c r="D83" s="47"/>
      <c r="E83" s="47"/>
      <c r="F83" s="47"/>
      <c r="G83" s="47"/>
      <c r="H83" s="47"/>
      <c r="I83" s="284"/>
      <c r="J83" s="78"/>
      <c r="K83" s="663"/>
      <c r="L83" s="675"/>
      <c r="M83" s="48"/>
      <c r="N83" s="47"/>
      <c r="O83" s="283">
        <v>40000</v>
      </c>
      <c r="P83" s="283"/>
      <c r="Q83" s="677">
        <f t="shared" si="4"/>
        <v>40000</v>
      </c>
      <c r="R83" s="109"/>
      <c r="S83" s="109"/>
      <c r="T83" s="109"/>
    </row>
    <row r="84" spans="1:20" ht="12.75" customHeight="1">
      <c r="A84" s="9" t="s">
        <v>158</v>
      </c>
      <c r="B84" s="202" t="s">
        <v>104</v>
      </c>
      <c r="C84" s="47"/>
      <c r="D84" s="47"/>
      <c r="E84" s="47"/>
      <c r="F84" s="47"/>
      <c r="G84" s="47"/>
      <c r="H84" s="47"/>
      <c r="I84" s="284"/>
      <c r="J84" s="78"/>
      <c r="K84" s="663"/>
      <c r="L84" s="675"/>
      <c r="M84" s="48"/>
      <c r="N84" s="47"/>
      <c r="O84" s="283">
        <v>15000</v>
      </c>
      <c r="P84" s="283"/>
      <c r="Q84" s="677">
        <f t="shared" si="4"/>
        <v>15000</v>
      </c>
      <c r="R84" s="109"/>
      <c r="S84" s="109"/>
      <c r="T84" s="109"/>
    </row>
    <row r="85" spans="1:20" ht="12.75" customHeight="1">
      <c r="A85" s="9" t="s">
        <v>158</v>
      </c>
      <c r="B85" s="202" t="s">
        <v>154</v>
      </c>
      <c r="C85" s="47"/>
      <c r="D85" s="47"/>
      <c r="E85" s="47"/>
      <c r="F85" s="47"/>
      <c r="G85" s="47"/>
      <c r="H85" s="47"/>
      <c r="I85" s="284"/>
      <c r="J85" s="78"/>
      <c r="K85" s="663"/>
      <c r="L85" s="675"/>
      <c r="M85" s="48"/>
      <c r="N85" s="47"/>
      <c r="O85" s="283">
        <v>25000</v>
      </c>
      <c r="P85" s="283"/>
      <c r="Q85" s="677">
        <f t="shared" si="4"/>
        <v>25000</v>
      </c>
      <c r="R85" s="109"/>
      <c r="S85" s="109"/>
      <c r="T85" s="109"/>
    </row>
    <row r="86" spans="1:20" ht="13.5" customHeight="1">
      <c r="A86" s="9" t="s">
        <v>30</v>
      </c>
      <c r="B86" s="202" t="s">
        <v>81</v>
      </c>
      <c r="C86" s="47">
        <v>6807</v>
      </c>
      <c r="D86" s="47"/>
      <c r="E86" s="47"/>
      <c r="F86" s="47"/>
      <c r="G86" s="47"/>
      <c r="H86" s="47"/>
      <c r="I86" s="284"/>
      <c r="J86" s="78"/>
      <c r="K86" s="666"/>
      <c r="L86" s="47">
        <v>-6807</v>
      </c>
      <c r="M86" s="48"/>
      <c r="N86" s="78"/>
      <c r="O86" s="78"/>
      <c r="P86" s="279"/>
      <c r="Q86" s="677">
        <f t="shared" si="4"/>
        <v>0</v>
      </c>
      <c r="R86" s="109"/>
      <c r="S86" s="109"/>
      <c r="T86" s="109"/>
    </row>
    <row r="87" spans="1:20" ht="15.75" customHeight="1">
      <c r="A87" s="9" t="s">
        <v>31</v>
      </c>
      <c r="B87" s="202" t="s">
        <v>81</v>
      </c>
      <c r="C87" s="47">
        <v>2396</v>
      </c>
      <c r="D87" s="47"/>
      <c r="E87" s="47"/>
      <c r="F87" s="47"/>
      <c r="G87" s="47"/>
      <c r="H87" s="284"/>
      <c r="I87" s="47"/>
      <c r="J87" s="285"/>
      <c r="K87" s="663"/>
      <c r="L87" s="47">
        <v>-2396</v>
      </c>
      <c r="M87" s="48"/>
      <c r="N87" s="47"/>
      <c r="O87" s="47"/>
      <c r="P87" s="47"/>
      <c r="Q87" s="78">
        <f t="shared" si="4"/>
        <v>0</v>
      </c>
      <c r="R87" s="109"/>
      <c r="S87" s="109"/>
      <c r="T87" s="109"/>
    </row>
    <row r="88" spans="1:20" ht="15.75" customHeight="1">
      <c r="A88" s="9" t="s">
        <v>30</v>
      </c>
      <c r="B88" s="202" t="s">
        <v>81</v>
      </c>
      <c r="C88" s="47"/>
      <c r="D88" s="47">
        <v>664</v>
      </c>
      <c r="E88" s="47"/>
      <c r="F88" s="47">
        <v>-664</v>
      </c>
      <c r="G88" s="47"/>
      <c r="H88" s="284"/>
      <c r="I88" s="47"/>
      <c r="J88" s="285"/>
      <c r="K88" s="663"/>
      <c r="L88" s="47"/>
      <c r="M88" s="48"/>
      <c r="N88" s="47"/>
      <c r="O88" s="47"/>
      <c r="P88" s="47"/>
      <c r="Q88" s="78">
        <f t="shared" si="4"/>
        <v>0</v>
      </c>
      <c r="R88" s="109"/>
      <c r="S88" s="109"/>
      <c r="T88" s="109"/>
    </row>
    <row r="89" spans="1:20" ht="15.75" customHeight="1">
      <c r="A89" s="9" t="s">
        <v>31</v>
      </c>
      <c r="B89" s="202" t="s">
        <v>81</v>
      </c>
      <c r="C89" s="47"/>
      <c r="D89" s="47">
        <v>233</v>
      </c>
      <c r="E89" s="47"/>
      <c r="F89" s="47">
        <v>-233</v>
      </c>
      <c r="G89" s="47"/>
      <c r="H89" s="284"/>
      <c r="I89" s="47"/>
      <c r="J89" s="285"/>
      <c r="K89" s="663"/>
      <c r="L89" s="47"/>
      <c r="M89" s="48"/>
      <c r="N89" s="47"/>
      <c r="O89" s="47"/>
      <c r="P89" s="47"/>
      <c r="Q89" s="78">
        <f t="shared" si="4"/>
        <v>0</v>
      </c>
      <c r="R89" s="109"/>
      <c r="S89" s="109"/>
      <c r="T89" s="109"/>
    </row>
    <row r="90" spans="1:20" ht="15.75" customHeight="1">
      <c r="A90" s="9" t="s">
        <v>30</v>
      </c>
      <c r="B90" s="202" t="s">
        <v>81</v>
      </c>
      <c r="C90" s="47">
        <v>20764</v>
      </c>
      <c r="D90" s="47"/>
      <c r="E90" s="47"/>
      <c r="F90" s="47"/>
      <c r="G90" s="47">
        <v>-20764</v>
      </c>
      <c r="H90" s="284"/>
      <c r="I90" s="47"/>
      <c r="J90" s="285"/>
      <c r="K90" s="663"/>
      <c r="L90" s="47"/>
      <c r="M90" s="48"/>
      <c r="N90" s="47"/>
      <c r="O90" s="47"/>
      <c r="P90" s="47"/>
      <c r="Q90" s="78">
        <f t="shared" si="4"/>
        <v>0</v>
      </c>
      <c r="R90" s="109"/>
      <c r="S90" s="109"/>
      <c r="T90" s="109"/>
    </row>
    <row r="91" spans="1:20" ht="15.75" customHeight="1">
      <c r="A91" s="9" t="s">
        <v>31</v>
      </c>
      <c r="B91" s="202" t="s">
        <v>81</v>
      </c>
      <c r="C91" s="47">
        <v>7310</v>
      </c>
      <c r="D91" s="47"/>
      <c r="E91" s="47"/>
      <c r="F91" s="47"/>
      <c r="G91" s="47">
        <v>-7310</v>
      </c>
      <c r="H91" s="284"/>
      <c r="I91" s="47"/>
      <c r="J91" s="285"/>
      <c r="K91" s="663"/>
      <c r="L91" s="47"/>
      <c r="M91" s="48"/>
      <c r="N91" s="47"/>
      <c r="O91" s="47"/>
      <c r="P91" s="47"/>
      <c r="Q91" s="78">
        <f t="shared" si="4"/>
        <v>0</v>
      </c>
      <c r="R91" s="109"/>
      <c r="S91" s="109"/>
      <c r="T91" s="109"/>
    </row>
    <row r="92" spans="1:20" ht="16.5" customHeight="1">
      <c r="A92" s="9" t="s">
        <v>30</v>
      </c>
      <c r="B92" s="202" t="s">
        <v>81</v>
      </c>
      <c r="C92" s="47">
        <v>914</v>
      </c>
      <c r="D92" s="47"/>
      <c r="E92" s="47"/>
      <c r="F92" s="47">
        <v>-914</v>
      </c>
      <c r="G92" s="47"/>
      <c r="H92" s="284"/>
      <c r="I92" s="47"/>
      <c r="J92" s="285"/>
      <c r="K92" s="663"/>
      <c r="L92" s="47"/>
      <c r="M92" s="48"/>
      <c r="N92" s="47"/>
      <c r="O92" s="47"/>
      <c r="P92" s="47"/>
      <c r="Q92" s="78">
        <f t="shared" si="4"/>
        <v>0</v>
      </c>
      <c r="R92" s="109"/>
      <c r="S92" s="109"/>
      <c r="T92" s="109"/>
    </row>
    <row r="93" spans="1:20" ht="15.75" customHeight="1">
      <c r="A93" s="9" t="s">
        <v>31</v>
      </c>
      <c r="B93" s="202" t="s">
        <v>81</v>
      </c>
      <c r="C93" s="47">
        <v>321</v>
      </c>
      <c r="D93" s="47"/>
      <c r="E93" s="47"/>
      <c r="F93" s="47">
        <v>-321</v>
      </c>
      <c r="G93" s="47"/>
      <c r="H93" s="284"/>
      <c r="I93" s="47"/>
      <c r="J93" s="285"/>
      <c r="K93" s="663"/>
      <c r="L93" s="47"/>
      <c r="M93" s="48"/>
      <c r="N93" s="47"/>
      <c r="O93" s="47"/>
      <c r="P93" s="47"/>
      <c r="Q93" s="78">
        <f t="shared" si="4"/>
        <v>0</v>
      </c>
      <c r="R93" s="109"/>
      <c r="S93" s="109"/>
      <c r="T93" s="109"/>
    </row>
    <row r="94" spans="1:20" ht="15.75" customHeight="1">
      <c r="A94" s="9" t="s">
        <v>30</v>
      </c>
      <c r="B94" s="202" t="s">
        <v>81</v>
      </c>
      <c r="C94" s="47"/>
      <c r="D94" s="47">
        <v>9375</v>
      </c>
      <c r="E94" s="47"/>
      <c r="F94" s="47"/>
      <c r="G94" s="47">
        <v>-9375</v>
      </c>
      <c r="H94" s="284"/>
      <c r="I94" s="47"/>
      <c r="J94" s="285"/>
      <c r="K94" s="663"/>
      <c r="L94" s="47"/>
      <c r="M94" s="48"/>
      <c r="N94" s="47"/>
      <c r="O94" s="47"/>
      <c r="P94" s="47"/>
      <c r="Q94" s="78">
        <f t="shared" si="4"/>
        <v>0</v>
      </c>
      <c r="R94" s="109"/>
      <c r="S94" s="109"/>
      <c r="T94" s="109"/>
    </row>
    <row r="95" spans="1:20" ht="15.75" customHeight="1">
      <c r="A95" s="9" t="s">
        <v>31</v>
      </c>
      <c r="B95" s="202" t="s">
        <v>81</v>
      </c>
      <c r="C95" s="47"/>
      <c r="D95" s="47">
        <v>3300</v>
      </c>
      <c r="E95" s="47"/>
      <c r="F95" s="47"/>
      <c r="G95" s="47">
        <v>-3300</v>
      </c>
      <c r="H95" s="284"/>
      <c r="I95" s="47"/>
      <c r="J95" s="285"/>
      <c r="K95" s="663"/>
      <c r="L95" s="47"/>
      <c r="M95" s="48"/>
      <c r="N95" s="47"/>
      <c r="O95" s="47"/>
      <c r="P95" s="47"/>
      <c r="Q95" s="78">
        <f t="shared" si="4"/>
        <v>0</v>
      </c>
      <c r="R95" s="109"/>
      <c r="S95" s="109"/>
      <c r="T95" s="109"/>
    </row>
    <row r="96" spans="1:20" ht="15.75" customHeight="1">
      <c r="A96" s="9" t="s">
        <v>30</v>
      </c>
      <c r="B96" s="202" t="s">
        <v>81</v>
      </c>
      <c r="C96" s="47">
        <v>1250</v>
      </c>
      <c r="D96" s="47">
        <v>-1250</v>
      </c>
      <c r="E96" s="47"/>
      <c r="F96" s="47"/>
      <c r="G96" s="47"/>
      <c r="H96" s="284"/>
      <c r="I96" s="47"/>
      <c r="J96" s="285"/>
      <c r="K96" s="663"/>
      <c r="L96" s="47"/>
      <c r="M96" s="48"/>
      <c r="N96" s="47"/>
      <c r="O96" s="47"/>
      <c r="P96" s="47"/>
      <c r="Q96" s="78">
        <f t="shared" si="4"/>
        <v>0</v>
      </c>
      <c r="R96" s="109"/>
      <c r="S96" s="109"/>
      <c r="T96" s="109"/>
    </row>
    <row r="97" spans="1:20" ht="15.75" customHeight="1">
      <c r="A97" s="9" t="s">
        <v>31</v>
      </c>
      <c r="B97" s="202" t="s">
        <v>81</v>
      </c>
      <c r="C97" s="47">
        <v>440</v>
      </c>
      <c r="D97" s="47">
        <v>-440</v>
      </c>
      <c r="E97" s="47"/>
      <c r="F97" s="47"/>
      <c r="G97" s="47"/>
      <c r="H97" s="284"/>
      <c r="I97" s="47"/>
      <c r="J97" s="285"/>
      <c r="K97" s="663"/>
      <c r="L97" s="47"/>
      <c r="M97" s="48"/>
      <c r="N97" s="47"/>
      <c r="O97" s="47"/>
      <c r="P97" s="47"/>
      <c r="Q97" s="78">
        <f t="shared" si="4"/>
        <v>0</v>
      </c>
      <c r="R97" s="109"/>
      <c r="S97" s="109"/>
      <c r="T97" s="109"/>
    </row>
    <row r="98" spans="1:25" s="2" customFormat="1" ht="15.75" customHeight="1">
      <c r="A98" s="9" t="s">
        <v>30</v>
      </c>
      <c r="B98" s="202" t="s">
        <v>81</v>
      </c>
      <c r="C98" s="47"/>
      <c r="D98" s="47">
        <v>-1183</v>
      </c>
      <c r="E98" s="47">
        <v>1183</v>
      </c>
      <c r="F98" s="129"/>
      <c r="G98" s="129"/>
      <c r="H98" s="284"/>
      <c r="I98" s="47"/>
      <c r="J98" s="47"/>
      <c r="K98" s="663"/>
      <c r="L98" s="47"/>
      <c r="M98" s="48"/>
      <c r="N98" s="47"/>
      <c r="O98" s="47"/>
      <c r="P98" s="47"/>
      <c r="Q98" s="78">
        <f t="shared" si="4"/>
        <v>0</v>
      </c>
      <c r="R98" s="109"/>
      <c r="S98" s="109"/>
      <c r="T98" s="109"/>
      <c r="U98" s="797"/>
      <c r="V98" s="797"/>
      <c r="W98" s="797"/>
      <c r="X98" s="797"/>
      <c r="Y98" s="797"/>
    </row>
    <row r="99" spans="1:25" s="2" customFormat="1" ht="15.75" customHeight="1">
      <c r="A99" s="9" t="s">
        <v>31</v>
      </c>
      <c r="B99" s="202" t="s">
        <v>81</v>
      </c>
      <c r="C99" s="47"/>
      <c r="D99" s="47">
        <v>-416</v>
      </c>
      <c r="E99" s="47">
        <v>416</v>
      </c>
      <c r="F99" s="129"/>
      <c r="G99" s="129"/>
      <c r="H99" s="284"/>
      <c r="I99" s="47"/>
      <c r="J99" s="47"/>
      <c r="K99" s="663"/>
      <c r="L99" s="47"/>
      <c r="M99" s="48"/>
      <c r="N99" s="47"/>
      <c r="O99" s="47"/>
      <c r="P99" s="47"/>
      <c r="Q99" s="78">
        <f t="shared" si="4"/>
        <v>0</v>
      </c>
      <c r="R99" s="109"/>
      <c r="S99" s="109"/>
      <c r="T99" s="109"/>
      <c r="U99" s="797"/>
      <c r="V99" s="797"/>
      <c r="W99" s="797"/>
      <c r="X99" s="797"/>
      <c r="Y99" s="797"/>
    </row>
    <row r="100" spans="1:20" ht="15.75" customHeight="1">
      <c r="A100" s="9" t="s">
        <v>30</v>
      </c>
      <c r="B100" s="202" t="s">
        <v>81</v>
      </c>
      <c r="C100" s="47"/>
      <c r="D100" s="47">
        <v>1577</v>
      </c>
      <c r="E100" s="47"/>
      <c r="F100" s="47"/>
      <c r="G100" s="47"/>
      <c r="H100" s="284"/>
      <c r="I100" s="47"/>
      <c r="J100" s="47"/>
      <c r="K100" s="663"/>
      <c r="L100" s="47">
        <v>-1577</v>
      </c>
      <c r="M100" s="48"/>
      <c r="N100" s="47"/>
      <c r="O100" s="47"/>
      <c r="P100" s="47"/>
      <c r="Q100" s="78">
        <f t="shared" si="4"/>
        <v>0</v>
      </c>
      <c r="R100" s="109"/>
      <c r="S100" s="109"/>
      <c r="T100" s="109"/>
    </row>
    <row r="101" spans="1:20" ht="15.75" customHeight="1">
      <c r="A101" s="9" t="s">
        <v>31</v>
      </c>
      <c r="B101" s="202" t="s">
        <v>81</v>
      </c>
      <c r="C101" s="47"/>
      <c r="D101" s="47">
        <v>555</v>
      </c>
      <c r="E101" s="47"/>
      <c r="F101" s="47"/>
      <c r="G101" s="47"/>
      <c r="H101" s="284"/>
      <c r="I101" s="47"/>
      <c r="J101" s="47"/>
      <c r="K101" s="663"/>
      <c r="L101" s="47">
        <v>-555</v>
      </c>
      <c r="M101" s="48"/>
      <c r="N101" s="47"/>
      <c r="O101" s="47"/>
      <c r="P101" s="47"/>
      <c r="Q101" s="78">
        <f t="shared" si="4"/>
        <v>0</v>
      </c>
      <c r="R101" s="109"/>
      <c r="S101" s="109"/>
      <c r="T101" s="109"/>
    </row>
    <row r="102" spans="1:20" ht="15.75" customHeight="1">
      <c r="A102" s="9" t="s">
        <v>30</v>
      </c>
      <c r="B102" s="202" t="s">
        <v>81</v>
      </c>
      <c r="C102" s="47"/>
      <c r="D102" s="47">
        <v>2587</v>
      </c>
      <c r="E102" s="47"/>
      <c r="F102" s="47"/>
      <c r="G102" s="47"/>
      <c r="H102" s="284"/>
      <c r="I102" s="47"/>
      <c r="J102" s="47"/>
      <c r="K102" s="663"/>
      <c r="L102" s="47">
        <v>-2587</v>
      </c>
      <c r="M102" s="48"/>
      <c r="N102" s="47"/>
      <c r="O102" s="47"/>
      <c r="P102" s="47"/>
      <c r="Q102" s="78">
        <f t="shared" si="4"/>
        <v>0</v>
      </c>
      <c r="R102" s="109"/>
      <c r="S102" s="109"/>
      <c r="T102" s="109"/>
    </row>
    <row r="103" spans="1:20" ht="15.75" customHeight="1">
      <c r="A103" s="9" t="s">
        <v>31</v>
      </c>
      <c r="B103" s="202" t="s">
        <v>81</v>
      </c>
      <c r="C103" s="47"/>
      <c r="D103" s="47">
        <v>910</v>
      </c>
      <c r="E103" s="47"/>
      <c r="F103" s="47"/>
      <c r="G103" s="47"/>
      <c r="H103" s="284"/>
      <c r="I103" s="47"/>
      <c r="J103" s="47"/>
      <c r="K103" s="663"/>
      <c r="L103" s="47">
        <v>-910</v>
      </c>
      <c r="M103" s="48"/>
      <c r="N103" s="47"/>
      <c r="O103" s="47"/>
      <c r="P103" s="47"/>
      <c r="Q103" s="78">
        <f t="shared" si="4"/>
        <v>0</v>
      </c>
      <c r="R103" s="109"/>
      <c r="S103" s="109"/>
      <c r="T103" s="109"/>
    </row>
    <row r="104" spans="1:20" ht="15.75" customHeight="1">
      <c r="A104" s="9" t="s">
        <v>30</v>
      </c>
      <c r="B104" s="202" t="s">
        <v>81</v>
      </c>
      <c r="C104" s="47"/>
      <c r="D104" s="47"/>
      <c r="E104" s="47"/>
      <c r="F104" s="47">
        <v>-29200</v>
      </c>
      <c r="G104" s="47"/>
      <c r="H104" s="284"/>
      <c r="I104" s="47"/>
      <c r="J104" s="47"/>
      <c r="K104" s="663"/>
      <c r="L104" s="47">
        <v>29200</v>
      </c>
      <c r="M104" s="48"/>
      <c r="N104" s="47"/>
      <c r="O104" s="47"/>
      <c r="P104" s="47"/>
      <c r="Q104" s="78">
        <f t="shared" si="4"/>
        <v>0</v>
      </c>
      <c r="R104" s="109"/>
      <c r="S104" s="109"/>
      <c r="T104" s="109"/>
    </row>
    <row r="105" spans="1:20" ht="15.75" customHeight="1">
      <c r="A105" s="9" t="s">
        <v>31</v>
      </c>
      <c r="B105" s="202" t="s">
        <v>81</v>
      </c>
      <c r="C105" s="47"/>
      <c r="D105" s="47"/>
      <c r="E105" s="47"/>
      <c r="F105" s="47">
        <v>-10278</v>
      </c>
      <c r="G105" s="47"/>
      <c r="H105" s="284"/>
      <c r="I105" s="47"/>
      <c r="J105" s="47"/>
      <c r="K105" s="663"/>
      <c r="L105" s="47">
        <v>10278</v>
      </c>
      <c r="M105" s="48"/>
      <c r="N105" s="47"/>
      <c r="O105" s="47"/>
      <c r="P105" s="47"/>
      <c r="Q105" s="78">
        <f t="shared" si="4"/>
        <v>0</v>
      </c>
      <c r="R105" s="109"/>
      <c r="S105" s="109"/>
      <c r="T105" s="109"/>
    </row>
    <row r="106" spans="1:20" ht="15.75" customHeight="1">
      <c r="A106" s="9" t="s">
        <v>30</v>
      </c>
      <c r="B106" s="202" t="s">
        <v>81</v>
      </c>
      <c r="C106" s="47"/>
      <c r="D106" s="47"/>
      <c r="E106" s="47"/>
      <c r="F106" s="47"/>
      <c r="G106" s="47"/>
      <c r="H106" s="284"/>
      <c r="I106" s="663">
        <v>-2470</v>
      </c>
      <c r="J106" s="47"/>
      <c r="K106" s="663"/>
      <c r="L106" s="47">
        <v>2470</v>
      </c>
      <c r="M106" s="48"/>
      <c r="N106" s="47"/>
      <c r="O106" s="47"/>
      <c r="P106" s="47"/>
      <c r="Q106" s="78">
        <f t="shared" si="4"/>
        <v>0</v>
      </c>
      <c r="R106" s="109"/>
      <c r="S106" s="109"/>
      <c r="T106" s="109"/>
    </row>
    <row r="107" spans="1:20" ht="15.75" customHeight="1">
      <c r="A107" s="9" t="s">
        <v>31</v>
      </c>
      <c r="B107" s="202" t="s">
        <v>81</v>
      </c>
      <c r="C107" s="47"/>
      <c r="D107" s="47"/>
      <c r="E107" s="47"/>
      <c r="F107" s="47"/>
      <c r="G107" s="47"/>
      <c r="H107" s="284"/>
      <c r="I107" s="663">
        <v>-869</v>
      </c>
      <c r="J107" s="47"/>
      <c r="K107" s="663"/>
      <c r="L107" s="47">
        <v>869</v>
      </c>
      <c r="M107" s="48"/>
      <c r="N107" s="47"/>
      <c r="O107" s="47"/>
      <c r="P107" s="47"/>
      <c r="Q107" s="78">
        <f aca="true" t="shared" si="5" ref="Q107:Q127">SUM(C107:P107)</f>
        <v>0</v>
      </c>
      <c r="R107" s="109"/>
      <c r="S107" s="109"/>
      <c r="T107" s="109"/>
    </row>
    <row r="108" spans="1:20" ht="15.75" customHeight="1">
      <c r="A108" s="9" t="s">
        <v>153</v>
      </c>
      <c r="B108" s="202" t="s">
        <v>80</v>
      </c>
      <c r="C108" s="47"/>
      <c r="D108" s="47"/>
      <c r="E108" s="47"/>
      <c r="F108" s="47"/>
      <c r="G108" s="47"/>
      <c r="H108" s="284"/>
      <c r="I108" s="47"/>
      <c r="J108" s="47"/>
      <c r="K108" s="663"/>
      <c r="L108" s="47"/>
      <c r="M108" s="48"/>
      <c r="N108" s="47"/>
      <c r="O108" s="47">
        <v>-126000</v>
      </c>
      <c r="P108" s="47"/>
      <c r="Q108" s="78">
        <f t="shared" si="5"/>
        <v>-126000</v>
      </c>
      <c r="R108" s="109"/>
      <c r="S108" s="109"/>
      <c r="T108" s="109"/>
    </row>
    <row r="109" spans="1:20" ht="15.75" customHeight="1">
      <c r="A109" s="9" t="s">
        <v>153</v>
      </c>
      <c r="B109" s="202" t="s">
        <v>103</v>
      </c>
      <c r="C109" s="47"/>
      <c r="D109" s="47"/>
      <c r="E109" s="47"/>
      <c r="F109" s="47"/>
      <c r="G109" s="47"/>
      <c r="H109" s="284"/>
      <c r="I109" s="47"/>
      <c r="J109" s="47"/>
      <c r="K109" s="663"/>
      <c r="L109" s="47"/>
      <c r="M109" s="48"/>
      <c r="N109" s="47"/>
      <c r="O109" s="47">
        <v>38000</v>
      </c>
      <c r="P109" s="47"/>
      <c r="Q109" s="78">
        <f t="shared" si="5"/>
        <v>38000</v>
      </c>
      <c r="R109" s="109"/>
      <c r="S109" s="109"/>
      <c r="T109" s="109"/>
    </row>
    <row r="110" spans="1:20" ht="15.75" customHeight="1">
      <c r="A110" s="9" t="s">
        <v>153</v>
      </c>
      <c r="B110" s="202" t="s">
        <v>104</v>
      </c>
      <c r="C110" s="47"/>
      <c r="D110" s="47"/>
      <c r="E110" s="47"/>
      <c r="F110" s="47"/>
      <c r="G110" s="47"/>
      <c r="H110" s="284"/>
      <c r="I110" s="47"/>
      <c r="J110" s="47"/>
      <c r="K110" s="663"/>
      <c r="L110" s="47"/>
      <c r="M110" s="48"/>
      <c r="N110" s="47"/>
      <c r="O110" s="47">
        <v>13000</v>
      </c>
      <c r="P110" s="47"/>
      <c r="Q110" s="78">
        <f t="shared" si="5"/>
        <v>13000</v>
      </c>
      <c r="R110" s="109"/>
      <c r="S110" s="109"/>
      <c r="T110" s="109"/>
    </row>
    <row r="111" spans="1:20" ht="15.75" customHeight="1">
      <c r="A111" s="9" t="s">
        <v>153</v>
      </c>
      <c r="B111" s="202" t="s">
        <v>154</v>
      </c>
      <c r="C111" s="47"/>
      <c r="D111" s="47"/>
      <c r="E111" s="47"/>
      <c r="F111" s="47"/>
      <c r="G111" s="47"/>
      <c r="H111" s="284"/>
      <c r="I111" s="47"/>
      <c r="J111" s="47"/>
      <c r="K111" s="663"/>
      <c r="L111" s="47"/>
      <c r="M111" s="48"/>
      <c r="N111" s="47"/>
      <c r="O111" s="47">
        <v>75000</v>
      </c>
      <c r="P111" s="47"/>
      <c r="Q111" s="78">
        <f t="shared" si="5"/>
        <v>75000</v>
      </c>
      <c r="R111" s="109"/>
      <c r="S111" s="109"/>
      <c r="T111" s="109"/>
    </row>
    <row r="112" spans="1:20" ht="25.5">
      <c r="A112" s="9" t="s">
        <v>112</v>
      </c>
      <c r="B112" s="202" t="s">
        <v>80</v>
      </c>
      <c r="C112" s="47">
        <f>300+106+30+11</f>
        <v>447</v>
      </c>
      <c r="D112" s="47">
        <f>136+758+300+106+200+71+1300+458+170+60+1196.31+422</f>
        <v>5177.3099999999995</v>
      </c>
      <c r="E112" s="47">
        <f>136+406+300+106+100+36+200+71</f>
        <v>1355</v>
      </c>
      <c r="F112" s="47">
        <f>406+68+300+106+300+106+300+106+300+106</f>
        <v>2098</v>
      </c>
      <c r="G112" s="47"/>
      <c r="H112" s="284">
        <f>1623+2434+1352+600+212+600+212+400+141+100+36+300+106+800+282</f>
        <v>9198</v>
      </c>
      <c r="I112" s="47">
        <f>55+3.69+2</f>
        <v>60.69</v>
      </c>
      <c r="J112" s="47"/>
      <c r="K112" s="663"/>
      <c r="L112" s="47"/>
      <c r="M112" s="48"/>
      <c r="N112" s="47"/>
      <c r="O112" s="47">
        <f>-2165-2638-2571-600-212-1400-495-2300-812-1000-353-300-107-300-106-2200-777</f>
        <v>-18336</v>
      </c>
      <c r="P112" s="47"/>
      <c r="Q112" s="78">
        <f t="shared" si="5"/>
        <v>0</v>
      </c>
      <c r="R112" s="109"/>
      <c r="S112" s="109"/>
      <c r="T112" s="109"/>
    </row>
    <row r="113" spans="1:20" ht="12.75">
      <c r="A113" s="651" t="s">
        <v>174</v>
      </c>
      <c r="B113" s="648" t="s">
        <v>80</v>
      </c>
      <c r="C113" s="649"/>
      <c r="D113" s="649"/>
      <c r="E113" s="649"/>
      <c r="F113" s="649"/>
      <c r="G113" s="649"/>
      <c r="H113" s="284"/>
      <c r="I113" s="649"/>
      <c r="J113" s="649"/>
      <c r="K113" s="664"/>
      <c r="L113" s="649"/>
      <c r="M113" s="669"/>
      <c r="N113" s="649">
        <v>-22000</v>
      </c>
      <c r="O113" s="649">
        <v>22000</v>
      </c>
      <c r="P113" s="47"/>
      <c r="Q113" s="78">
        <f t="shared" si="5"/>
        <v>0</v>
      </c>
      <c r="R113" s="109"/>
      <c r="S113" s="109"/>
      <c r="T113" s="109"/>
    </row>
    <row r="114" spans="1:25" s="10" customFormat="1" ht="12.75">
      <c r="A114" s="11" t="s">
        <v>97</v>
      </c>
      <c r="B114" s="202" t="s">
        <v>81</v>
      </c>
      <c r="C114" s="13">
        <v>1400000</v>
      </c>
      <c r="D114" s="13">
        <v>844752</v>
      </c>
      <c r="E114" s="148">
        <v>1486686</v>
      </c>
      <c r="F114" s="47">
        <v>665907.56</v>
      </c>
      <c r="G114" s="47"/>
      <c r="H114" s="47">
        <v>335000</v>
      </c>
      <c r="I114" s="13"/>
      <c r="J114" s="13"/>
      <c r="K114" s="161"/>
      <c r="L114" s="13">
        <v>174000</v>
      </c>
      <c r="M114" s="49"/>
      <c r="N114" s="13">
        <v>650000</v>
      </c>
      <c r="O114" s="13"/>
      <c r="P114" s="126"/>
      <c r="Q114" s="286">
        <f t="shared" si="5"/>
        <v>5556345.5600000005</v>
      </c>
      <c r="R114" s="109"/>
      <c r="S114" s="109"/>
      <c r="T114" s="109"/>
      <c r="U114" s="803"/>
      <c r="V114" s="803"/>
      <c r="W114" s="803"/>
      <c r="X114" s="803"/>
      <c r="Y114" s="803"/>
    </row>
    <row r="115" spans="1:25" s="10" customFormat="1" ht="14.25" customHeight="1">
      <c r="A115" s="11" t="s">
        <v>32</v>
      </c>
      <c r="B115" s="203" t="s">
        <v>81</v>
      </c>
      <c r="C115" s="13">
        <v>492800</v>
      </c>
      <c r="D115" s="13">
        <v>297352</v>
      </c>
      <c r="E115" s="13">
        <v>523314</v>
      </c>
      <c r="F115" s="13">
        <v>332888.44</v>
      </c>
      <c r="G115" s="13"/>
      <c r="H115" s="13">
        <v>180000</v>
      </c>
      <c r="I115" s="13"/>
      <c r="J115" s="13"/>
      <c r="K115" s="161"/>
      <c r="L115" s="13">
        <v>61000</v>
      </c>
      <c r="M115" s="49"/>
      <c r="N115" s="13">
        <v>210000</v>
      </c>
      <c r="O115" s="13"/>
      <c r="P115" s="126"/>
      <c r="Q115" s="286">
        <f t="shared" si="5"/>
        <v>2097354.44</v>
      </c>
      <c r="R115" s="109"/>
      <c r="S115" s="109"/>
      <c r="T115" s="109"/>
      <c r="U115" s="803"/>
      <c r="V115" s="803"/>
      <c r="W115" s="803"/>
      <c r="X115" s="803"/>
      <c r="Y115" s="803"/>
    </row>
    <row r="116" spans="1:25" s="10" customFormat="1" ht="14.25" customHeight="1">
      <c r="A116" s="11" t="s">
        <v>63</v>
      </c>
      <c r="B116" s="202" t="s">
        <v>81</v>
      </c>
      <c r="C116" s="13"/>
      <c r="D116" s="13">
        <v>13000</v>
      </c>
      <c r="E116" s="13">
        <f>35000</f>
        <v>35000</v>
      </c>
      <c r="F116" s="13">
        <v>576399</v>
      </c>
      <c r="G116" s="13"/>
      <c r="H116" s="13">
        <v>0</v>
      </c>
      <c r="I116" s="13"/>
      <c r="J116" s="13"/>
      <c r="K116" s="161"/>
      <c r="L116" s="13">
        <v>-8000</v>
      </c>
      <c r="M116" s="49"/>
      <c r="N116" s="13"/>
      <c r="O116" s="13"/>
      <c r="P116" s="126"/>
      <c r="Q116" s="286">
        <f t="shared" si="5"/>
        <v>616399</v>
      </c>
      <c r="R116" s="109"/>
      <c r="S116" s="109"/>
      <c r="T116" s="109"/>
      <c r="U116" s="803"/>
      <c r="V116" s="803"/>
      <c r="W116" s="803"/>
      <c r="X116" s="803"/>
      <c r="Y116" s="803"/>
    </row>
    <row r="117" spans="1:25" s="10" customFormat="1" ht="14.25" customHeight="1">
      <c r="A117" s="11" t="s">
        <v>98</v>
      </c>
      <c r="B117" s="203" t="s">
        <v>80</v>
      </c>
      <c r="C117" s="13">
        <f>-1400000-492800</f>
        <v>-1892800</v>
      </c>
      <c r="D117" s="13">
        <f>-1142104-13000</f>
        <v>-1155104</v>
      </c>
      <c r="E117" s="13">
        <f>-2010000-35000</f>
        <v>-2045000</v>
      </c>
      <c r="F117" s="13">
        <v>-1575195</v>
      </c>
      <c r="G117" s="13"/>
      <c r="H117" s="13">
        <v>-515000</v>
      </c>
      <c r="I117" s="13"/>
      <c r="J117" s="13"/>
      <c r="K117" s="161"/>
      <c r="L117" s="13">
        <v>-227000</v>
      </c>
      <c r="M117" s="49"/>
      <c r="N117" s="13">
        <v>-860000</v>
      </c>
      <c r="O117" s="13"/>
      <c r="P117" s="126"/>
      <c r="Q117" s="286">
        <f t="shared" si="5"/>
        <v>-8270099</v>
      </c>
      <c r="R117" s="109"/>
      <c r="S117" s="109"/>
      <c r="T117" s="109"/>
      <c r="U117" s="803"/>
      <c r="V117" s="803"/>
      <c r="W117" s="803"/>
      <c r="X117" s="803"/>
      <c r="Y117" s="803"/>
    </row>
    <row r="118" spans="1:25" s="10" customFormat="1" ht="25.5" customHeight="1">
      <c r="A118" s="9" t="s">
        <v>187</v>
      </c>
      <c r="B118" s="202" t="s">
        <v>81</v>
      </c>
      <c r="C118" s="13">
        <v>-3439.74</v>
      </c>
      <c r="D118" s="13"/>
      <c r="E118" s="13"/>
      <c r="F118" s="13"/>
      <c r="G118" s="13"/>
      <c r="H118" s="13"/>
      <c r="I118" s="13"/>
      <c r="J118" s="13"/>
      <c r="K118" s="161"/>
      <c r="L118" s="287"/>
      <c r="M118" s="672"/>
      <c r="N118" s="13">
        <v>3439.74</v>
      </c>
      <c r="O118" s="287"/>
      <c r="P118" s="126"/>
      <c r="Q118" s="286">
        <f t="shared" si="5"/>
        <v>0</v>
      </c>
      <c r="R118" s="109"/>
      <c r="S118" s="109"/>
      <c r="T118" s="109"/>
      <c r="U118" s="803"/>
      <c r="V118" s="803"/>
      <c r="W118" s="803"/>
      <c r="X118" s="803"/>
      <c r="Y118" s="803"/>
    </row>
    <row r="119" spans="1:25" s="10" customFormat="1" ht="12.75">
      <c r="A119" s="11" t="s">
        <v>101</v>
      </c>
      <c r="B119" s="204" t="s">
        <v>80</v>
      </c>
      <c r="C119" s="47">
        <f>1500+2000</f>
        <v>3500</v>
      </c>
      <c r="D119" s="47">
        <v>2300</v>
      </c>
      <c r="E119" s="47">
        <f>1500+1400</f>
        <v>2900</v>
      </c>
      <c r="F119" s="47">
        <f>1500+1400</f>
        <v>2900</v>
      </c>
      <c r="G119" s="47">
        <f>1500+1400</f>
        <v>2900</v>
      </c>
      <c r="H119" s="47">
        <f>1500+1400</f>
        <v>2900</v>
      </c>
      <c r="I119" s="284">
        <v>600</v>
      </c>
      <c r="J119" s="47"/>
      <c r="K119" s="663"/>
      <c r="L119" s="47"/>
      <c r="M119" s="48"/>
      <c r="N119" s="47">
        <v>300</v>
      </c>
      <c r="O119" s="47">
        <f>-7500-10800</f>
        <v>-18300</v>
      </c>
      <c r="P119" s="47"/>
      <c r="Q119" s="286">
        <f t="shared" si="5"/>
        <v>0</v>
      </c>
      <c r="R119" s="109"/>
      <c r="S119" s="109"/>
      <c r="T119" s="109"/>
      <c r="U119" s="803"/>
      <c r="V119" s="803"/>
      <c r="W119" s="803"/>
      <c r="X119" s="803"/>
      <c r="Y119" s="803"/>
    </row>
    <row r="120" spans="1:25" s="10" customFormat="1" ht="12.75">
      <c r="A120" s="11" t="s">
        <v>102</v>
      </c>
      <c r="B120" s="204" t="s">
        <v>80</v>
      </c>
      <c r="C120" s="47">
        <f>528+704</f>
        <v>1232</v>
      </c>
      <c r="D120" s="47">
        <v>810</v>
      </c>
      <c r="E120" s="47">
        <f>528+493</f>
        <v>1021</v>
      </c>
      <c r="F120" s="47">
        <f>528+493</f>
        <v>1021</v>
      </c>
      <c r="G120" s="47">
        <f>528+493</f>
        <v>1021</v>
      </c>
      <c r="H120" s="47">
        <f>528+493</f>
        <v>1021</v>
      </c>
      <c r="I120" s="284">
        <v>212</v>
      </c>
      <c r="J120" s="78"/>
      <c r="K120" s="663"/>
      <c r="L120" s="47"/>
      <c r="M120" s="48"/>
      <c r="N120" s="283">
        <v>106</v>
      </c>
      <c r="O120" s="47">
        <f>-2640-3804</f>
        <v>-6444</v>
      </c>
      <c r="P120" s="47"/>
      <c r="Q120" s="286">
        <f t="shared" si="5"/>
        <v>0</v>
      </c>
      <c r="R120" s="109"/>
      <c r="S120" s="109"/>
      <c r="T120" s="109"/>
      <c r="U120" s="803"/>
      <c r="V120" s="803"/>
      <c r="W120" s="803"/>
      <c r="X120" s="803"/>
      <c r="Y120" s="803"/>
    </row>
    <row r="121" spans="1:25" s="10" customFormat="1" ht="14.25" customHeight="1">
      <c r="A121" s="12" t="s">
        <v>61</v>
      </c>
      <c r="B121" s="203" t="s">
        <v>81</v>
      </c>
      <c r="C121" s="13">
        <f>2000+1500+3000</f>
        <v>6500</v>
      </c>
      <c r="D121" s="13">
        <f>2000+1000</f>
        <v>3000</v>
      </c>
      <c r="E121" s="13">
        <f>2000+2000</f>
        <v>4000</v>
      </c>
      <c r="F121" s="13">
        <f>2000+1000+2000</f>
        <v>5000</v>
      </c>
      <c r="G121" s="13">
        <f>2000+1000+2000+1000</f>
        <v>6000</v>
      </c>
      <c r="H121" s="13">
        <f>2000+1000+2000</f>
        <v>5000</v>
      </c>
      <c r="I121" s="13"/>
      <c r="J121" s="13"/>
      <c r="K121" s="161"/>
      <c r="L121" s="13"/>
      <c r="M121" s="49"/>
      <c r="N121" s="13">
        <f>9130+9500</f>
        <v>18630</v>
      </c>
      <c r="O121" s="13">
        <f>-12000-6000-2000-14630-13500</f>
        <v>-48130</v>
      </c>
      <c r="P121" s="13"/>
      <c r="Q121" s="286">
        <f t="shared" si="5"/>
        <v>0</v>
      </c>
      <c r="R121" s="109"/>
      <c r="S121" s="109"/>
      <c r="T121" s="109"/>
      <c r="U121" s="803"/>
      <c r="V121" s="803"/>
      <c r="W121" s="803"/>
      <c r="X121" s="803"/>
      <c r="Y121" s="803"/>
    </row>
    <row r="122" spans="1:25" s="10" customFormat="1" ht="14.25" customHeight="1">
      <c r="A122" s="12" t="s">
        <v>33</v>
      </c>
      <c r="B122" s="203" t="s">
        <v>81</v>
      </c>
      <c r="C122" s="13">
        <f>704+528+1056</f>
        <v>2288</v>
      </c>
      <c r="D122" s="13">
        <f>704+352</f>
        <v>1056</v>
      </c>
      <c r="E122" s="13">
        <f>704+704</f>
        <v>1408</v>
      </c>
      <c r="F122" s="13">
        <f>704+352+704</f>
        <v>1760</v>
      </c>
      <c r="G122" s="13">
        <f>704+352+704+352</f>
        <v>2112</v>
      </c>
      <c r="H122" s="13">
        <f>704+352+704</f>
        <v>1760</v>
      </c>
      <c r="I122" s="13"/>
      <c r="J122" s="13"/>
      <c r="K122" s="161"/>
      <c r="L122" s="13"/>
      <c r="M122" s="49"/>
      <c r="N122" s="13">
        <f>3214+3344</f>
        <v>6558</v>
      </c>
      <c r="O122" s="13">
        <f>-4224-2112-704-5150-4752</f>
        <v>-16942</v>
      </c>
      <c r="P122" s="13"/>
      <c r="Q122" s="286">
        <f t="shared" si="5"/>
        <v>0</v>
      </c>
      <c r="R122" s="109"/>
      <c r="S122" s="109"/>
      <c r="T122" s="109"/>
      <c r="U122" s="803"/>
      <c r="V122" s="803"/>
      <c r="W122" s="803"/>
      <c r="X122" s="803"/>
      <c r="Y122" s="803"/>
    </row>
    <row r="123" spans="1:25" s="10" customFormat="1" ht="14.25" customHeight="1">
      <c r="A123" s="138" t="s">
        <v>177</v>
      </c>
      <c r="B123" s="203" t="s">
        <v>81</v>
      </c>
      <c r="C123" s="13">
        <v>1493</v>
      </c>
      <c r="D123" s="13">
        <v>459</v>
      </c>
      <c r="E123" s="13">
        <v>230</v>
      </c>
      <c r="F123" s="13">
        <v>1330</v>
      </c>
      <c r="G123" s="13">
        <v>1977</v>
      </c>
      <c r="H123" s="13">
        <v>1377</v>
      </c>
      <c r="I123" s="13">
        <v>534</v>
      </c>
      <c r="J123" s="13">
        <v>0</v>
      </c>
      <c r="K123" s="161">
        <v>0</v>
      </c>
      <c r="L123" s="13">
        <v>0</v>
      </c>
      <c r="M123" s="49"/>
      <c r="N123" s="13">
        <v>0</v>
      </c>
      <c r="O123" s="13"/>
      <c r="P123" s="639">
        <v>-7400</v>
      </c>
      <c r="Q123" s="286">
        <f t="shared" si="5"/>
        <v>0</v>
      </c>
      <c r="R123" s="109"/>
      <c r="S123" s="109"/>
      <c r="T123" s="109"/>
      <c r="U123" s="803"/>
      <c r="V123" s="803"/>
      <c r="W123" s="803"/>
      <c r="X123" s="803"/>
      <c r="Y123" s="803"/>
    </row>
    <row r="124" spans="1:25" s="10" customFormat="1" ht="12.75" customHeight="1">
      <c r="A124" s="138" t="s">
        <v>177</v>
      </c>
      <c r="B124" s="202" t="s">
        <v>80</v>
      </c>
      <c r="C124" s="47">
        <v>106</v>
      </c>
      <c r="D124" s="47">
        <v>275</v>
      </c>
      <c r="E124" s="47">
        <v>83</v>
      </c>
      <c r="F124" s="47">
        <v>177</v>
      </c>
      <c r="G124" s="47">
        <v>0</v>
      </c>
      <c r="H124" s="47">
        <v>363</v>
      </c>
      <c r="I124" s="47"/>
      <c r="J124" s="288"/>
      <c r="K124" s="668"/>
      <c r="L124" s="47"/>
      <c r="M124" s="48"/>
      <c r="N124" s="47">
        <v>41</v>
      </c>
      <c r="O124" s="47"/>
      <c r="P124" s="283">
        <v>-1045</v>
      </c>
      <c r="Q124" s="286">
        <f t="shared" si="5"/>
        <v>0</v>
      </c>
      <c r="R124" s="109"/>
      <c r="S124" s="109"/>
      <c r="T124" s="109"/>
      <c r="U124" s="803"/>
      <c r="V124" s="803"/>
      <c r="W124" s="803"/>
      <c r="X124" s="803"/>
      <c r="Y124" s="803"/>
    </row>
    <row r="125" spans="1:25" s="10" customFormat="1" ht="13.5" thickBot="1">
      <c r="A125" s="138" t="s">
        <v>177</v>
      </c>
      <c r="B125" s="205" t="s">
        <v>163</v>
      </c>
      <c r="C125" s="92"/>
      <c r="D125" s="92"/>
      <c r="E125" s="92"/>
      <c r="F125" s="92"/>
      <c r="G125" s="92"/>
      <c r="H125" s="92">
        <v>237</v>
      </c>
      <c r="I125" s="80"/>
      <c r="J125" s="80">
        <v>550</v>
      </c>
      <c r="K125" s="122"/>
      <c r="L125" s="80"/>
      <c r="M125" s="81"/>
      <c r="N125" s="80"/>
      <c r="O125" s="80"/>
      <c r="P125" s="781">
        <v>-787</v>
      </c>
      <c r="Q125" s="289">
        <f t="shared" si="5"/>
        <v>0</v>
      </c>
      <c r="R125" s="109"/>
      <c r="S125" s="109"/>
      <c r="T125" s="109"/>
      <c r="U125" s="803"/>
      <c r="V125" s="803"/>
      <c r="W125" s="803"/>
      <c r="X125" s="803"/>
      <c r="Y125" s="803"/>
    </row>
    <row r="126" spans="1:20" ht="15.75" customHeight="1" thickBot="1">
      <c r="A126" s="119" t="s">
        <v>34</v>
      </c>
      <c r="B126" s="146"/>
      <c r="C126" s="115">
        <f aca="true" t="shared" si="6" ref="C126:P126">SUM(C7:C125)</f>
        <v>1640704.24</v>
      </c>
      <c r="D126" s="115">
        <f t="shared" si="6"/>
        <v>1486892.5300000003</v>
      </c>
      <c r="E126" s="115">
        <f t="shared" si="6"/>
        <v>2824903.9399999995</v>
      </c>
      <c r="F126" s="115">
        <f t="shared" si="6"/>
        <v>2976222.58</v>
      </c>
      <c r="G126" s="115">
        <f t="shared" si="6"/>
        <v>194330.08000000002</v>
      </c>
      <c r="H126" s="115">
        <f t="shared" si="6"/>
        <v>1392284.6</v>
      </c>
      <c r="I126" s="115">
        <f t="shared" si="6"/>
        <v>269684.58</v>
      </c>
      <c r="J126" s="115">
        <f t="shared" si="6"/>
        <v>1880362</v>
      </c>
      <c r="K126" s="115">
        <f t="shared" si="6"/>
        <v>188</v>
      </c>
      <c r="L126" s="115">
        <f t="shared" si="6"/>
        <v>80134</v>
      </c>
      <c r="M126" s="115">
        <f t="shared" si="6"/>
        <v>4115</v>
      </c>
      <c r="N126" s="115">
        <f t="shared" si="6"/>
        <v>469870.06000000006</v>
      </c>
      <c r="O126" s="115">
        <f t="shared" si="6"/>
        <v>-299688</v>
      </c>
      <c r="P126" s="115">
        <f t="shared" si="6"/>
        <v>-148915</v>
      </c>
      <c r="Q126" s="115">
        <f t="shared" si="5"/>
        <v>12771088.61</v>
      </c>
      <c r="R126" s="109"/>
      <c r="S126" s="109"/>
      <c r="T126" s="109"/>
    </row>
    <row r="127" spans="1:20" ht="18" customHeight="1" thickBot="1">
      <c r="A127" s="14" t="s">
        <v>35</v>
      </c>
      <c r="B127" s="147"/>
      <c r="C127" s="116">
        <f>C126-C7-C8-C9</f>
        <v>816311.86</v>
      </c>
      <c r="D127" s="116">
        <f>D126-D7-D8-D9-D65-D68-D69-D10</f>
        <v>450658.3100000003</v>
      </c>
      <c r="E127" s="116">
        <f>E126-E7-E8-E9-E10-E65-E66-E67</f>
        <v>768212.4399999995</v>
      </c>
      <c r="F127" s="116">
        <f>F126-F7-F8-F9-F66-F68</f>
        <v>939287.96</v>
      </c>
      <c r="G127" s="116">
        <f>G126-G7-G8-G9</f>
        <v>99185.08000000002</v>
      </c>
      <c r="H127" s="116">
        <f>H126-H7-H8-H9-H10</f>
        <v>882868.6000000001</v>
      </c>
      <c r="I127" s="116">
        <f>I126-I7-I8-I9-I69</f>
        <v>124954.69</v>
      </c>
      <c r="J127" s="116" t="e">
        <f>J11+J12+J13+J14+J15+J17+J18+J19+J20+J21+J22+J23+J24+J25+J26+J27+J28+J29+J31+J30+J32+J33+J34+J35+#REF!+#REF!+#REF!+#REF!+#REF!+#REF!+J61+#REF!+J125</f>
        <v>#REF!</v>
      </c>
      <c r="K127" s="116" t="e">
        <f>K11+K12+K13+K14+K15+K17+K18+K19+K20+K21+K22+K23+K24+K25+K26+K27+K28+K29+K31+K30+K32+K33+K34+K35+#REF!+#REF!+#REF!+#REF!+#REF!+#REF!+K61+#REF!</f>
        <v>#REF!</v>
      </c>
      <c r="L127" s="116">
        <f>L126</f>
        <v>80134</v>
      </c>
      <c r="M127" s="116">
        <f>M126</f>
        <v>4115</v>
      </c>
      <c r="N127" s="116">
        <f>N126-N67-N9</f>
        <v>425835.06000000006</v>
      </c>
      <c r="O127" s="116">
        <f>O74+O75+O78+O79+O80+O82+O83+O84+O85+O108+O109+O110+O111+O112+O113+O119+O120+O121+O122</f>
        <v>-299688</v>
      </c>
      <c r="P127" s="116">
        <f>P15+P16+P19+P20+P23+P24+P25+P26+P27+P77+P123+P124+P125</f>
        <v>-148915</v>
      </c>
      <c r="Q127" s="116" t="e">
        <f t="shared" si="5"/>
        <v>#REF!</v>
      </c>
      <c r="R127" s="109"/>
      <c r="S127" s="109"/>
      <c r="T127" s="109"/>
    </row>
    <row r="128" spans="1:20" ht="19.5" customHeight="1" thickBot="1">
      <c r="A128" s="58" t="s">
        <v>188</v>
      </c>
      <c r="B128" s="142"/>
      <c r="C128" s="117">
        <f aca="true" t="shared" si="7" ref="C128:Q128">C4+C126</f>
        <v>13863962.24</v>
      </c>
      <c r="D128" s="117">
        <f t="shared" si="7"/>
        <v>6514575.53</v>
      </c>
      <c r="E128" s="117">
        <f t="shared" si="7"/>
        <v>14168442.94</v>
      </c>
      <c r="F128" s="117">
        <f t="shared" si="7"/>
        <v>15224898.58</v>
      </c>
      <c r="G128" s="117">
        <f t="shared" si="7"/>
        <v>4602594.08</v>
      </c>
      <c r="H128" s="117">
        <f t="shared" si="7"/>
        <v>10774074.6</v>
      </c>
      <c r="I128" s="117">
        <f t="shared" si="7"/>
        <v>4010975.58</v>
      </c>
      <c r="J128" s="117">
        <f t="shared" si="7"/>
        <v>4967221</v>
      </c>
      <c r="K128" s="117">
        <f t="shared" si="7"/>
        <v>69018</v>
      </c>
      <c r="L128" s="117">
        <f t="shared" si="7"/>
        <v>1076766</v>
      </c>
      <c r="M128" s="117">
        <f t="shared" si="7"/>
        <v>273118</v>
      </c>
      <c r="N128" s="117">
        <f t="shared" si="7"/>
        <v>3689342.06</v>
      </c>
      <c r="O128" s="117">
        <f t="shared" si="7"/>
        <v>2401724</v>
      </c>
      <c r="P128" s="117">
        <f t="shared" si="7"/>
        <v>51085</v>
      </c>
      <c r="Q128" s="117">
        <f t="shared" si="7"/>
        <v>81687797.61</v>
      </c>
      <c r="R128" s="109"/>
      <c r="S128" s="109"/>
      <c r="T128" s="109"/>
    </row>
    <row r="129" spans="1:20" ht="29.25" customHeight="1" thickBot="1">
      <c r="A129" s="815" t="s">
        <v>189</v>
      </c>
      <c r="B129" s="816"/>
      <c r="C129" s="118">
        <f>C4+C127</f>
        <v>13039569.86</v>
      </c>
      <c r="D129" s="118">
        <f>D127+D4</f>
        <v>5478341.3100000005</v>
      </c>
      <c r="E129" s="118">
        <f>E4+E127</f>
        <v>12111751.44</v>
      </c>
      <c r="F129" s="118">
        <f>F4+F127</f>
        <v>13187963.96</v>
      </c>
      <c r="G129" s="118">
        <f>G127+G4</f>
        <v>4507449.08</v>
      </c>
      <c r="H129" s="118">
        <f aca="true" t="shared" si="8" ref="H129:Q129">H4+H127</f>
        <v>10264658.6</v>
      </c>
      <c r="I129" s="118">
        <f t="shared" si="8"/>
        <v>3866245.69</v>
      </c>
      <c r="J129" s="118" t="e">
        <f t="shared" si="8"/>
        <v>#REF!</v>
      </c>
      <c r="K129" s="118" t="e">
        <f t="shared" si="8"/>
        <v>#REF!</v>
      </c>
      <c r="L129" s="118">
        <f t="shared" si="8"/>
        <v>1076766</v>
      </c>
      <c r="M129" s="118">
        <f t="shared" si="8"/>
        <v>273118</v>
      </c>
      <c r="N129" s="118">
        <f t="shared" si="8"/>
        <v>3645307.06</v>
      </c>
      <c r="O129" s="118">
        <f t="shared" si="8"/>
        <v>2401724</v>
      </c>
      <c r="P129" s="118">
        <f t="shared" si="8"/>
        <v>51085</v>
      </c>
      <c r="Q129" s="118" t="e">
        <f t="shared" si="8"/>
        <v>#REF!</v>
      </c>
      <c r="R129" s="804"/>
      <c r="S129" s="109"/>
      <c r="T129" s="109"/>
    </row>
    <row r="130" spans="1:25" s="10" customFormat="1" ht="14.25" customHeight="1">
      <c r="A130" s="3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09"/>
      <c r="S130" s="109"/>
      <c r="T130" s="109"/>
      <c r="U130" s="803"/>
      <c r="V130" s="803"/>
      <c r="W130" s="803"/>
      <c r="X130" s="803"/>
      <c r="Y130" s="803"/>
    </row>
    <row r="131" spans="1:25" s="18" customFormat="1" ht="12.75">
      <c r="A131" s="83"/>
      <c r="B131" s="1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805"/>
      <c r="S131" s="805"/>
      <c r="T131" s="805"/>
      <c r="U131" s="806"/>
      <c r="V131" s="806"/>
      <c r="W131" s="806"/>
      <c r="X131" s="806"/>
      <c r="Y131" s="806"/>
    </row>
    <row r="132" spans="1:25" s="18" customFormat="1" ht="12.75">
      <c r="A132" s="84" t="s">
        <v>52</v>
      </c>
      <c r="B132" s="17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805"/>
      <c r="S132" s="805"/>
      <c r="T132" s="805"/>
      <c r="U132" s="806"/>
      <c r="V132" s="806"/>
      <c r="W132" s="806"/>
      <c r="X132" s="806"/>
      <c r="Y132" s="806"/>
    </row>
    <row r="133" spans="1:20" ht="16.5" customHeight="1" thickBot="1">
      <c r="A133" s="60" t="s">
        <v>36</v>
      </c>
      <c r="B133" s="60"/>
      <c r="C133" s="19"/>
      <c r="D133" s="19"/>
      <c r="E133" s="19"/>
      <c r="F133" s="19"/>
      <c r="G133" s="201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09"/>
      <c r="S133" s="109"/>
      <c r="T133" s="109"/>
    </row>
    <row r="134" spans="1:20" ht="13.5" thickBot="1">
      <c r="A134" s="72"/>
      <c r="B134" s="85"/>
      <c r="C134" s="158" t="s">
        <v>1</v>
      </c>
      <c r="D134" s="165" t="s">
        <v>2</v>
      </c>
      <c r="E134" s="165" t="s">
        <v>3</v>
      </c>
      <c r="F134" s="165" t="s">
        <v>4</v>
      </c>
      <c r="G134" s="165" t="s">
        <v>5</v>
      </c>
      <c r="H134" s="165" t="s">
        <v>6</v>
      </c>
      <c r="I134" s="164" t="s">
        <v>7</v>
      </c>
      <c r="J134" s="86" t="s">
        <v>21</v>
      </c>
      <c r="K134" s="165"/>
      <c r="L134" s="168" t="s">
        <v>9</v>
      </c>
      <c r="M134" s="165"/>
      <c r="N134" s="165" t="s">
        <v>22</v>
      </c>
      <c r="O134" s="165"/>
      <c r="P134" s="168" t="s">
        <v>23</v>
      </c>
      <c r="Q134" s="87" t="s">
        <v>24</v>
      </c>
      <c r="R134" s="109"/>
      <c r="S134" s="109"/>
      <c r="T134" s="109"/>
    </row>
    <row r="135" spans="1:20" ht="21" customHeight="1" thickBot="1">
      <c r="A135" s="58" t="s">
        <v>74</v>
      </c>
      <c r="B135" s="88"/>
      <c r="C135" s="159">
        <v>0</v>
      </c>
      <c r="D135" s="90">
        <v>0</v>
      </c>
      <c r="E135" s="90">
        <v>0</v>
      </c>
      <c r="F135" s="90">
        <v>0</v>
      </c>
      <c r="G135" s="90">
        <v>0</v>
      </c>
      <c r="H135" s="90">
        <v>0</v>
      </c>
      <c r="I135" s="89">
        <v>0</v>
      </c>
      <c r="J135" s="167">
        <v>0</v>
      </c>
      <c r="K135" s="90">
        <v>0</v>
      </c>
      <c r="L135" s="169">
        <v>0</v>
      </c>
      <c r="M135" s="90"/>
      <c r="N135" s="90"/>
      <c r="O135" s="90">
        <v>0</v>
      </c>
      <c r="P135" s="89">
        <v>0</v>
      </c>
      <c r="Q135" s="90">
        <f>SUM(C135:P135)</f>
        <v>0</v>
      </c>
      <c r="R135" s="109"/>
      <c r="S135" s="109"/>
      <c r="T135" s="109"/>
    </row>
    <row r="136" spans="1:20" ht="21" customHeight="1" thickBot="1">
      <c r="A136" s="817" t="s">
        <v>37</v>
      </c>
      <c r="B136" s="818"/>
      <c r="C136" s="76">
        <f>C162</f>
        <v>0</v>
      </c>
      <c r="D136" s="76">
        <f aca="true" t="shared" si="9" ref="D136:Q136">D162</f>
        <v>0</v>
      </c>
      <c r="E136" s="76">
        <f t="shared" si="9"/>
        <v>0</v>
      </c>
      <c r="F136" s="76">
        <f t="shared" si="9"/>
        <v>91500</v>
      </c>
      <c r="G136" s="76">
        <f t="shared" si="9"/>
        <v>250000</v>
      </c>
      <c r="H136" s="76">
        <f t="shared" si="9"/>
        <v>39950</v>
      </c>
      <c r="I136" s="244">
        <f t="shared" si="9"/>
        <v>0</v>
      </c>
      <c r="J136" s="245">
        <f t="shared" si="9"/>
        <v>600000</v>
      </c>
      <c r="K136" s="76">
        <f t="shared" si="9"/>
        <v>0</v>
      </c>
      <c r="L136" s="245">
        <f t="shared" si="9"/>
        <v>0</v>
      </c>
      <c r="M136" s="76"/>
      <c r="N136" s="76"/>
      <c r="O136" s="76">
        <f t="shared" si="9"/>
        <v>0</v>
      </c>
      <c r="P136" s="244">
        <f t="shared" si="9"/>
        <v>0</v>
      </c>
      <c r="Q136" s="246">
        <f t="shared" si="9"/>
        <v>981450</v>
      </c>
      <c r="R136" s="109"/>
      <c r="S136" s="109"/>
      <c r="T136" s="109"/>
    </row>
    <row r="137" spans="1:20" ht="13.5" thickBot="1">
      <c r="A137" s="59" t="s">
        <v>60</v>
      </c>
      <c r="B137" s="77" t="s">
        <v>25</v>
      </c>
      <c r="C137" s="240"/>
      <c r="D137" s="50"/>
      <c r="E137" s="50"/>
      <c r="F137" s="50"/>
      <c r="G137" s="50"/>
      <c r="H137" s="50"/>
      <c r="I137" s="241"/>
      <c r="J137" s="240"/>
      <c r="K137" s="50"/>
      <c r="L137" s="242"/>
      <c r="M137" s="50"/>
      <c r="N137" s="50"/>
      <c r="O137" s="50"/>
      <c r="P137" s="241"/>
      <c r="Q137" s="243"/>
      <c r="R137" s="109"/>
      <c r="S137" s="109"/>
      <c r="T137" s="109"/>
    </row>
    <row r="138" spans="1:20" ht="39" thickBot="1">
      <c r="A138" s="254" t="s">
        <v>168</v>
      </c>
      <c r="B138" s="120" t="s">
        <v>81</v>
      </c>
      <c r="C138" s="160"/>
      <c r="D138" s="91"/>
      <c r="E138" s="91"/>
      <c r="F138" s="91"/>
      <c r="G138" s="91">
        <v>250000</v>
      </c>
      <c r="H138" s="91"/>
      <c r="I138" s="154"/>
      <c r="J138" s="160"/>
      <c r="K138" s="47"/>
      <c r="L138" s="149"/>
      <c r="M138" s="47"/>
      <c r="N138" s="47"/>
      <c r="O138" s="47"/>
      <c r="P138" s="48"/>
      <c r="Q138" s="79">
        <f aca="true" t="shared" si="10" ref="Q138:Q162">SUM(C138:P138)</f>
        <v>250000</v>
      </c>
      <c r="R138" s="109"/>
      <c r="S138" s="109"/>
      <c r="T138" s="109"/>
    </row>
    <row r="139" spans="1:20" ht="40.5" customHeight="1">
      <c r="A139" s="227" t="s">
        <v>192</v>
      </c>
      <c r="B139" s="120" t="s">
        <v>81</v>
      </c>
      <c r="C139" s="134"/>
      <c r="D139" s="92"/>
      <c r="E139" s="92"/>
      <c r="F139" s="92"/>
      <c r="G139" s="92"/>
      <c r="H139" s="92"/>
      <c r="I139" s="139"/>
      <c r="J139" s="134">
        <v>600000</v>
      </c>
      <c r="K139" s="91"/>
      <c r="L139" s="170"/>
      <c r="M139" s="91"/>
      <c r="N139" s="91"/>
      <c r="O139" s="91"/>
      <c r="P139" s="154"/>
      <c r="Q139" s="79">
        <f t="shared" si="10"/>
        <v>600000</v>
      </c>
      <c r="R139" s="109"/>
      <c r="S139" s="109"/>
      <c r="T139" s="109"/>
    </row>
    <row r="140" spans="1:20" ht="12.75" hidden="1">
      <c r="A140" s="255"/>
      <c r="B140" s="250"/>
      <c r="C140" s="161"/>
      <c r="D140" s="13"/>
      <c r="E140" s="13"/>
      <c r="F140" s="13"/>
      <c r="G140" s="13"/>
      <c r="H140" s="13"/>
      <c r="I140" s="49"/>
      <c r="J140" s="161"/>
      <c r="K140" s="13"/>
      <c r="L140" s="150"/>
      <c r="M140" s="13"/>
      <c r="N140" s="13"/>
      <c r="O140" s="13"/>
      <c r="P140" s="49"/>
      <c r="Q140" s="79">
        <f t="shared" si="10"/>
        <v>0</v>
      </c>
      <c r="R140" s="109"/>
      <c r="S140" s="109"/>
      <c r="T140" s="109"/>
    </row>
    <row r="141" spans="1:20" ht="12.75" hidden="1">
      <c r="A141" s="93"/>
      <c r="B141" s="251"/>
      <c r="C141" s="161"/>
      <c r="D141" s="13"/>
      <c r="E141" s="13"/>
      <c r="F141" s="13"/>
      <c r="G141" s="13"/>
      <c r="H141" s="13"/>
      <c r="I141" s="49"/>
      <c r="J141" s="161"/>
      <c r="K141" s="13"/>
      <c r="L141" s="150"/>
      <c r="M141" s="13"/>
      <c r="N141" s="13"/>
      <c r="O141" s="13"/>
      <c r="P141" s="49"/>
      <c r="Q141" s="79">
        <f t="shared" si="10"/>
        <v>0</v>
      </c>
      <c r="R141" s="109"/>
      <c r="S141" s="109"/>
      <c r="T141" s="109"/>
    </row>
    <row r="142" spans="1:20" ht="12.75" hidden="1">
      <c r="A142" s="93"/>
      <c r="B142" s="251"/>
      <c r="C142" s="161"/>
      <c r="D142" s="13"/>
      <c r="E142" s="13"/>
      <c r="F142" s="13"/>
      <c r="G142" s="13"/>
      <c r="H142" s="13"/>
      <c r="I142" s="49"/>
      <c r="J142" s="161"/>
      <c r="K142" s="13"/>
      <c r="L142" s="150"/>
      <c r="M142" s="13"/>
      <c r="N142" s="13"/>
      <c r="O142" s="13"/>
      <c r="P142" s="49"/>
      <c r="Q142" s="79">
        <f t="shared" si="10"/>
        <v>0</v>
      </c>
      <c r="R142" s="109"/>
      <c r="S142" s="109"/>
      <c r="T142" s="109"/>
    </row>
    <row r="143" spans="1:20" ht="12.75" hidden="1">
      <c r="A143" s="93"/>
      <c r="B143" s="251"/>
      <c r="C143" s="161"/>
      <c r="D143" s="13"/>
      <c r="E143" s="13"/>
      <c r="F143" s="13"/>
      <c r="G143" s="13"/>
      <c r="H143" s="13"/>
      <c r="I143" s="49"/>
      <c r="J143" s="161"/>
      <c r="K143" s="13"/>
      <c r="L143" s="150"/>
      <c r="M143" s="13"/>
      <c r="N143" s="13"/>
      <c r="O143" s="13"/>
      <c r="P143" s="49"/>
      <c r="Q143" s="79">
        <f t="shared" si="10"/>
        <v>0</v>
      </c>
      <c r="R143" s="109"/>
      <c r="S143" s="109"/>
      <c r="T143" s="109"/>
    </row>
    <row r="144" spans="1:20" ht="12.75" hidden="1">
      <c r="A144" s="256" t="s">
        <v>28</v>
      </c>
      <c r="B144" s="252" t="s">
        <v>25</v>
      </c>
      <c r="C144" s="161"/>
      <c r="D144" s="13"/>
      <c r="E144" s="13"/>
      <c r="F144" s="13"/>
      <c r="G144" s="13"/>
      <c r="H144" s="13"/>
      <c r="I144" s="49"/>
      <c r="J144" s="161"/>
      <c r="K144" s="13"/>
      <c r="L144" s="150"/>
      <c r="M144" s="13"/>
      <c r="N144" s="13"/>
      <c r="O144" s="13"/>
      <c r="P144" s="49"/>
      <c r="Q144" s="79">
        <f t="shared" si="10"/>
        <v>0</v>
      </c>
      <c r="R144" s="109"/>
      <c r="S144" s="109"/>
      <c r="T144" s="109"/>
    </row>
    <row r="145" spans="1:20" ht="12.75" hidden="1">
      <c r="A145" s="93"/>
      <c r="B145" s="251"/>
      <c r="C145" s="161"/>
      <c r="D145" s="13"/>
      <c r="E145" s="13"/>
      <c r="F145" s="13"/>
      <c r="G145" s="13"/>
      <c r="H145" s="13"/>
      <c r="I145" s="49"/>
      <c r="J145" s="161"/>
      <c r="K145" s="13"/>
      <c r="L145" s="150"/>
      <c r="M145" s="13"/>
      <c r="N145" s="13"/>
      <c r="O145" s="13"/>
      <c r="P145" s="49"/>
      <c r="Q145" s="79">
        <f t="shared" si="10"/>
        <v>0</v>
      </c>
      <c r="R145" s="109"/>
      <c r="S145" s="109"/>
      <c r="T145" s="109"/>
    </row>
    <row r="146" spans="1:20" ht="12.75" hidden="1">
      <c r="A146" s="257"/>
      <c r="B146" s="253"/>
      <c r="C146" s="161"/>
      <c r="D146" s="13"/>
      <c r="E146" s="13"/>
      <c r="F146" s="13"/>
      <c r="G146" s="13"/>
      <c r="H146" s="13"/>
      <c r="I146" s="49"/>
      <c r="J146" s="161"/>
      <c r="K146" s="13"/>
      <c r="L146" s="150"/>
      <c r="M146" s="13"/>
      <c r="N146" s="13"/>
      <c r="O146" s="13"/>
      <c r="P146" s="49"/>
      <c r="Q146" s="79">
        <f t="shared" si="10"/>
        <v>0</v>
      </c>
      <c r="R146" s="109"/>
      <c r="S146" s="109"/>
      <c r="T146" s="109"/>
    </row>
    <row r="147" spans="1:20" ht="15" customHeight="1" hidden="1">
      <c r="A147" s="257"/>
      <c r="B147" s="253"/>
      <c r="C147" s="161"/>
      <c r="D147" s="13"/>
      <c r="E147" s="13"/>
      <c r="F147" s="13"/>
      <c r="G147" s="13"/>
      <c r="H147" s="13"/>
      <c r="I147" s="49"/>
      <c r="J147" s="161"/>
      <c r="K147" s="13"/>
      <c r="L147" s="150"/>
      <c r="M147" s="13"/>
      <c r="N147" s="13"/>
      <c r="O147" s="13"/>
      <c r="P147" s="49"/>
      <c r="Q147" s="79">
        <f t="shared" si="10"/>
        <v>0</v>
      </c>
      <c r="R147" s="109"/>
      <c r="S147" s="109"/>
      <c r="T147" s="109"/>
    </row>
    <row r="148" spans="1:20" ht="15.75" customHeight="1" hidden="1">
      <c r="A148" s="257" t="s">
        <v>38</v>
      </c>
      <c r="B148" s="253"/>
      <c r="C148" s="161"/>
      <c r="D148" s="13"/>
      <c r="E148" s="13"/>
      <c r="F148" s="13"/>
      <c r="G148" s="13"/>
      <c r="H148" s="13"/>
      <c r="I148" s="49"/>
      <c r="J148" s="161"/>
      <c r="K148" s="13"/>
      <c r="L148" s="150"/>
      <c r="M148" s="13"/>
      <c r="N148" s="13"/>
      <c r="O148" s="13"/>
      <c r="P148" s="49"/>
      <c r="Q148" s="79">
        <f t="shared" si="10"/>
        <v>0</v>
      </c>
      <c r="R148" s="109"/>
      <c r="S148" s="109"/>
      <c r="T148" s="109"/>
    </row>
    <row r="149" spans="1:20" ht="12.75" hidden="1">
      <c r="A149" s="93" t="s">
        <v>38</v>
      </c>
      <c r="B149" s="251"/>
      <c r="C149" s="161"/>
      <c r="D149" s="13"/>
      <c r="E149" s="13"/>
      <c r="F149" s="13"/>
      <c r="G149" s="13"/>
      <c r="H149" s="13"/>
      <c r="I149" s="49"/>
      <c r="J149" s="161"/>
      <c r="K149" s="13"/>
      <c r="L149" s="150"/>
      <c r="M149" s="13"/>
      <c r="N149" s="13"/>
      <c r="O149" s="13"/>
      <c r="P149" s="49"/>
      <c r="Q149" s="79">
        <f t="shared" si="10"/>
        <v>0</v>
      </c>
      <c r="R149" s="109"/>
      <c r="S149" s="109"/>
      <c r="T149" s="109"/>
    </row>
    <row r="150" spans="1:20" ht="12.75" hidden="1">
      <c r="A150" s="93" t="s">
        <v>39</v>
      </c>
      <c r="B150" s="251"/>
      <c r="C150" s="161"/>
      <c r="D150" s="13"/>
      <c r="E150" s="13"/>
      <c r="F150" s="13"/>
      <c r="G150" s="13"/>
      <c r="H150" s="13"/>
      <c r="I150" s="49"/>
      <c r="J150" s="161"/>
      <c r="K150" s="13"/>
      <c r="L150" s="150"/>
      <c r="M150" s="13"/>
      <c r="N150" s="13"/>
      <c r="O150" s="13"/>
      <c r="P150" s="49"/>
      <c r="Q150" s="79">
        <f t="shared" si="10"/>
        <v>0</v>
      </c>
      <c r="R150" s="109"/>
      <c r="S150" s="109"/>
      <c r="T150" s="109"/>
    </row>
    <row r="151" spans="1:20" ht="13.5" customHeight="1" hidden="1">
      <c r="A151" s="93"/>
      <c r="B151" s="251"/>
      <c r="C151" s="161"/>
      <c r="D151" s="13"/>
      <c r="E151" s="13"/>
      <c r="F151" s="13"/>
      <c r="G151" s="13"/>
      <c r="H151" s="13"/>
      <c r="I151" s="49"/>
      <c r="J151" s="161"/>
      <c r="K151" s="13"/>
      <c r="L151" s="150"/>
      <c r="M151" s="13"/>
      <c r="N151" s="13"/>
      <c r="O151" s="13"/>
      <c r="P151" s="49"/>
      <c r="Q151" s="79">
        <f t="shared" si="10"/>
        <v>0</v>
      </c>
      <c r="R151" s="109"/>
      <c r="S151" s="109"/>
      <c r="T151" s="109"/>
    </row>
    <row r="152" spans="1:20" ht="0.75" customHeight="1" hidden="1">
      <c r="A152" s="93" t="s">
        <v>40</v>
      </c>
      <c r="B152" s="251" t="s">
        <v>26</v>
      </c>
      <c r="C152" s="161"/>
      <c r="D152" s="13"/>
      <c r="E152" s="13"/>
      <c r="F152" s="13"/>
      <c r="G152" s="13"/>
      <c r="H152" s="13"/>
      <c r="I152" s="49"/>
      <c r="J152" s="161"/>
      <c r="K152" s="13"/>
      <c r="L152" s="150"/>
      <c r="M152" s="13"/>
      <c r="N152" s="13"/>
      <c r="O152" s="13"/>
      <c r="P152" s="49"/>
      <c r="Q152" s="79">
        <f t="shared" si="10"/>
        <v>0</v>
      </c>
      <c r="R152" s="109"/>
      <c r="S152" s="109"/>
      <c r="T152" s="109"/>
    </row>
    <row r="153" spans="1:20" ht="13.5" customHeight="1" hidden="1">
      <c r="A153" s="93" t="s">
        <v>41</v>
      </c>
      <c r="B153" s="251"/>
      <c r="C153" s="161"/>
      <c r="D153" s="13"/>
      <c r="E153" s="13"/>
      <c r="F153" s="13"/>
      <c r="G153" s="13"/>
      <c r="H153" s="13"/>
      <c r="I153" s="49"/>
      <c r="J153" s="161"/>
      <c r="K153" s="13"/>
      <c r="L153" s="150"/>
      <c r="M153" s="13"/>
      <c r="N153" s="13"/>
      <c r="O153" s="13"/>
      <c r="P153" s="49"/>
      <c r="Q153" s="79">
        <f t="shared" si="10"/>
        <v>0</v>
      </c>
      <c r="R153" s="109"/>
      <c r="S153" s="109"/>
      <c r="T153" s="109"/>
    </row>
    <row r="154" spans="1:20" ht="15.75" customHeight="1" hidden="1">
      <c r="A154" s="257"/>
      <c r="B154" s="251"/>
      <c r="C154" s="134"/>
      <c r="D154" s="92"/>
      <c r="E154" s="92"/>
      <c r="F154" s="92"/>
      <c r="G154" s="92"/>
      <c r="H154" s="92"/>
      <c r="I154" s="139"/>
      <c r="J154" s="134"/>
      <c r="K154" s="92"/>
      <c r="L154" s="151"/>
      <c r="M154" s="92"/>
      <c r="N154" s="92"/>
      <c r="O154" s="92"/>
      <c r="P154" s="139"/>
      <c r="Q154" s="79">
        <f t="shared" si="10"/>
        <v>0</v>
      </c>
      <c r="R154" s="109"/>
      <c r="S154" s="109"/>
      <c r="T154" s="109"/>
    </row>
    <row r="155" spans="1:20" ht="12.75" customHeight="1" hidden="1">
      <c r="A155" s="93"/>
      <c r="B155" s="239"/>
      <c r="C155" s="161"/>
      <c r="D155" s="13"/>
      <c r="E155" s="13"/>
      <c r="F155" s="13"/>
      <c r="G155" s="13"/>
      <c r="H155" s="13"/>
      <c r="I155" s="49"/>
      <c r="J155" s="161"/>
      <c r="K155" s="13"/>
      <c r="L155" s="150"/>
      <c r="M155" s="13"/>
      <c r="N155" s="13"/>
      <c r="O155" s="13"/>
      <c r="P155" s="49"/>
      <c r="Q155" s="79">
        <f t="shared" si="10"/>
        <v>0</v>
      </c>
      <c r="R155" s="109"/>
      <c r="S155" s="109"/>
      <c r="T155" s="109"/>
    </row>
    <row r="156" spans="1:20" ht="16.5" customHeight="1" hidden="1">
      <c r="A156" s="257"/>
      <c r="B156" s="253"/>
      <c r="C156" s="134"/>
      <c r="D156" s="92"/>
      <c r="E156" s="46"/>
      <c r="F156" s="46"/>
      <c r="G156" s="92"/>
      <c r="H156" s="92"/>
      <c r="I156" s="139"/>
      <c r="J156" s="134"/>
      <c r="K156" s="92"/>
      <c r="L156" s="151"/>
      <c r="M156" s="92"/>
      <c r="N156" s="92"/>
      <c r="O156" s="92"/>
      <c r="P156" s="139"/>
      <c r="Q156" s="78">
        <f t="shared" si="10"/>
        <v>0</v>
      </c>
      <c r="R156" s="109"/>
      <c r="S156" s="109"/>
      <c r="T156" s="109"/>
    </row>
    <row r="157" spans="1:20" ht="16.5" customHeight="1" hidden="1" thickBot="1">
      <c r="A157" s="257"/>
      <c r="B157" s="253"/>
      <c r="C157" s="122"/>
      <c r="D157" s="80"/>
      <c r="E157" s="80"/>
      <c r="F157" s="95"/>
      <c r="G157" s="80"/>
      <c r="H157" s="80"/>
      <c r="I157" s="81"/>
      <c r="J157" s="122"/>
      <c r="K157" s="80"/>
      <c r="L157" s="131"/>
      <c r="M157" s="80"/>
      <c r="N157" s="80"/>
      <c r="O157" s="80"/>
      <c r="P157" s="81"/>
      <c r="Q157" s="78">
        <f t="shared" si="10"/>
        <v>0</v>
      </c>
      <c r="R157" s="109"/>
      <c r="S157" s="109"/>
      <c r="T157" s="109"/>
    </row>
    <row r="158" spans="1:20" ht="15.75" customHeight="1" thickBot="1">
      <c r="A158" s="258" t="s">
        <v>170</v>
      </c>
      <c r="B158" s="650" t="s">
        <v>67</v>
      </c>
      <c r="C158" s="162"/>
      <c r="D158" s="156"/>
      <c r="E158" s="166"/>
      <c r="F158" s="166">
        <v>91500</v>
      </c>
      <c r="G158" s="156"/>
      <c r="H158" s="156">
        <v>39950</v>
      </c>
      <c r="I158" s="96"/>
      <c r="J158" s="97"/>
      <c r="K158" s="156"/>
      <c r="L158" s="97"/>
      <c r="M158" s="156"/>
      <c r="N158" s="156"/>
      <c r="O158" s="156"/>
      <c r="P158" s="97"/>
      <c r="Q158" s="98">
        <f t="shared" si="10"/>
        <v>131450</v>
      </c>
      <c r="R158" s="109"/>
      <c r="S158" s="109"/>
      <c r="T158" s="109"/>
    </row>
    <row r="159" spans="1:20" ht="18" customHeight="1" thickBot="1">
      <c r="A159" s="99" t="s">
        <v>34</v>
      </c>
      <c r="B159" s="100"/>
      <c r="C159" s="163">
        <f aca="true" t="shared" si="11" ref="C159:J159">SUM(C138:C158)</f>
        <v>0</v>
      </c>
      <c r="D159" s="157">
        <f t="shared" si="11"/>
        <v>0</v>
      </c>
      <c r="E159" s="157">
        <f t="shared" si="11"/>
        <v>0</v>
      </c>
      <c r="F159" s="157">
        <f t="shared" si="11"/>
        <v>91500</v>
      </c>
      <c r="G159" s="157">
        <f t="shared" si="11"/>
        <v>250000</v>
      </c>
      <c r="H159" s="157">
        <f t="shared" si="11"/>
        <v>39950</v>
      </c>
      <c r="I159" s="155">
        <f t="shared" si="11"/>
        <v>0</v>
      </c>
      <c r="J159" s="163">
        <f t="shared" si="11"/>
        <v>600000</v>
      </c>
      <c r="K159" s="157"/>
      <c r="L159" s="171">
        <f>SUM(L138:L158)</f>
        <v>0</v>
      </c>
      <c r="M159" s="157"/>
      <c r="N159" s="157">
        <f>SUM(N138:N158)</f>
        <v>0</v>
      </c>
      <c r="O159" s="157">
        <f>SUM(O138:O158)</f>
        <v>0</v>
      </c>
      <c r="P159" s="155">
        <f>SUM(P138:P158)</f>
        <v>0</v>
      </c>
      <c r="Q159" s="180">
        <f t="shared" si="10"/>
        <v>981450</v>
      </c>
      <c r="R159" s="109"/>
      <c r="S159" s="109"/>
      <c r="T159" s="109"/>
    </row>
    <row r="160" spans="1:20" ht="18" customHeight="1" thickBot="1">
      <c r="A160" s="101" t="s">
        <v>35</v>
      </c>
      <c r="B160" s="102"/>
      <c r="C160" s="123">
        <f>C159-C140</f>
        <v>0</v>
      </c>
      <c r="D160" s="116">
        <f aca="true" t="shared" si="12" ref="D160:P160">D159-D140</f>
        <v>0</v>
      </c>
      <c r="E160" s="116">
        <v>0</v>
      </c>
      <c r="F160" s="116">
        <v>0</v>
      </c>
      <c r="G160" s="116">
        <f t="shared" si="12"/>
        <v>250000</v>
      </c>
      <c r="H160" s="116">
        <f t="shared" si="12"/>
        <v>39950</v>
      </c>
      <c r="I160" s="140">
        <f t="shared" si="12"/>
        <v>0</v>
      </c>
      <c r="J160" s="123">
        <f t="shared" si="12"/>
        <v>600000</v>
      </c>
      <c r="K160" s="116">
        <f t="shared" si="12"/>
        <v>0</v>
      </c>
      <c r="L160" s="152">
        <f t="shared" si="12"/>
        <v>0</v>
      </c>
      <c r="M160" s="116"/>
      <c r="N160" s="116">
        <f>N159</f>
        <v>0</v>
      </c>
      <c r="O160" s="116">
        <f t="shared" si="12"/>
        <v>0</v>
      </c>
      <c r="P160" s="140">
        <f t="shared" si="12"/>
        <v>0</v>
      </c>
      <c r="Q160" s="116">
        <f t="shared" si="10"/>
        <v>889950</v>
      </c>
      <c r="R160" s="109"/>
      <c r="S160" s="109"/>
      <c r="T160" s="109"/>
    </row>
    <row r="161" spans="1:20" ht="21" customHeight="1" thickBot="1">
      <c r="A161" s="58" t="s">
        <v>186</v>
      </c>
      <c r="B161" s="74"/>
      <c r="C161" s="124">
        <f aca="true" t="shared" si="13" ref="C161:O161">C135+C159</f>
        <v>0</v>
      </c>
      <c r="D161" s="117">
        <f t="shared" si="13"/>
        <v>0</v>
      </c>
      <c r="E161" s="117">
        <f t="shared" si="13"/>
        <v>0</v>
      </c>
      <c r="F161" s="117">
        <f t="shared" si="13"/>
        <v>91500</v>
      </c>
      <c r="G161" s="117">
        <f t="shared" si="13"/>
        <v>250000</v>
      </c>
      <c r="H161" s="117">
        <f t="shared" si="13"/>
        <v>39950</v>
      </c>
      <c r="I161" s="113">
        <f t="shared" si="13"/>
        <v>0</v>
      </c>
      <c r="J161" s="124">
        <f t="shared" si="13"/>
        <v>600000</v>
      </c>
      <c r="K161" s="117">
        <f t="shared" si="13"/>
        <v>0</v>
      </c>
      <c r="L161" s="132">
        <f t="shared" si="13"/>
        <v>0</v>
      </c>
      <c r="M161" s="117">
        <f t="shared" si="13"/>
        <v>0</v>
      </c>
      <c r="N161" s="117">
        <f t="shared" si="13"/>
        <v>0</v>
      </c>
      <c r="O161" s="117">
        <f t="shared" si="13"/>
        <v>0</v>
      </c>
      <c r="P161" s="113">
        <f>P137+P159</f>
        <v>0</v>
      </c>
      <c r="Q161" s="82">
        <f t="shared" si="10"/>
        <v>981450</v>
      </c>
      <c r="R161" s="109"/>
      <c r="S161" s="109"/>
      <c r="T161" s="109"/>
    </row>
    <row r="162" spans="1:20" ht="20.25" customHeight="1" thickBot="1">
      <c r="A162" s="815" t="s">
        <v>190</v>
      </c>
      <c r="B162" s="816"/>
      <c r="C162" s="125">
        <f aca="true" t="shared" si="14" ref="C162:L162">C135+C160</f>
        <v>0</v>
      </c>
      <c r="D162" s="118">
        <f t="shared" si="14"/>
        <v>0</v>
      </c>
      <c r="E162" s="118">
        <f t="shared" si="14"/>
        <v>0</v>
      </c>
      <c r="F162" s="118">
        <f>F161</f>
        <v>91500</v>
      </c>
      <c r="G162" s="118">
        <f t="shared" si="14"/>
        <v>250000</v>
      </c>
      <c r="H162" s="118">
        <f t="shared" si="14"/>
        <v>39950</v>
      </c>
      <c r="I162" s="114">
        <f t="shared" si="14"/>
        <v>0</v>
      </c>
      <c r="J162" s="125">
        <f t="shared" si="14"/>
        <v>600000</v>
      </c>
      <c r="K162" s="118">
        <f t="shared" si="14"/>
        <v>0</v>
      </c>
      <c r="L162" s="133">
        <f t="shared" si="14"/>
        <v>0</v>
      </c>
      <c r="M162" s="118"/>
      <c r="N162" s="118">
        <f>N135+N160</f>
        <v>0</v>
      </c>
      <c r="O162" s="118">
        <f>O135+O160</f>
        <v>0</v>
      </c>
      <c r="P162" s="114">
        <f>P135+P160</f>
        <v>0</v>
      </c>
      <c r="Q162" s="118">
        <f t="shared" si="10"/>
        <v>981450</v>
      </c>
      <c r="R162" s="804"/>
      <c r="S162" s="109"/>
      <c r="T162" s="109"/>
    </row>
    <row r="163" spans="1:25" s="20" customFormat="1" ht="12.75">
      <c r="A163" s="103"/>
      <c r="B163" s="809"/>
      <c r="C163" s="807"/>
      <c r="D163" s="807"/>
      <c r="E163" s="807"/>
      <c r="F163" s="807"/>
      <c r="G163" s="807"/>
      <c r="H163" s="807"/>
      <c r="I163" s="807"/>
      <c r="J163" s="807"/>
      <c r="K163" s="807"/>
      <c r="L163" s="807"/>
      <c r="M163" s="807"/>
      <c r="N163" s="807"/>
      <c r="O163" s="807"/>
      <c r="P163" s="807"/>
      <c r="Q163" s="807"/>
      <c r="R163" s="807"/>
      <c r="S163" s="807"/>
      <c r="T163" s="807"/>
      <c r="U163" s="808"/>
      <c r="V163" s="808"/>
      <c r="W163" s="808"/>
      <c r="X163" s="808"/>
      <c r="Y163" s="808"/>
    </row>
    <row r="164" spans="1:20" ht="12.75">
      <c r="A164" s="71"/>
      <c r="B164" s="783"/>
      <c r="C164" s="810"/>
      <c r="D164" s="810"/>
      <c r="E164" s="810"/>
      <c r="F164" s="810"/>
      <c r="G164" s="810"/>
      <c r="H164" s="810"/>
      <c r="I164" s="810"/>
      <c r="J164" s="810"/>
      <c r="K164" s="810"/>
      <c r="L164" s="810"/>
      <c r="M164" s="810"/>
      <c r="N164" s="810"/>
      <c r="O164" s="810"/>
      <c r="P164" s="810"/>
      <c r="Q164" s="810"/>
      <c r="R164" s="109"/>
      <c r="S164" s="109"/>
      <c r="T164" s="109"/>
    </row>
    <row r="165" spans="1:20" ht="12.75">
      <c r="A165" s="71"/>
      <c r="B165" s="783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</row>
    <row r="166" spans="1:20" ht="12.75">
      <c r="A166" s="71"/>
      <c r="B166" s="783"/>
      <c r="C166" s="109"/>
      <c r="D166" s="109"/>
      <c r="E166" s="224"/>
      <c r="F166" s="811"/>
      <c r="G166" s="812"/>
      <c r="H166" s="224"/>
      <c r="I166" s="224"/>
      <c r="J166" s="224"/>
      <c r="K166" s="224"/>
      <c r="L166" s="109"/>
      <c r="M166" s="109"/>
      <c r="N166" s="109"/>
      <c r="O166" s="109"/>
      <c r="P166" s="109"/>
      <c r="Q166" s="109"/>
      <c r="R166" s="109"/>
      <c r="S166" s="109"/>
      <c r="T166" s="109"/>
    </row>
    <row r="167" spans="1:20" ht="12.75">
      <c r="A167" s="71"/>
      <c r="B167" s="783"/>
      <c r="C167" s="109"/>
      <c r="D167" s="109"/>
      <c r="E167" s="109"/>
      <c r="F167" s="109"/>
      <c r="G167" s="109"/>
      <c r="H167" s="109"/>
      <c r="I167" s="109"/>
      <c r="J167" s="224"/>
      <c r="K167" s="224"/>
      <c r="L167" s="224"/>
      <c r="M167" s="224"/>
      <c r="N167" s="224"/>
      <c r="O167" s="224"/>
      <c r="P167" s="224"/>
      <c r="Q167" s="109"/>
      <c r="R167" s="109"/>
      <c r="S167" s="109"/>
      <c r="T167" s="109"/>
    </row>
    <row r="168" spans="1:20" ht="12.75">
      <c r="A168" s="71"/>
      <c r="B168" s="783"/>
      <c r="C168" s="109"/>
      <c r="D168" s="109"/>
      <c r="E168" s="109"/>
      <c r="F168" s="109"/>
      <c r="G168" s="109"/>
      <c r="H168" s="109"/>
      <c r="I168" s="109"/>
      <c r="J168" s="224"/>
      <c r="K168" s="224"/>
      <c r="L168" s="224"/>
      <c r="M168" s="224"/>
      <c r="N168" s="224"/>
      <c r="O168" s="224"/>
      <c r="P168" s="224"/>
      <c r="Q168" s="109"/>
      <c r="R168" s="109"/>
      <c r="S168" s="109"/>
      <c r="T168" s="109"/>
    </row>
    <row r="169" spans="1:20" ht="12.75">
      <c r="A169" s="71"/>
      <c r="B169" s="783"/>
      <c r="C169" s="813"/>
      <c r="D169" s="813"/>
      <c r="E169" s="813"/>
      <c r="F169" s="813"/>
      <c r="G169" s="813"/>
      <c r="H169" s="813"/>
      <c r="I169" s="813"/>
      <c r="J169" s="813"/>
      <c r="K169" s="813"/>
      <c r="L169" s="813"/>
      <c r="M169" s="813"/>
      <c r="N169" s="813"/>
      <c r="O169" s="813"/>
      <c r="P169" s="813"/>
      <c r="Q169" s="813"/>
      <c r="R169" s="109"/>
      <c r="S169" s="109"/>
      <c r="T169" s="109"/>
    </row>
    <row r="170" spans="1:20" ht="12.75">
      <c r="A170" s="71"/>
      <c r="B170" s="783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</row>
    <row r="171" spans="1:20" ht="12.75">
      <c r="A171" s="71"/>
      <c r="B171" s="783"/>
      <c r="C171" s="109"/>
      <c r="D171" s="109"/>
      <c r="E171" s="224"/>
      <c r="F171" s="224"/>
      <c r="G171" s="224"/>
      <c r="H171" s="224"/>
      <c r="I171" s="224"/>
      <c r="J171" s="224"/>
      <c r="K171" s="224"/>
      <c r="L171" s="109"/>
      <c r="M171" s="109"/>
      <c r="N171" s="109"/>
      <c r="O171" s="109"/>
      <c r="P171" s="109"/>
      <c r="Q171" s="109"/>
      <c r="R171" s="109"/>
      <c r="S171" s="109"/>
      <c r="T171" s="109"/>
    </row>
    <row r="172" spans="1:20" ht="12.75">
      <c r="A172" s="71"/>
      <c r="B172" s="783"/>
      <c r="C172" s="109"/>
      <c r="D172" s="109"/>
      <c r="E172" s="224"/>
      <c r="F172" s="224"/>
      <c r="G172" s="224"/>
      <c r="H172" s="224"/>
      <c r="I172" s="224"/>
      <c r="J172" s="224"/>
      <c r="K172" s="224"/>
      <c r="L172" s="109"/>
      <c r="M172" s="109"/>
      <c r="N172" s="109"/>
      <c r="O172" s="109"/>
      <c r="P172" s="109"/>
      <c r="Q172" s="109"/>
      <c r="R172" s="109"/>
      <c r="S172" s="109"/>
      <c r="T172" s="109"/>
    </row>
    <row r="173" spans="1:20" ht="12.75">
      <c r="A173" s="71"/>
      <c r="B173" s="783"/>
      <c r="C173" s="109"/>
      <c r="D173" s="109"/>
      <c r="E173" s="224"/>
      <c r="F173" s="224"/>
      <c r="G173" s="224"/>
      <c r="H173" s="224"/>
      <c r="I173" s="224"/>
      <c r="J173" s="224"/>
      <c r="K173" s="224"/>
      <c r="L173" s="109"/>
      <c r="M173" s="109"/>
      <c r="N173" s="109"/>
      <c r="O173" s="109"/>
      <c r="P173" s="109"/>
      <c r="Q173" s="109"/>
      <c r="R173" s="109"/>
      <c r="S173" s="109"/>
      <c r="T173" s="109"/>
    </row>
    <row r="174" spans="1:20" ht="12.75">
      <c r="A174" s="71"/>
      <c r="B174" s="783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</row>
    <row r="175" spans="1:20" ht="12.75">
      <c r="A175" s="71"/>
      <c r="B175" s="783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</row>
    <row r="176" spans="1:20" ht="12.75">
      <c r="A176" s="71"/>
      <c r="B176" s="783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783"/>
      <c r="S176" s="783"/>
      <c r="T176" s="783"/>
    </row>
    <row r="177" spans="2:17" ht="12.75">
      <c r="B177" s="110"/>
      <c r="C177" s="814"/>
      <c r="D177" s="814"/>
      <c r="E177" s="814"/>
      <c r="F177" s="814"/>
      <c r="G177" s="814"/>
      <c r="H177" s="814"/>
      <c r="I177" s="814"/>
      <c r="J177" s="814"/>
      <c r="K177" s="814"/>
      <c r="L177" s="814"/>
      <c r="M177" s="814"/>
      <c r="N177" s="814"/>
      <c r="O177" s="814"/>
      <c r="P177" s="814"/>
      <c r="Q177" s="814"/>
    </row>
  </sheetData>
  <sheetProtection/>
  <mergeCells count="3">
    <mergeCell ref="A162:B162"/>
    <mergeCell ref="A136:B136"/>
    <mergeCell ref="A129:B129"/>
  </mergeCells>
  <printOptions horizontalCentered="1" verticalCentered="1"/>
  <pageMargins left="0.5118110236220472" right="0.31496062992125984" top="0.2362204724409449" bottom="0.3937007874015748" header="0.31496062992125984" footer="0.11811023622047245"/>
  <pageSetup fitToHeight="1" fitToWidth="1" horizontalDpi="600" verticalDpi="600" orientation="portrait" paperSize="9" scale="36" r:id="rId1"/>
  <headerFooter alignWithMargins="0">
    <oddHeader>&amp;RPríloha č. 1</oddHeader>
    <oddFooter>&amp;L&amp;Z&amp;F&amp;R&amp;D</oddFooter>
  </headerFooter>
  <rowBreaks count="1" manualBreakCount="1">
    <brk id="1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135"/>
  <sheetViews>
    <sheetView tabSelected="1" zoomScale="115" zoomScaleNormal="11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5"/>
    </sheetView>
  </sheetViews>
  <sheetFormatPr defaultColWidth="9.140625" defaultRowHeight="12.75"/>
  <cols>
    <col min="1" max="1" width="48.28125" style="21" customWidth="1"/>
    <col min="2" max="2" width="15.140625" style="41" bestFit="1" customWidth="1"/>
    <col min="3" max="3" width="14.421875" style="41" bestFit="1" customWidth="1"/>
    <col min="4" max="4" width="15.140625" style="41" bestFit="1" customWidth="1"/>
    <col min="5" max="5" width="15.7109375" style="41" bestFit="1" customWidth="1"/>
    <col min="6" max="6" width="14.421875" style="41" bestFit="1" customWidth="1"/>
    <col min="7" max="7" width="15.7109375" style="41" bestFit="1" customWidth="1"/>
    <col min="8" max="9" width="14.421875" style="41" bestFit="1" customWidth="1"/>
    <col min="10" max="10" width="12.421875" style="41" bestFit="1" customWidth="1"/>
    <col min="11" max="11" width="17.421875" style="108" bestFit="1" customWidth="1"/>
    <col min="12" max="12" width="17.8515625" style="41" bestFit="1" customWidth="1"/>
    <col min="13" max="13" width="11.140625" style="41" bestFit="1" customWidth="1"/>
    <col min="14" max="14" width="22.421875" style="41" customWidth="1"/>
    <col min="15" max="15" width="21.7109375" style="41" customWidth="1"/>
    <col min="16" max="16" width="18.28125" style="41" customWidth="1"/>
    <col min="17" max="17" width="17.8515625" style="41" bestFit="1" customWidth="1"/>
    <col min="18" max="18" width="16.7109375" style="108" bestFit="1" customWidth="1"/>
    <col min="19" max="16384" width="9.140625" style="21" customWidth="1"/>
  </cols>
  <sheetData>
    <row r="1" spans="1:18" ht="24" customHeight="1">
      <c r="A1" s="819" t="s">
        <v>184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</row>
    <row r="2" spans="1:18" ht="18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461" t="s">
        <v>42</v>
      </c>
    </row>
    <row r="3" spans="1:18" s="24" customFormat="1" ht="13.5" thickBot="1">
      <c r="A3" s="45"/>
      <c r="B3" s="186"/>
      <c r="C3" s="186"/>
      <c r="D3" s="186"/>
      <c r="E3" s="186"/>
      <c r="F3" s="186"/>
      <c r="G3" s="186"/>
      <c r="H3" s="186"/>
      <c r="I3" s="186"/>
      <c r="J3" s="186"/>
      <c r="K3" s="187"/>
      <c r="L3" s="186"/>
      <c r="M3" s="186"/>
      <c r="N3" s="187"/>
      <c r="O3" s="187"/>
      <c r="P3" s="187"/>
      <c r="Q3" s="186"/>
      <c r="R3" s="462" t="s">
        <v>43</v>
      </c>
    </row>
    <row r="4" spans="1:18" ht="28.5" customHeight="1" thickBot="1">
      <c r="A4" s="56" t="s">
        <v>0</v>
      </c>
      <c r="B4" s="390" t="s">
        <v>1</v>
      </c>
      <c r="C4" s="390" t="s">
        <v>2</v>
      </c>
      <c r="D4" s="390" t="s">
        <v>3</v>
      </c>
      <c r="E4" s="390" t="s">
        <v>4</v>
      </c>
      <c r="F4" s="104" t="s">
        <v>193</v>
      </c>
      <c r="G4" s="104" t="s">
        <v>6</v>
      </c>
      <c r="H4" s="391" t="s">
        <v>7</v>
      </c>
      <c r="I4" s="104" t="s">
        <v>9</v>
      </c>
      <c r="J4" s="768" t="s">
        <v>84</v>
      </c>
      <c r="K4" s="544" t="s">
        <v>85</v>
      </c>
      <c r="L4" s="104" t="s">
        <v>8</v>
      </c>
      <c r="M4" s="391" t="s">
        <v>65</v>
      </c>
      <c r="N4" s="503" t="s">
        <v>10</v>
      </c>
      <c r="O4" s="26" t="s">
        <v>11</v>
      </c>
      <c r="P4" s="612" t="s">
        <v>69</v>
      </c>
      <c r="Q4" s="594" t="s">
        <v>70</v>
      </c>
      <c r="R4" s="463" t="s">
        <v>12</v>
      </c>
    </row>
    <row r="5" spans="1:21" s="27" customFormat="1" ht="23.25" customHeight="1" thickBot="1">
      <c r="A5" s="62" t="s">
        <v>13</v>
      </c>
      <c r="B5" s="290">
        <f aca="true" t="shared" si="0" ref="B5:J5">B7+B100</f>
        <v>13863962.24</v>
      </c>
      <c r="C5" s="290">
        <f t="shared" si="0"/>
        <v>6514575.53</v>
      </c>
      <c r="D5" s="290">
        <f>D7+D100</f>
        <v>14168442.940000001</v>
      </c>
      <c r="E5" s="290">
        <f t="shared" si="0"/>
        <v>15316398.580000002</v>
      </c>
      <c r="F5" s="291">
        <f t="shared" si="0"/>
        <v>4852594.08</v>
      </c>
      <c r="G5" s="291">
        <f t="shared" si="0"/>
        <v>10814024.6</v>
      </c>
      <c r="H5" s="292">
        <f t="shared" si="0"/>
        <v>4010975.58</v>
      </c>
      <c r="I5" s="291">
        <f t="shared" si="0"/>
        <v>1076766</v>
      </c>
      <c r="J5" s="722">
        <f t="shared" si="0"/>
        <v>273118</v>
      </c>
      <c r="K5" s="292">
        <f>K7+K100</f>
        <v>69668745.05000001</v>
      </c>
      <c r="L5" s="484">
        <f aca="true" t="shared" si="1" ref="L5:Q5">L7+L100</f>
        <v>5567221</v>
      </c>
      <c r="M5" s="292">
        <f t="shared" si="1"/>
        <v>69018</v>
      </c>
      <c r="N5" s="291">
        <f t="shared" si="1"/>
        <v>3689342.0600000005</v>
      </c>
      <c r="O5" s="291">
        <f t="shared" si="1"/>
        <v>2401724</v>
      </c>
      <c r="P5" s="291">
        <f t="shared" si="1"/>
        <v>0</v>
      </c>
      <c r="Q5" s="595">
        <f t="shared" si="1"/>
        <v>51085</v>
      </c>
      <c r="R5" s="371">
        <f>R7+R100</f>
        <v>82669247.61</v>
      </c>
      <c r="S5" s="177"/>
      <c r="T5" s="177"/>
      <c r="U5" s="177"/>
    </row>
    <row r="6" spans="1:21" ht="20.25" customHeight="1" thickBot="1">
      <c r="A6" s="63"/>
      <c r="B6" s="214"/>
      <c r="C6" s="214"/>
      <c r="D6" s="214"/>
      <c r="E6" s="214"/>
      <c r="F6" s="25"/>
      <c r="G6" s="25"/>
      <c r="H6" s="194"/>
      <c r="I6" s="25"/>
      <c r="J6" s="723"/>
      <c r="K6" s="194"/>
      <c r="L6" s="291"/>
      <c r="M6" s="194"/>
      <c r="N6" s="25"/>
      <c r="O6" s="25"/>
      <c r="P6" s="373"/>
      <c r="Q6" s="372"/>
      <c r="R6" s="184"/>
      <c r="S6" s="41"/>
      <c r="T6" s="41"/>
      <c r="U6" s="41"/>
    </row>
    <row r="7" spans="1:21" s="27" customFormat="1" ht="26.25" customHeight="1" thickBot="1">
      <c r="A7" s="505" t="s">
        <v>14</v>
      </c>
      <c r="B7" s="293">
        <f aca="true" t="shared" si="2" ref="B7:J7">B10+B48+B77+B79+B93+B94+B97+B98</f>
        <v>13863962.24</v>
      </c>
      <c r="C7" s="293">
        <f t="shared" si="2"/>
        <v>6514575.53</v>
      </c>
      <c r="D7" s="678">
        <f t="shared" si="2"/>
        <v>14168442.940000001</v>
      </c>
      <c r="E7" s="678">
        <f t="shared" si="2"/>
        <v>15224898.580000002</v>
      </c>
      <c r="F7" s="293">
        <f t="shared" si="2"/>
        <v>4602594.08</v>
      </c>
      <c r="G7" s="293">
        <f t="shared" si="2"/>
        <v>10774074.6</v>
      </c>
      <c r="H7" s="294">
        <f t="shared" si="2"/>
        <v>4010975.58</v>
      </c>
      <c r="I7" s="293">
        <f t="shared" si="2"/>
        <v>1076766</v>
      </c>
      <c r="J7" s="724">
        <f t="shared" si="2"/>
        <v>273118</v>
      </c>
      <c r="K7" s="294">
        <f aca="true" t="shared" si="3" ref="K7:Q7">K9+K93+K95+K97+K98</f>
        <v>69287295.05000001</v>
      </c>
      <c r="L7" s="293">
        <f t="shared" si="3"/>
        <v>4967221</v>
      </c>
      <c r="M7" s="294">
        <f t="shared" si="3"/>
        <v>69018</v>
      </c>
      <c r="N7" s="293">
        <f t="shared" si="3"/>
        <v>3689342.0600000005</v>
      </c>
      <c r="O7" s="293">
        <f t="shared" si="3"/>
        <v>2401724</v>
      </c>
      <c r="P7" s="293">
        <f t="shared" si="3"/>
        <v>0</v>
      </c>
      <c r="Q7" s="294">
        <f t="shared" si="3"/>
        <v>51085</v>
      </c>
      <c r="R7" s="293">
        <f>R9+R93+R95+R97+R98+R94</f>
        <v>81687797.61</v>
      </c>
      <c r="S7" s="177"/>
      <c r="T7" s="177"/>
      <c r="U7" s="177"/>
    </row>
    <row r="8" spans="1:21" s="28" customFormat="1" ht="25.5" customHeight="1" thickBot="1">
      <c r="A8" s="506" t="s">
        <v>15</v>
      </c>
      <c r="B8" s="295">
        <f>B48</f>
        <v>3301627</v>
      </c>
      <c r="C8" s="296">
        <f aca="true" t="shared" si="4" ref="C8:Q8">C48</f>
        <v>1063074.31</v>
      </c>
      <c r="D8" s="679">
        <f t="shared" si="4"/>
        <v>3541554</v>
      </c>
      <c r="E8" s="679">
        <f t="shared" si="4"/>
        <v>4505506</v>
      </c>
      <c r="F8" s="295">
        <f t="shared" si="4"/>
        <v>1178878</v>
      </c>
      <c r="G8" s="295">
        <f t="shared" si="4"/>
        <v>2437900</v>
      </c>
      <c r="H8" s="296">
        <f t="shared" si="4"/>
        <v>782365.69</v>
      </c>
      <c r="I8" s="295">
        <f t="shared" si="4"/>
        <v>177130</v>
      </c>
      <c r="J8" s="725">
        <f t="shared" si="4"/>
        <v>176019</v>
      </c>
      <c r="K8" s="545">
        <f>K48</f>
        <v>17164054</v>
      </c>
      <c r="L8" s="295">
        <f t="shared" si="4"/>
        <v>0</v>
      </c>
      <c r="M8" s="296">
        <f t="shared" si="4"/>
        <v>0</v>
      </c>
      <c r="N8" s="295">
        <f t="shared" si="4"/>
        <v>53236</v>
      </c>
      <c r="O8" s="295">
        <f t="shared" si="4"/>
        <v>1090776</v>
      </c>
      <c r="P8" s="295">
        <f t="shared" si="4"/>
        <v>0</v>
      </c>
      <c r="Q8" s="296">
        <f t="shared" si="4"/>
        <v>0</v>
      </c>
      <c r="R8" s="107">
        <f>K8+L8+M8+N8+O8+P8+Q8</f>
        <v>18308066</v>
      </c>
      <c r="S8" s="261"/>
      <c r="T8" s="261"/>
      <c r="U8" s="261"/>
    </row>
    <row r="9" spans="1:21" s="27" customFormat="1" ht="22.5" customHeight="1" thickBot="1">
      <c r="A9" s="507" t="s">
        <v>16</v>
      </c>
      <c r="B9" s="297">
        <f aca="true" t="shared" si="5" ref="B9:J9">B10+B48+B77+B79</f>
        <v>13039569.86</v>
      </c>
      <c r="C9" s="298">
        <f>C10+C48+C77+C79</f>
        <v>5478341.3100000005</v>
      </c>
      <c r="D9" s="680">
        <f t="shared" si="5"/>
        <v>12111751.440000001</v>
      </c>
      <c r="E9" s="680">
        <f t="shared" si="5"/>
        <v>13187963.96</v>
      </c>
      <c r="F9" s="297">
        <f t="shared" si="5"/>
        <v>4507449.08</v>
      </c>
      <c r="G9" s="297">
        <f t="shared" si="5"/>
        <v>10264658.6</v>
      </c>
      <c r="H9" s="298">
        <f t="shared" si="5"/>
        <v>3866245.69</v>
      </c>
      <c r="I9" s="297">
        <f t="shared" si="5"/>
        <v>1076766</v>
      </c>
      <c r="J9" s="726">
        <f t="shared" si="5"/>
        <v>273118</v>
      </c>
      <c r="K9" s="298">
        <f>SUM(B9:J9)</f>
        <v>63805863.940000005</v>
      </c>
      <c r="L9" s="297">
        <f>L10+L48+L77+L79</f>
        <v>4967221</v>
      </c>
      <c r="M9" s="298">
        <f>M10+M49+M75+M76+M77+M79</f>
        <v>69018</v>
      </c>
      <c r="N9" s="297">
        <f>N10+N49+N75+N76+N77+N79</f>
        <v>3645307.0600000005</v>
      </c>
      <c r="O9" s="297">
        <f>O10+O49+O75+O76+O77+O79</f>
        <v>2401724</v>
      </c>
      <c r="P9" s="297">
        <f>P10+P49+P75+P76+P77+P79</f>
        <v>0</v>
      </c>
      <c r="Q9" s="298">
        <f>Q10+Q49+Q75+Q76+Q77+Q79</f>
        <v>51085</v>
      </c>
      <c r="R9" s="297">
        <f>SUM(K9:Q9)</f>
        <v>74940219</v>
      </c>
      <c r="S9" s="177"/>
      <c r="T9" s="177"/>
      <c r="U9" s="177"/>
    </row>
    <row r="10" spans="1:21" s="28" customFormat="1" ht="24.75" customHeight="1" thickBot="1">
      <c r="A10" s="508" t="s">
        <v>57</v>
      </c>
      <c r="B10" s="299">
        <f>B11+B17+B23+B42+133172</f>
        <v>9253256.86</v>
      </c>
      <c r="C10" s="300">
        <f>C11+C17+C23+C42+54946</f>
        <v>4186791</v>
      </c>
      <c r="D10" s="681">
        <f>D11+D17+D23+D42+108764</f>
        <v>8029401.44</v>
      </c>
      <c r="E10" s="681">
        <f>E11+E17+E23+E42+120946</f>
        <v>8184038.960000001</v>
      </c>
      <c r="F10" s="299">
        <f>F11+F17+F23+F42+59081</f>
        <v>3222354.08</v>
      </c>
      <c r="G10" s="299">
        <f>G11+G17+G23+G42+106241</f>
        <v>6210871.6</v>
      </c>
      <c r="H10" s="300">
        <f>H11+H17+H23+H42+50207</f>
        <v>2744239</v>
      </c>
      <c r="I10" s="299">
        <f>I11+I17+I23+I42+11627</f>
        <v>889370</v>
      </c>
      <c r="J10" s="727">
        <f>J11+J17+J23+J42+1780</f>
        <v>97099</v>
      </c>
      <c r="K10" s="300">
        <f>SUM(B10:J10)</f>
        <v>42817421.940000005</v>
      </c>
      <c r="L10" s="299">
        <f aca="true" t="shared" si="6" ref="L10:Q10">L11+L17+L23+L42</f>
        <v>0</v>
      </c>
      <c r="M10" s="300">
        <f>M11+M17+M23+M42+188</f>
        <v>10188</v>
      </c>
      <c r="N10" s="299">
        <f>N11+N17+N23+N42+43824</f>
        <v>3394906.0600000005</v>
      </c>
      <c r="O10" s="299">
        <f t="shared" si="6"/>
        <v>1343973</v>
      </c>
      <c r="P10" s="299">
        <f t="shared" si="6"/>
        <v>0</v>
      </c>
      <c r="Q10" s="300">
        <f t="shared" si="6"/>
        <v>51085</v>
      </c>
      <c r="R10" s="299">
        <f>SUM(K10:Q10)</f>
        <v>47617574.00000001</v>
      </c>
      <c r="S10" s="261"/>
      <c r="T10" s="261"/>
      <c r="U10" s="261"/>
    </row>
    <row r="11" spans="1:21" s="106" customFormat="1" ht="18.75" customHeight="1" thickBot="1">
      <c r="A11" s="509" t="s">
        <v>58</v>
      </c>
      <c r="B11" s="392">
        <f>4546070+29735+12954+B13+1400000</f>
        <v>5995259</v>
      </c>
      <c r="C11" s="393">
        <f>1814602+9375-1250-1183+1577+844752+C13+664+2587</f>
        <v>2674124</v>
      </c>
      <c r="D11" s="682">
        <f>3679779+1183+12881.4+D13+1486686</f>
        <v>5184529.4</v>
      </c>
      <c r="E11" s="682">
        <f>4239039-914+11936.4+E13-664-29200+665907.56</f>
        <v>4891104.960000001</v>
      </c>
      <c r="F11" s="392">
        <f>2021534-20764-9375+11701.2+F13</f>
        <v>2009096.2</v>
      </c>
      <c r="G11" s="392">
        <f>3602838+12954+G13+335000</f>
        <v>3955792</v>
      </c>
      <c r="H11" s="393">
        <f>1615342-2470</f>
        <v>1612872</v>
      </c>
      <c r="I11" s="392">
        <f>403562-6807-1577-2587+29200+2470+174000</f>
        <v>598261</v>
      </c>
      <c r="J11" s="728">
        <f>69244</f>
        <v>69244</v>
      </c>
      <c r="K11" s="546">
        <f>SUM(B11:J11)</f>
        <v>26990282.56</v>
      </c>
      <c r="L11" s="301">
        <v>0</v>
      </c>
      <c r="M11" s="570">
        <v>0</v>
      </c>
      <c r="N11" s="302">
        <f>1437364-62427+9130+9500+650000</f>
        <v>2043567</v>
      </c>
      <c r="O11" s="303">
        <f>141860+38000+40000-12000+36982-6000-2000-14630-13500</f>
        <v>208712</v>
      </c>
      <c r="P11" s="303">
        <v>0</v>
      </c>
      <c r="Q11" s="596">
        <v>0</v>
      </c>
      <c r="R11" s="374">
        <f>SUM(K11:Q11)</f>
        <v>29242561.56</v>
      </c>
      <c r="S11" s="173"/>
      <c r="T11" s="173"/>
      <c r="U11" s="173"/>
    </row>
    <row r="12" spans="1:21" s="30" customFormat="1" ht="12.75">
      <c r="A12" s="388" t="s">
        <v>116</v>
      </c>
      <c r="B12" s="389">
        <v>3914102</v>
      </c>
      <c r="C12" s="527">
        <v>1521744</v>
      </c>
      <c r="D12" s="683">
        <v>3192657</v>
      </c>
      <c r="E12" s="683">
        <v>3677526</v>
      </c>
      <c r="F12" s="389">
        <v>1764775</v>
      </c>
      <c r="G12" s="389">
        <v>3150696</v>
      </c>
      <c r="H12" s="527">
        <v>1473413</v>
      </c>
      <c r="I12" s="389">
        <v>327272</v>
      </c>
      <c r="J12" s="729">
        <v>69244</v>
      </c>
      <c r="K12" s="527">
        <f>SUM(B12:J12)</f>
        <v>19091429</v>
      </c>
      <c r="L12" s="389"/>
      <c r="M12" s="527"/>
      <c r="N12" s="389">
        <v>1231901</v>
      </c>
      <c r="O12" s="389">
        <v>141860</v>
      </c>
      <c r="P12" s="389"/>
      <c r="Q12" s="527"/>
      <c r="R12" s="389">
        <f>SUM(K12:P12)</f>
        <v>20465190</v>
      </c>
      <c r="S12" s="262"/>
      <c r="T12" s="262"/>
      <c r="U12" s="262"/>
    </row>
    <row r="13" spans="1:21" s="30" customFormat="1" ht="15.75">
      <c r="A13" s="221" t="s">
        <v>87</v>
      </c>
      <c r="B13" s="304">
        <f>2000+1500+3000</f>
        <v>6500</v>
      </c>
      <c r="C13" s="305">
        <f>2000+1000</f>
        <v>3000</v>
      </c>
      <c r="D13" s="684">
        <f>2000+2000</f>
        <v>4000</v>
      </c>
      <c r="E13" s="684">
        <f>2000+1000+2000</f>
        <v>5000</v>
      </c>
      <c r="F13" s="304">
        <f>2000+1000+2000+1000</f>
        <v>6000</v>
      </c>
      <c r="G13" s="304">
        <f>2000+1000+2000</f>
        <v>5000</v>
      </c>
      <c r="H13" s="305"/>
      <c r="I13" s="304"/>
      <c r="J13" s="769"/>
      <c r="K13" s="375">
        <f>SUM(B13:I13)</f>
        <v>29500</v>
      </c>
      <c r="L13" s="306"/>
      <c r="M13" s="571"/>
      <c r="N13" s="306">
        <f>9130+9500</f>
        <v>18630</v>
      </c>
      <c r="O13" s="306">
        <f>81860-12000+36982-6000-2000-14630-13500</f>
        <v>70712</v>
      </c>
      <c r="P13" s="306"/>
      <c r="Q13" s="571"/>
      <c r="R13" s="464">
        <f>SUM(K13:Q13)</f>
        <v>118842</v>
      </c>
      <c r="S13" s="262"/>
      <c r="T13" s="262"/>
      <c r="U13" s="262"/>
    </row>
    <row r="14" spans="1:21" s="30" customFormat="1" ht="15.75">
      <c r="A14" s="221" t="s">
        <v>83</v>
      </c>
      <c r="B14" s="304">
        <v>14400</v>
      </c>
      <c r="C14" s="305"/>
      <c r="D14" s="684">
        <v>14400</v>
      </c>
      <c r="E14" s="684"/>
      <c r="F14" s="304"/>
      <c r="G14" s="304">
        <v>14400</v>
      </c>
      <c r="H14" s="305">
        <v>14400</v>
      </c>
      <c r="I14" s="304"/>
      <c r="J14" s="730"/>
      <c r="K14" s="547">
        <f>SUM(B14:I14)</f>
        <v>57600</v>
      </c>
      <c r="L14" s="304"/>
      <c r="M14" s="320"/>
      <c r="N14" s="304"/>
      <c r="O14" s="307">
        <v>60000</v>
      </c>
      <c r="P14" s="304"/>
      <c r="Q14" s="320"/>
      <c r="R14" s="464">
        <f>SUM(K14:Q14)</f>
        <v>117600</v>
      </c>
      <c r="S14" s="262"/>
      <c r="T14" s="262"/>
      <c r="U14" s="262"/>
    </row>
    <row r="15" spans="1:21" s="30" customFormat="1" ht="12.75">
      <c r="A15" s="385" t="s">
        <v>114</v>
      </c>
      <c r="B15" s="386">
        <v>600820</v>
      </c>
      <c r="C15" s="528">
        <v>280037</v>
      </c>
      <c r="D15" s="685">
        <v>466985</v>
      </c>
      <c r="E15" s="685">
        <v>534325</v>
      </c>
      <c r="F15" s="386">
        <v>246495</v>
      </c>
      <c r="G15" s="386">
        <v>431383</v>
      </c>
      <c r="H15" s="528">
        <v>133942</v>
      </c>
      <c r="I15" s="386">
        <v>72161</v>
      </c>
      <c r="J15" s="731"/>
      <c r="K15" s="548">
        <f>SUM(B15:J15)</f>
        <v>2766148</v>
      </c>
      <c r="L15" s="386"/>
      <c r="M15" s="528"/>
      <c r="N15" s="386">
        <v>205463</v>
      </c>
      <c r="O15" s="386"/>
      <c r="P15" s="386"/>
      <c r="Q15" s="528"/>
      <c r="R15" s="387">
        <f>SUM(K15:P15)</f>
        <v>2971611</v>
      </c>
      <c r="S15" s="262"/>
      <c r="T15" s="262"/>
      <c r="U15" s="262"/>
    </row>
    <row r="16" spans="1:21" s="30" customFormat="1" ht="13.5" thickBot="1">
      <c r="A16" s="487" t="s">
        <v>115</v>
      </c>
      <c r="B16" s="488">
        <v>31148</v>
      </c>
      <c r="C16" s="529">
        <v>12821</v>
      </c>
      <c r="D16" s="686">
        <v>20137</v>
      </c>
      <c r="E16" s="686">
        <v>27188</v>
      </c>
      <c r="F16" s="488">
        <v>10264</v>
      </c>
      <c r="G16" s="488">
        <v>20759</v>
      </c>
      <c r="H16" s="529">
        <v>7987</v>
      </c>
      <c r="I16" s="488">
        <v>4129</v>
      </c>
      <c r="J16" s="732"/>
      <c r="K16" s="549">
        <f>SUM(B16:J16)</f>
        <v>134433</v>
      </c>
      <c r="L16" s="488"/>
      <c r="M16" s="529"/>
      <c r="N16" s="488"/>
      <c r="O16" s="488"/>
      <c r="P16" s="488"/>
      <c r="Q16" s="529"/>
      <c r="R16" s="489">
        <f>SUM(K16:P16)</f>
        <v>134433</v>
      </c>
      <c r="S16" s="262"/>
      <c r="T16" s="262"/>
      <c r="U16" s="262"/>
    </row>
    <row r="17" spans="1:21" s="106" customFormat="1" ht="21" customHeight="1" thickBot="1">
      <c r="A17" s="218" t="s">
        <v>55</v>
      </c>
      <c r="B17" s="490">
        <f>1600217+10467+4041.6+B18+492800</f>
        <v>2109813.6</v>
      </c>
      <c r="C17" s="491">
        <f>638739+3300-440-416+555+297352+C18+233+910</f>
        <v>941289</v>
      </c>
      <c r="D17" s="687">
        <f>1295282+416+4019.04+D18+523314</f>
        <v>1824439.04</v>
      </c>
      <c r="E17" s="687">
        <f>1492142-321+4201.56+E18-233-10278+332888.44</f>
        <v>1820160</v>
      </c>
      <c r="F17" s="490">
        <f>711580-7310-3300+4118.88+F18</f>
        <v>707200.88</v>
      </c>
      <c r="G17" s="490">
        <f>1268199+4041.6+G18+180000</f>
        <v>1454000.6</v>
      </c>
      <c r="H17" s="491">
        <f>568601-869</f>
        <v>567732</v>
      </c>
      <c r="I17" s="490">
        <f>142054-2396-555-910+10278+869+61000</f>
        <v>210340</v>
      </c>
      <c r="J17" s="733">
        <v>24374</v>
      </c>
      <c r="K17" s="550">
        <f>SUM(B17:J17)</f>
        <v>9659349.120000001</v>
      </c>
      <c r="L17" s="308">
        <v>0</v>
      </c>
      <c r="M17" s="572">
        <v>0</v>
      </c>
      <c r="N17" s="308">
        <f>505951-20422.68+3214+3344+210000</f>
        <v>702086.3200000001</v>
      </c>
      <c r="O17" s="308">
        <f>49935+13000+15000-4224+13018-2112-704-5150-4752</f>
        <v>74011</v>
      </c>
      <c r="P17" s="308">
        <v>0</v>
      </c>
      <c r="Q17" s="597">
        <v>0</v>
      </c>
      <c r="R17" s="376">
        <f aca="true" t="shared" si="7" ref="R17:R25">SUM(K17:Q17)</f>
        <v>10435446.440000001</v>
      </c>
      <c r="S17" s="173"/>
      <c r="T17" s="173"/>
      <c r="U17" s="173"/>
    </row>
    <row r="18" spans="1:21" s="31" customFormat="1" ht="15.75">
      <c r="A18" s="221" t="s">
        <v>87</v>
      </c>
      <c r="B18" s="304">
        <f>704+528+1056</f>
        <v>2288</v>
      </c>
      <c r="C18" s="305">
        <f>704+352</f>
        <v>1056</v>
      </c>
      <c r="D18" s="684">
        <f>704+704</f>
        <v>1408</v>
      </c>
      <c r="E18" s="684">
        <f>704+352+704</f>
        <v>1760</v>
      </c>
      <c r="F18" s="304">
        <f>704+352+704+352</f>
        <v>2112</v>
      </c>
      <c r="G18" s="763">
        <f>704+352+704</f>
        <v>1760</v>
      </c>
      <c r="H18" s="305"/>
      <c r="I18" s="304"/>
      <c r="J18" s="730"/>
      <c r="K18" s="547">
        <f>SUM(B18:I18)</f>
        <v>10384</v>
      </c>
      <c r="L18" s="304"/>
      <c r="M18" s="320"/>
      <c r="N18" s="310">
        <f>3214+3344</f>
        <v>6558</v>
      </c>
      <c r="O18" s="310">
        <f>28815-4224+13018-2112-704-5150-4752</f>
        <v>24891</v>
      </c>
      <c r="P18" s="310"/>
      <c r="Q18" s="320"/>
      <c r="R18" s="464">
        <f t="shared" si="7"/>
        <v>41833</v>
      </c>
      <c r="S18" s="188"/>
      <c r="T18" s="188"/>
      <c r="U18" s="188"/>
    </row>
    <row r="19" spans="1:21" s="217" customFormat="1" ht="16.5" thickBot="1">
      <c r="A19" s="237" t="s">
        <v>83</v>
      </c>
      <c r="B19" s="311"/>
      <c r="C19" s="312"/>
      <c r="D19" s="688"/>
      <c r="E19" s="688"/>
      <c r="F19" s="311"/>
      <c r="G19" s="311"/>
      <c r="H19" s="312"/>
      <c r="I19" s="311"/>
      <c r="J19" s="734"/>
      <c r="K19" s="551">
        <f>SUM(B19:I19)</f>
        <v>0</v>
      </c>
      <c r="L19" s="589"/>
      <c r="M19" s="534"/>
      <c r="N19" s="314"/>
      <c r="O19" s="314"/>
      <c r="P19" s="314"/>
      <c r="Q19" s="534"/>
      <c r="R19" s="465">
        <f t="shared" si="7"/>
        <v>0</v>
      </c>
      <c r="S19" s="216"/>
      <c r="T19" s="216"/>
      <c r="U19" s="216"/>
    </row>
    <row r="20" spans="1:21" s="31" customFormat="1" ht="16.5" hidden="1" thickBot="1">
      <c r="A20" s="237"/>
      <c r="B20" s="311"/>
      <c r="C20" s="312"/>
      <c r="D20" s="688"/>
      <c r="E20" s="688"/>
      <c r="F20" s="311"/>
      <c r="G20" s="311"/>
      <c r="H20" s="312"/>
      <c r="I20" s="311"/>
      <c r="J20" s="734"/>
      <c r="K20" s="551">
        <f>SUM(B20:I20)</f>
        <v>0</v>
      </c>
      <c r="L20" s="311"/>
      <c r="M20" s="349"/>
      <c r="N20" s="311"/>
      <c r="O20" s="307"/>
      <c r="P20" s="307"/>
      <c r="Q20" s="349"/>
      <c r="R20" s="465">
        <f t="shared" si="7"/>
        <v>0</v>
      </c>
      <c r="S20" s="188"/>
      <c r="T20" s="188"/>
      <c r="U20" s="188"/>
    </row>
    <row r="21" spans="1:21" s="31" customFormat="1" ht="16.5" hidden="1" thickBot="1">
      <c r="A21" s="237"/>
      <c r="B21" s="311"/>
      <c r="C21" s="312"/>
      <c r="D21" s="688"/>
      <c r="E21" s="688"/>
      <c r="F21" s="311"/>
      <c r="G21" s="311"/>
      <c r="H21" s="312"/>
      <c r="I21" s="311"/>
      <c r="J21" s="734"/>
      <c r="K21" s="551">
        <f>SUM(B21:I21)</f>
        <v>0</v>
      </c>
      <c r="L21" s="311"/>
      <c r="M21" s="349"/>
      <c r="N21" s="311"/>
      <c r="O21" s="307"/>
      <c r="P21" s="307"/>
      <c r="Q21" s="349"/>
      <c r="R21" s="465">
        <f t="shared" si="7"/>
        <v>0</v>
      </c>
      <c r="S21" s="188"/>
      <c r="T21" s="188"/>
      <c r="U21" s="188"/>
    </row>
    <row r="22" spans="1:21" s="31" customFormat="1" ht="16.5" hidden="1" thickBot="1">
      <c r="A22" s="238"/>
      <c r="B22" s="316"/>
      <c r="C22" s="317"/>
      <c r="D22" s="689"/>
      <c r="E22" s="689"/>
      <c r="F22" s="316"/>
      <c r="G22" s="316"/>
      <c r="H22" s="317"/>
      <c r="I22" s="316"/>
      <c r="J22" s="735"/>
      <c r="K22" s="552">
        <f>SUM(B22:I22)</f>
        <v>0</v>
      </c>
      <c r="L22" s="316"/>
      <c r="M22" s="324"/>
      <c r="N22" s="316"/>
      <c r="O22" s="492"/>
      <c r="P22" s="492"/>
      <c r="Q22" s="324"/>
      <c r="R22" s="466">
        <f t="shared" si="7"/>
        <v>0</v>
      </c>
      <c r="S22" s="188"/>
      <c r="T22" s="188"/>
      <c r="U22" s="188"/>
    </row>
    <row r="23" spans="1:21" s="106" customFormat="1" ht="18.75" customHeight="1" thickBot="1">
      <c r="A23" s="219" t="s">
        <v>56</v>
      </c>
      <c r="B23" s="493">
        <f>948238+17027+1493+13582+38112-3439.74</f>
        <v>1015012.26</v>
      </c>
      <c r="C23" s="494">
        <f>473807+7836+13000+459+5605+15725</f>
        <v>516432</v>
      </c>
      <c r="D23" s="690">
        <f>819147+15070+35000+230+11095+31127</f>
        <v>911669</v>
      </c>
      <c r="E23" s="690">
        <f>712032+15116+576399+1330+12338+34613</f>
        <v>1351828</v>
      </c>
      <c r="F23" s="493">
        <f>414340+7724+1977+6027+16908</f>
        <v>446976</v>
      </c>
      <c r="G23" s="493">
        <f>788800-152000+15418+1377+10838+30405</f>
        <v>694838</v>
      </c>
      <c r="H23" s="494">
        <f>490756+2647+534+5122+14369</f>
        <v>513428</v>
      </c>
      <c r="I23" s="493">
        <f>73814-8000+3328</f>
        <v>69142</v>
      </c>
      <c r="J23" s="770">
        <f>1193+508</f>
        <v>1701</v>
      </c>
      <c r="K23" s="499">
        <f>SUM(B23:J23)</f>
        <v>5521026.26</v>
      </c>
      <c r="L23" s="590">
        <v>0</v>
      </c>
      <c r="M23" s="494">
        <v>10000</v>
      </c>
      <c r="N23" s="493">
        <f>391361-1+152000+10526+244+47859+3439.74</f>
        <v>605428.74</v>
      </c>
      <c r="O23" s="319">
        <f>961250+75000+25000</f>
        <v>1061250</v>
      </c>
      <c r="P23" s="319">
        <v>0</v>
      </c>
      <c r="Q23" s="499">
        <f>1381552-690776+244+60317-244-578310-112466-9232</f>
        <v>51085</v>
      </c>
      <c r="R23" s="377">
        <f t="shared" si="7"/>
        <v>7248790</v>
      </c>
      <c r="S23" s="173"/>
      <c r="T23" s="173"/>
      <c r="U23" s="173"/>
    </row>
    <row r="24" spans="1:21" s="105" customFormat="1" ht="15">
      <c r="A24" s="394" t="s">
        <v>117</v>
      </c>
      <c r="B24" s="384"/>
      <c r="C24" s="530">
        <v>59000</v>
      </c>
      <c r="D24" s="691"/>
      <c r="E24" s="691"/>
      <c r="F24" s="384"/>
      <c r="G24" s="384"/>
      <c r="H24" s="530"/>
      <c r="I24" s="384"/>
      <c r="J24" s="736"/>
      <c r="K24" s="553">
        <f aca="true" t="shared" si="8" ref="K24:K37">SUM(B24:I24)</f>
        <v>59000</v>
      </c>
      <c r="L24" s="304"/>
      <c r="M24" s="305"/>
      <c r="N24" s="304"/>
      <c r="O24" s="304"/>
      <c r="P24" s="304"/>
      <c r="Q24" s="305"/>
      <c r="R24" s="467">
        <f t="shared" si="7"/>
        <v>59000</v>
      </c>
      <c r="S24" s="263"/>
      <c r="T24" s="263"/>
      <c r="U24" s="263"/>
    </row>
    <row r="25" spans="1:21" s="105" customFormat="1" ht="15">
      <c r="A25" s="394" t="s">
        <v>118</v>
      </c>
      <c r="B25" s="384"/>
      <c r="C25" s="530"/>
      <c r="D25" s="691"/>
      <c r="E25" s="691"/>
      <c r="F25" s="384"/>
      <c r="G25" s="384"/>
      <c r="H25" s="530"/>
      <c r="I25" s="384"/>
      <c r="J25" s="736"/>
      <c r="K25" s="553">
        <f t="shared" si="8"/>
        <v>0</v>
      </c>
      <c r="L25" s="304"/>
      <c r="M25" s="305"/>
      <c r="N25" s="304"/>
      <c r="O25" s="307">
        <v>34566</v>
      </c>
      <c r="P25" s="304"/>
      <c r="Q25" s="329">
        <f>33107-33107</f>
        <v>0</v>
      </c>
      <c r="R25" s="467">
        <f t="shared" si="7"/>
        <v>34566</v>
      </c>
      <c r="S25" s="263"/>
      <c r="T25" s="263"/>
      <c r="U25" s="263"/>
    </row>
    <row r="26" spans="1:21" s="105" customFormat="1" ht="25.5">
      <c r="A26" s="395" t="s">
        <v>119</v>
      </c>
      <c r="B26" s="384"/>
      <c r="C26" s="530"/>
      <c r="D26" s="691"/>
      <c r="E26" s="691"/>
      <c r="F26" s="384"/>
      <c r="G26" s="384"/>
      <c r="H26" s="530"/>
      <c r="I26" s="384"/>
      <c r="J26" s="736"/>
      <c r="K26" s="553">
        <f t="shared" si="8"/>
        <v>0</v>
      </c>
      <c r="L26" s="304"/>
      <c r="M26" s="305"/>
      <c r="N26" s="304"/>
      <c r="O26" s="304">
        <v>25000</v>
      </c>
      <c r="P26" s="304"/>
      <c r="Q26" s="305"/>
      <c r="R26" s="468">
        <f aca="true" t="shared" si="9" ref="R26:R35">K26+O26</f>
        <v>25000</v>
      </c>
      <c r="S26" s="263"/>
      <c r="T26" s="263"/>
      <c r="U26" s="263"/>
    </row>
    <row r="27" spans="1:21" s="105" customFormat="1" ht="15">
      <c r="A27" s="395" t="s">
        <v>88</v>
      </c>
      <c r="B27" s="384"/>
      <c r="C27" s="530"/>
      <c r="D27" s="691"/>
      <c r="E27" s="691"/>
      <c r="F27" s="384"/>
      <c r="G27" s="384"/>
      <c r="H27" s="530"/>
      <c r="I27" s="384"/>
      <c r="J27" s="736"/>
      <c r="K27" s="553">
        <f t="shared" si="8"/>
        <v>0</v>
      </c>
      <c r="L27" s="304"/>
      <c r="M27" s="305"/>
      <c r="N27" s="304"/>
      <c r="O27" s="304">
        <v>5000</v>
      </c>
      <c r="P27" s="304"/>
      <c r="Q27" s="305"/>
      <c r="R27" s="468">
        <f t="shared" si="9"/>
        <v>5000</v>
      </c>
      <c r="S27" s="263"/>
      <c r="T27" s="263"/>
      <c r="U27" s="263"/>
    </row>
    <row r="28" spans="1:21" s="105" customFormat="1" ht="51">
      <c r="A28" s="395" t="s">
        <v>120</v>
      </c>
      <c r="B28" s="384"/>
      <c r="C28" s="530"/>
      <c r="D28" s="691"/>
      <c r="E28" s="691"/>
      <c r="F28" s="384"/>
      <c r="G28" s="384"/>
      <c r="H28" s="530"/>
      <c r="I28" s="384"/>
      <c r="J28" s="736"/>
      <c r="K28" s="553">
        <f t="shared" si="8"/>
        <v>0</v>
      </c>
      <c r="L28" s="304"/>
      <c r="M28" s="305"/>
      <c r="N28" s="304"/>
      <c r="O28" s="307">
        <v>20000</v>
      </c>
      <c r="P28" s="304"/>
      <c r="Q28" s="305"/>
      <c r="R28" s="468">
        <f t="shared" si="9"/>
        <v>20000</v>
      </c>
      <c r="S28" s="263"/>
      <c r="T28" s="263"/>
      <c r="U28" s="263"/>
    </row>
    <row r="29" spans="1:21" s="105" customFormat="1" ht="51">
      <c r="A29" s="395" t="s">
        <v>121</v>
      </c>
      <c r="B29" s="384"/>
      <c r="C29" s="530"/>
      <c r="D29" s="691"/>
      <c r="E29" s="691"/>
      <c r="F29" s="384"/>
      <c r="G29" s="384"/>
      <c r="H29" s="530"/>
      <c r="I29" s="384"/>
      <c r="J29" s="736"/>
      <c r="K29" s="553">
        <f t="shared" si="8"/>
        <v>0</v>
      </c>
      <c r="L29" s="304"/>
      <c r="M29" s="305"/>
      <c r="N29" s="304"/>
      <c r="O29" s="314">
        <v>110000</v>
      </c>
      <c r="P29" s="304"/>
      <c r="Q29" s="305"/>
      <c r="R29" s="468">
        <f t="shared" si="9"/>
        <v>110000</v>
      </c>
      <c r="S29" s="263"/>
      <c r="T29" s="263"/>
      <c r="U29" s="263"/>
    </row>
    <row r="30" spans="1:21" s="105" customFormat="1" ht="15">
      <c r="A30" s="395" t="s">
        <v>122</v>
      </c>
      <c r="B30" s="384"/>
      <c r="C30" s="530"/>
      <c r="D30" s="691"/>
      <c r="E30" s="691"/>
      <c r="F30" s="384"/>
      <c r="G30" s="384"/>
      <c r="H30" s="530"/>
      <c r="I30" s="384"/>
      <c r="J30" s="736"/>
      <c r="K30" s="553">
        <f t="shared" si="8"/>
        <v>0</v>
      </c>
      <c r="L30" s="311"/>
      <c r="M30" s="312"/>
      <c r="N30" s="311"/>
      <c r="O30" s="307">
        <v>220000</v>
      </c>
      <c r="P30" s="307"/>
      <c r="Q30" s="312"/>
      <c r="R30" s="468">
        <f t="shared" si="9"/>
        <v>220000</v>
      </c>
      <c r="S30" s="263"/>
      <c r="T30" s="263"/>
      <c r="U30" s="263"/>
    </row>
    <row r="31" spans="1:21" s="105" customFormat="1" ht="15">
      <c r="A31" s="395" t="s">
        <v>64</v>
      </c>
      <c r="B31" s="384"/>
      <c r="C31" s="530"/>
      <c r="D31" s="691"/>
      <c r="E31" s="691"/>
      <c r="F31" s="384"/>
      <c r="G31" s="384"/>
      <c r="H31" s="530"/>
      <c r="I31" s="384"/>
      <c r="J31" s="736"/>
      <c r="K31" s="553">
        <f t="shared" si="8"/>
        <v>0</v>
      </c>
      <c r="L31" s="311"/>
      <c r="M31" s="312"/>
      <c r="N31" s="311"/>
      <c r="O31" s="310">
        <v>509684</v>
      </c>
      <c r="P31" s="613"/>
      <c r="Q31" s="312"/>
      <c r="R31" s="468">
        <f t="shared" si="9"/>
        <v>509684</v>
      </c>
      <c r="S31" s="263"/>
      <c r="T31" s="263"/>
      <c r="U31" s="263"/>
    </row>
    <row r="32" spans="1:21" s="105" customFormat="1" ht="15">
      <c r="A32" s="395" t="s">
        <v>123</v>
      </c>
      <c r="B32" s="384"/>
      <c r="C32" s="530"/>
      <c r="D32" s="691"/>
      <c r="E32" s="691"/>
      <c r="F32" s="384"/>
      <c r="G32" s="384"/>
      <c r="H32" s="530"/>
      <c r="I32" s="384"/>
      <c r="J32" s="736"/>
      <c r="K32" s="553">
        <f t="shared" si="8"/>
        <v>0</v>
      </c>
      <c r="L32" s="311"/>
      <c r="M32" s="312"/>
      <c r="N32" s="311"/>
      <c r="O32" s="310">
        <v>35000</v>
      </c>
      <c r="P32" s="613"/>
      <c r="Q32" s="312"/>
      <c r="R32" s="468">
        <f t="shared" si="9"/>
        <v>35000</v>
      </c>
      <c r="S32" s="263"/>
      <c r="T32" s="263"/>
      <c r="U32" s="263"/>
    </row>
    <row r="33" spans="1:21" s="105" customFormat="1" ht="15">
      <c r="A33" s="396" t="s">
        <v>86</v>
      </c>
      <c r="B33" s="399"/>
      <c r="C33" s="531"/>
      <c r="D33" s="692"/>
      <c r="E33" s="692"/>
      <c r="F33" s="399"/>
      <c r="G33" s="399"/>
      <c r="H33" s="531"/>
      <c r="I33" s="399"/>
      <c r="J33" s="737"/>
      <c r="K33" s="553">
        <f t="shared" si="8"/>
        <v>0</v>
      </c>
      <c r="L33" s="311"/>
      <c r="M33" s="312"/>
      <c r="N33" s="311"/>
      <c r="O33" s="310">
        <v>2000</v>
      </c>
      <c r="P33" s="613"/>
      <c r="Q33" s="312"/>
      <c r="R33" s="468">
        <f t="shared" si="9"/>
        <v>2000</v>
      </c>
      <c r="S33" s="263"/>
      <c r="T33" s="263"/>
      <c r="U33" s="263"/>
    </row>
    <row r="34" spans="1:21" s="105" customFormat="1" ht="18.75" customHeight="1">
      <c r="A34" s="396" t="s">
        <v>89</v>
      </c>
      <c r="B34" s="399"/>
      <c r="C34" s="531"/>
      <c r="D34" s="692"/>
      <c r="E34" s="692"/>
      <c r="F34" s="399"/>
      <c r="G34" s="399"/>
      <c r="H34" s="531"/>
      <c r="I34" s="399"/>
      <c r="J34" s="737"/>
      <c r="K34" s="553">
        <f t="shared" si="8"/>
        <v>0</v>
      </c>
      <c r="L34" s="311"/>
      <c r="M34" s="312"/>
      <c r="N34" s="311"/>
      <c r="O34" s="500"/>
      <c r="P34" s="613"/>
      <c r="Q34" s="312"/>
      <c r="R34" s="468">
        <f t="shared" si="9"/>
        <v>0</v>
      </c>
      <c r="S34" s="263"/>
      <c r="T34" s="263"/>
      <c r="U34" s="263"/>
    </row>
    <row r="35" spans="1:21" s="105" customFormat="1" ht="18.75" customHeight="1">
      <c r="A35" s="397" t="s">
        <v>93</v>
      </c>
      <c r="B35" s="400"/>
      <c r="C35" s="532">
        <v>29000</v>
      </c>
      <c r="D35" s="693"/>
      <c r="E35" s="693"/>
      <c r="F35" s="400"/>
      <c r="G35" s="400"/>
      <c r="H35" s="532"/>
      <c r="I35" s="400"/>
      <c r="J35" s="738"/>
      <c r="K35" s="553">
        <f t="shared" si="8"/>
        <v>29000</v>
      </c>
      <c r="L35" s="311"/>
      <c r="M35" s="312"/>
      <c r="N35" s="311"/>
      <c r="O35" s="501"/>
      <c r="P35" s="613"/>
      <c r="Q35" s="312"/>
      <c r="R35" s="468">
        <f t="shared" si="9"/>
        <v>29000</v>
      </c>
      <c r="S35" s="263"/>
      <c r="T35" s="263"/>
      <c r="U35" s="263"/>
    </row>
    <row r="36" spans="1:21" s="105" customFormat="1" ht="18.75" customHeight="1">
      <c r="A36" s="397" t="s">
        <v>124</v>
      </c>
      <c r="B36" s="400"/>
      <c r="C36" s="532"/>
      <c r="D36" s="693"/>
      <c r="E36" s="693"/>
      <c r="F36" s="400"/>
      <c r="G36" s="400"/>
      <c r="H36" s="532"/>
      <c r="I36" s="400"/>
      <c r="J36" s="738"/>
      <c r="K36" s="553">
        <f t="shared" si="8"/>
        <v>0</v>
      </c>
      <c r="L36" s="311"/>
      <c r="M36" s="312"/>
      <c r="N36" s="311"/>
      <c r="O36" s="310"/>
      <c r="P36" s="613"/>
      <c r="Q36" s="312"/>
      <c r="R36" s="468">
        <f>SUM(M36:Q36)</f>
        <v>0</v>
      </c>
      <c r="S36" s="263"/>
      <c r="T36" s="263"/>
      <c r="U36" s="263"/>
    </row>
    <row r="37" spans="1:21" s="32" customFormat="1" ht="18.75" customHeight="1" thickBot="1">
      <c r="A37" s="398" t="s">
        <v>65</v>
      </c>
      <c r="B37" s="401"/>
      <c r="C37" s="533"/>
      <c r="D37" s="694"/>
      <c r="E37" s="694"/>
      <c r="F37" s="401"/>
      <c r="G37" s="401"/>
      <c r="H37" s="533"/>
      <c r="I37" s="401"/>
      <c r="J37" s="739"/>
      <c r="K37" s="553">
        <f t="shared" si="8"/>
        <v>0</v>
      </c>
      <c r="L37" s="29"/>
      <c r="M37" s="320">
        <v>10000</v>
      </c>
      <c r="N37" s="29"/>
      <c r="O37" s="29"/>
      <c r="P37" s="614"/>
      <c r="Q37" s="320"/>
      <c r="R37" s="464">
        <f aca="true" t="shared" si="10" ref="R37:R45">SUM(K37:Q37)</f>
        <v>10000</v>
      </c>
      <c r="S37" s="263"/>
      <c r="T37" s="263"/>
      <c r="U37" s="263"/>
    </row>
    <row r="38" spans="1:21" s="32" customFormat="1" ht="18.75" customHeight="1" hidden="1">
      <c r="A38" s="510"/>
      <c r="B38" s="29"/>
      <c r="C38" s="320"/>
      <c r="D38" s="695"/>
      <c r="E38" s="695"/>
      <c r="F38" s="29"/>
      <c r="G38" s="29"/>
      <c r="H38" s="320"/>
      <c r="I38" s="29"/>
      <c r="J38" s="740"/>
      <c r="K38" s="554"/>
      <c r="L38" s="29"/>
      <c r="M38" s="320"/>
      <c r="N38" s="29"/>
      <c r="O38" s="29"/>
      <c r="P38" s="615"/>
      <c r="Q38" s="320"/>
      <c r="R38" s="464">
        <f t="shared" si="10"/>
        <v>0</v>
      </c>
      <c r="S38" s="263"/>
      <c r="T38" s="263"/>
      <c r="U38" s="263"/>
    </row>
    <row r="39" spans="1:21" s="30" customFormat="1" ht="15.75" hidden="1">
      <c r="A39" s="510"/>
      <c r="B39" s="29"/>
      <c r="C39" s="320"/>
      <c r="D39" s="695"/>
      <c r="E39" s="695"/>
      <c r="F39" s="29"/>
      <c r="G39" s="29"/>
      <c r="H39" s="320"/>
      <c r="I39" s="29"/>
      <c r="J39" s="740"/>
      <c r="K39" s="554"/>
      <c r="L39" s="29"/>
      <c r="M39" s="320"/>
      <c r="N39" s="29"/>
      <c r="O39" s="29"/>
      <c r="P39" s="615"/>
      <c r="Q39" s="320"/>
      <c r="R39" s="464">
        <f t="shared" si="10"/>
        <v>0</v>
      </c>
      <c r="S39" s="262"/>
      <c r="T39" s="262"/>
      <c r="U39" s="262"/>
    </row>
    <row r="40" spans="1:21" s="30" customFormat="1" ht="15" customHeight="1" hidden="1">
      <c r="A40" s="510"/>
      <c r="B40" s="29"/>
      <c r="C40" s="320"/>
      <c r="D40" s="695"/>
      <c r="E40" s="695"/>
      <c r="F40" s="29"/>
      <c r="G40" s="29"/>
      <c r="H40" s="320"/>
      <c r="I40" s="29"/>
      <c r="J40" s="740"/>
      <c r="K40" s="554"/>
      <c r="L40" s="29"/>
      <c r="M40" s="320"/>
      <c r="N40" s="29"/>
      <c r="O40" s="29"/>
      <c r="P40" s="615"/>
      <c r="Q40" s="320"/>
      <c r="R40" s="464">
        <f t="shared" si="10"/>
        <v>0</v>
      </c>
      <c r="S40" s="262"/>
      <c r="T40" s="262"/>
      <c r="U40" s="262"/>
    </row>
    <row r="41" spans="1:21" s="30" customFormat="1" ht="15.75" hidden="1">
      <c r="A41" s="510"/>
      <c r="B41" s="29"/>
      <c r="C41" s="320"/>
      <c r="D41" s="695"/>
      <c r="E41" s="695"/>
      <c r="F41" s="29"/>
      <c r="G41" s="29"/>
      <c r="H41" s="320"/>
      <c r="I41" s="29"/>
      <c r="J41" s="740"/>
      <c r="K41" s="554"/>
      <c r="L41" s="29"/>
      <c r="M41" s="320"/>
      <c r="N41" s="29"/>
      <c r="O41" s="29"/>
      <c r="P41" s="615"/>
      <c r="Q41" s="320"/>
      <c r="R41" s="464">
        <f t="shared" si="10"/>
        <v>0</v>
      </c>
      <c r="S41" s="262"/>
      <c r="T41" s="262"/>
      <c r="U41" s="262"/>
    </row>
    <row r="42" spans="1:21" s="30" customFormat="1" ht="15.75" hidden="1">
      <c r="A42" s="511"/>
      <c r="B42" s="321">
        <f aca="true" t="shared" si="11" ref="B42:H42">B43+B44</f>
        <v>0</v>
      </c>
      <c r="C42" s="322">
        <f t="shared" si="11"/>
        <v>0</v>
      </c>
      <c r="D42" s="696">
        <f t="shared" si="11"/>
        <v>0</v>
      </c>
      <c r="E42" s="696">
        <f t="shared" si="11"/>
        <v>0</v>
      </c>
      <c r="F42" s="321">
        <f t="shared" si="11"/>
        <v>0</v>
      </c>
      <c r="G42" s="321">
        <f t="shared" si="11"/>
        <v>0</v>
      </c>
      <c r="H42" s="322">
        <f t="shared" si="11"/>
        <v>0</v>
      </c>
      <c r="I42" s="321"/>
      <c r="J42" s="741"/>
      <c r="K42" s="555">
        <f>SUM(B42:H42)</f>
        <v>0</v>
      </c>
      <c r="L42" s="321"/>
      <c r="M42" s="322"/>
      <c r="N42" s="321">
        <f>N43+N44</f>
        <v>0</v>
      </c>
      <c r="O42" s="321">
        <f>O43+O44</f>
        <v>0</v>
      </c>
      <c r="P42" s="39">
        <f>P43+P44</f>
        <v>0</v>
      </c>
      <c r="Q42" s="322">
        <f>Q43+Q44</f>
        <v>0</v>
      </c>
      <c r="R42" s="469">
        <f t="shared" si="10"/>
        <v>0</v>
      </c>
      <c r="S42" s="262"/>
      <c r="T42" s="262"/>
      <c r="U42" s="262"/>
    </row>
    <row r="43" spans="1:21" s="30" customFormat="1" ht="15.75" hidden="1">
      <c r="A43" s="512"/>
      <c r="B43" s="33"/>
      <c r="C43" s="534"/>
      <c r="D43" s="228"/>
      <c r="E43" s="779"/>
      <c r="F43" s="33"/>
      <c r="G43" s="29"/>
      <c r="H43" s="195"/>
      <c r="I43" s="323"/>
      <c r="J43" s="771"/>
      <c r="K43" s="554"/>
      <c r="L43" s="313"/>
      <c r="M43" s="534"/>
      <c r="N43" s="313"/>
      <c r="O43" s="313"/>
      <c r="P43" s="616"/>
      <c r="Q43" s="534"/>
      <c r="R43" s="470">
        <f t="shared" si="10"/>
        <v>0</v>
      </c>
      <c r="S43" s="262"/>
      <c r="T43" s="262"/>
      <c r="U43" s="262"/>
    </row>
    <row r="44" spans="1:21" s="28" customFormat="1" ht="15" customHeight="1" hidden="1">
      <c r="A44" s="513"/>
      <c r="B44" s="318"/>
      <c r="C44" s="324"/>
      <c r="D44" s="697"/>
      <c r="E44" s="697"/>
      <c r="F44" s="318"/>
      <c r="G44" s="29"/>
      <c r="H44" s="324"/>
      <c r="I44" s="315"/>
      <c r="J44" s="761"/>
      <c r="K44" s="554"/>
      <c r="L44" s="318"/>
      <c r="M44" s="324"/>
      <c r="N44" s="318"/>
      <c r="O44" s="318"/>
      <c r="P44" s="617"/>
      <c r="Q44" s="598"/>
      <c r="R44" s="378">
        <f t="shared" si="10"/>
        <v>0</v>
      </c>
      <c r="S44" s="261"/>
      <c r="T44" s="261"/>
      <c r="U44" s="261"/>
    </row>
    <row r="45" spans="1:21" s="34" customFormat="1" ht="15.75" hidden="1">
      <c r="A45" s="514"/>
      <c r="B45" s="318"/>
      <c r="C45" s="324"/>
      <c r="D45" s="697"/>
      <c r="E45" s="697"/>
      <c r="F45" s="318"/>
      <c r="G45" s="29"/>
      <c r="H45" s="324"/>
      <c r="I45" s="315"/>
      <c r="J45" s="761"/>
      <c r="K45" s="554"/>
      <c r="L45" s="318"/>
      <c r="M45" s="324"/>
      <c r="N45" s="318"/>
      <c r="O45" s="318"/>
      <c r="P45" s="617"/>
      <c r="Q45" s="598"/>
      <c r="R45" s="378">
        <f t="shared" si="10"/>
        <v>0</v>
      </c>
      <c r="S45" s="189"/>
      <c r="T45" s="189"/>
      <c r="U45" s="189"/>
    </row>
    <row r="46" spans="1:21" s="28" customFormat="1" ht="16.5" hidden="1" thickBot="1">
      <c r="A46" s="515"/>
      <c r="B46" s="61"/>
      <c r="C46" s="535"/>
      <c r="D46" s="698"/>
      <c r="E46" s="230"/>
      <c r="F46" s="172"/>
      <c r="G46" s="357"/>
      <c r="H46" s="765"/>
      <c r="I46" s="325"/>
      <c r="J46" s="742"/>
      <c r="K46" s="556"/>
      <c r="L46" s="61"/>
      <c r="M46" s="535"/>
      <c r="N46" s="61"/>
      <c r="O46" s="61"/>
      <c r="P46" s="618"/>
      <c r="Q46" s="599"/>
      <c r="R46" s="471"/>
      <c r="S46" s="261"/>
      <c r="T46" s="261"/>
      <c r="U46" s="261"/>
    </row>
    <row r="47" spans="1:21" s="28" customFormat="1" ht="15.75" thickBot="1">
      <c r="A47" s="643" t="s">
        <v>150</v>
      </c>
      <c r="B47" s="357"/>
      <c r="C47" s="358"/>
      <c r="D47" s="699"/>
      <c r="E47" s="721"/>
      <c r="F47" s="641"/>
      <c r="G47" s="357"/>
      <c r="H47" s="766"/>
      <c r="I47" s="325"/>
      <c r="J47" s="742"/>
      <c r="K47" s="556"/>
      <c r="L47" s="357"/>
      <c r="M47" s="358"/>
      <c r="N47" s="357"/>
      <c r="O47" s="357">
        <v>80000</v>
      </c>
      <c r="P47" s="636"/>
      <c r="Q47" s="611"/>
      <c r="R47" s="642"/>
      <c r="S47" s="261"/>
      <c r="T47" s="261"/>
      <c r="U47" s="261"/>
    </row>
    <row r="48" spans="1:21" s="28" customFormat="1" ht="26.25" customHeight="1" thickBot="1">
      <c r="A48" s="516" t="s">
        <v>17</v>
      </c>
      <c r="B48" s="326">
        <f aca="true" t="shared" si="12" ref="B48:J48">B49+B75+B76</f>
        <v>3301627</v>
      </c>
      <c r="C48" s="327">
        <f t="shared" si="12"/>
        <v>1063074.31</v>
      </c>
      <c r="D48" s="700">
        <f t="shared" si="12"/>
        <v>3541554</v>
      </c>
      <c r="E48" s="700">
        <f t="shared" si="12"/>
        <v>4505506</v>
      </c>
      <c r="F48" s="326">
        <f t="shared" si="12"/>
        <v>1178878</v>
      </c>
      <c r="G48" s="326">
        <f t="shared" si="12"/>
        <v>2437900</v>
      </c>
      <c r="H48" s="327">
        <f t="shared" si="12"/>
        <v>782365.69</v>
      </c>
      <c r="I48" s="326">
        <f t="shared" si="12"/>
        <v>177130</v>
      </c>
      <c r="J48" s="743">
        <f t="shared" si="12"/>
        <v>176019</v>
      </c>
      <c r="K48" s="327">
        <f aca="true" t="shared" si="13" ref="K48:K58">SUM(B48:J48)</f>
        <v>17164054</v>
      </c>
      <c r="L48" s="326">
        <f>L49+L50+L55+L56+L57</f>
        <v>0</v>
      </c>
      <c r="M48" s="327">
        <f>M49+M50+M55+M56+M57</f>
        <v>0</v>
      </c>
      <c r="N48" s="326">
        <f>N49+N50+N55+N56+N57</f>
        <v>53236</v>
      </c>
      <c r="O48" s="326">
        <f>O49+O50+O55+O56+O57</f>
        <v>1090776</v>
      </c>
      <c r="P48" s="326">
        <f>P49+P50+P55+P56+P57</f>
        <v>0</v>
      </c>
      <c r="Q48" s="327">
        <f>Q49</f>
        <v>0</v>
      </c>
      <c r="R48" s="326">
        <f>SUM(K48:Q48)</f>
        <v>18308066</v>
      </c>
      <c r="S48" s="261"/>
      <c r="T48" s="261"/>
      <c r="U48" s="261"/>
    </row>
    <row r="49" spans="1:21" s="28" customFormat="1" ht="27" customHeight="1" thickBot="1">
      <c r="A49" s="495" t="s">
        <v>94</v>
      </c>
      <c r="B49" s="485">
        <f>4560038+4056+B64+42366+2028+300+106+30+11-1400000-492800+1681+2000+704+106+4899</f>
        <v>2761375</v>
      </c>
      <c r="C49" s="486">
        <f>1891180+136+758+300+106+C64-1142104+17758+200+71+1758+170+60+1383-13000+1196.31+422+2300+810+275+2032</f>
        <v>786601.31</v>
      </c>
      <c r="D49" s="701">
        <f>4959016+136+406+D64+46978+300+106+2028+136-2010000+2946-35000+200+71+1400+493+83+5327</f>
        <v>2995626</v>
      </c>
      <c r="E49" s="701">
        <f>5392857+406+68+1352+300+106+E64+47792+300+106+2028+406+300+106+6572-1575195+1400+493+177+5793</f>
        <v>3928937</v>
      </c>
      <c r="F49" s="485">
        <f>1153003+2704+F64+10335+2028+1400+493+1239</f>
        <v>1176202</v>
      </c>
      <c r="G49" s="485">
        <f>2549055+1623+2434+1352+G64+22681+600+212+2028+812+400+141+100+36+3303+300+106+800+282+1400+493-515000+363+2738</f>
        <v>2086259</v>
      </c>
      <c r="H49" s="486">
        <f>718320+55+H64+6571+3.69+2+600+212+772</f>
        <v>738325.69</v>
      </c>
      <c r="I49" s="485">
        <f>366936+I64+3370-227000+394</f>
        <v>145700</v>
      </c>
      <c r="J49" s="744">
        <f>174192+1641+186</f>
        <v>176019</v>
      </c>
      <c r="K49" s="557">
        <f t="shared" si="13"/>
        <v>14795045</v>
      </c>
      <c r="L49" s="496"/>
      <c r="M49" s="573"/>
      <c r="N49" s="485">
        <f>884796+1+508+722-22000+300+106+41-860000</f>
        <v>4474</v>
      </c>
      <c r="O49" s="497">
        <f>1478570-8111-7374-600-212-126000-110000-40000-80000-1400-495-50000-7500-2640-2300-812-1000-353-300-107-300-106+22000-2200-777-10800-3804</f>
        <v>1043379</v>
      </c>
      <c r="P49" s="619">
        <v>0</v>
      </c>
      <c r="Q49" s="600">
        <f>200000-200000</f>
        <v>0</v>
      </c>
      <c r="R49" s="498">
        <f>SUM(K49:Q49)</f>
        <v>15842898</v>
      </c>
      <c r="S49" s="261"/>
      <c r="T49" s="261"/>
      <c r="U49" s="261"/>
    </row>
    <row r="50" spans="1:21" s="28" customFormat="1" ht="14.25">
      <c r="A50" s="432" t="s">
        <v>125</v>
      </c>
      <c r="B50" s="402">
        <v>4051021</v>
      </c>
      <c r="C50" s="408">
        <v>1698010</v>
      </c>
      <c r="D50" s="702">
        <v>4492064</v>
      </c>
      <c r="E50" s="702">
        <v>4569879</v>
      </c>
      <c r="F50" s="402">
        <v>988182</v>
      </c>
      <c r="G50" s="402">
        <v>2168737</v>
      </c>
      <c r="H50" s="408">
        <v>628290</v>
      </c>
      <c r="I50" s="402">
        <v>322221</v>
      </c>
      <c r="J50" s="745">
        <v>156916</v>
      </c>
      <c r="K50" s="408">
        <f t="shared" si="13"/>
        <v>19075320</v>
      </c>
      <c r="L50" s="402"/>
      <c r="M50" s="408"/>
      <c r="N50" s="504">
        <v>48603</v>
      </c>
      <c r="O50" s="402"/>
      <c r="P50" s="402"/>
      <c r="Q50" s="408"/>
      <c r="R50" s="427">
        <f>K50+N50+O50</f>
        <v>19123923</v>
      </c>
      <c r="S50" s="261"/>
      <c r="T50" s="261"/>
      <c r="U50" s="261"/>
    </row>
    <row r="51" spans="1:21" s="28" customFormat="1" ht="14.25">
      <c r="A51" s="433">
        <v>0</v>
      </c>
      <c r="B51" s="403">
        <v>52000</v>
      </c>
      <c r="C51" s="416">
        <v>0</v>
      </c>
      <c r="D51" s="703">
        <v>20000</v>
      </c>
      <c r="E51" s="703">
        <v>80000</v>
      </c>
      <c r="F51" s="403"/>
      <c r="G51" s="403"/>
      <c r="H51" s="416"/>
      <c r="I51" s="403"/>
      <c r="J51" s="746">
        <v>0</v>
      </c>
      <c r="K51" s="409">
        <f t="shared" si="13"/>
        <v>152000</v>
      </c>
      <c r="L51" s="403"/>
      <c r="M51" s="416"/>
      <c r="N51" s="415"/>
      <c r="O51" s="415"/>
      <c r="P51" s="403">
        <v>0</v>
      </c>
      <c r="Q51" s="416"/>
      <c r="R51" s="428">
        <f>SUM(K51:P51)</f>
        <v>152000</v>
      </c>
      <c r="S51" s="261"/>
      <c r="T51" s="261"/>
      <c r="U51" s="261"/>
    </row>
    <row r="52" spans="1:21" s="28" customFormat="1" ht="14.25">
      <c r="A52" s="434" t="s">
        <v>126</v>
      </c>
      <c r="B52" s="404">
        <v>95002</v>
      </c>
      <c r="C52" s="418">
        <v>46506</v>
      </c>
      <c r="D52" s="704">
        <v>166204</v>
      </c>
      <c r="E52" s="704">
        <v>266721</v>
      </c>
      <c r="F52" s="404">
        <v>49304</v>
      </c>
      <c r="G52" s="404">
        <v>144930</v>
      </c>
      <c r="H52" s="418">
        <v>11471</v>
      </c>
      <c r="I52" s="404">
        <v>3625</v>
      </c>
      <c r="J52" s="747">
        <v>15675</v>
      </c>
      <c r="K52" s="410">
        <f t="shared" si="13"/>
        <v>799438</v>
      </c>
      <c r="L52" s="404"/>
      <c r="M52" s="418"/>
      <c r="N52" s="417">
        <v>1631</v>
      </c>
      <c r="O52" s="417"/>
      <c r="P52" s="404"/>
      <c r="Q52" s="418"/>
      <c r="R52" s="429">
        <f>K52+N52</f>
        <v>801069</v>
      </c>
      <c r="S52" s="261"/>
      <c r="T52" s="261"/>
      <c r="U52" s="261"/>
    </row>
    <row r="53" spans="1:21" s="28" customFormat="1" ht="14.25">
      <c r="A53" s="434" t="s">
        <v>127</v>
      </c>
      <c r="B53" s="404">
        <v>10683</v>
      </c>
      <c r="C53" s="418">
        <v>7578</v>
      </c>
      <c r="D53" s="704">
        <v>26443</v>
      </c>
      <c r="E53" s="704">
        <v>34654</v>
      </c>
      <c r="F53" s="404">
        <v>8982</v>
      </c>
      <c r="G53" s="404">
        <v>16240</v>
      </c>
      <c r="H53" s="418">
        <v>3848</v>
      </c>
      <c r="I53" s="404">
        <v>917</v>
      </c>
      <c r="J53" s="747">
        <v>1128</v>
      </c>
      <c r="K53" s="410">
        <f t="shared" si="13"/>
        <v>110473</v>
      </c>
      <c r="L53" s="404"/>
      <c r="M53" s="418"/>
      <c r="N53" s="417">
        <v>262</v>
      </c>
      <c r="O53" s="417"/>
      <c r="P53" s="404"/>
      <c r="Q53" s="418"/>
      <c r="R53" s="429">
        <f>K53+N53</f>
        <v>110735</v>
      </c>
      <c r="S53" s="261"/>
      <c r="T53" s="261"/>
      <c r="U53" s="261"/>
    </row>
    <row r="54" spans="1:21" s="28" customFormat="1" ht="14.25">
      <c r="A54" s="434" t="s">
        <v>128</v>
      </c>
      <c r="B54" s="404">
        <v>148173</v>
      </c>
      <c r="C54" s="418">
        <v>46398</v>
      </c>
      <c r="D54" s="704">
        <v>86808</v>
      </c>
      <c r="E54" s="704">
        <v>157153</v>
      </c>
      <c r="F54" s="404">
        <v>58372</v>
      </c>
      <c r="G54" s="404">
        <v>64358</v>
      </c>
      <c r="H54" s="418">
        <v>34424</v>
      </c>
      <c r="I54" s="404">
        <v>14967</v>
      </c>
      <c r="J54" s="747">
        <v>0</v>
      </c>
      <c r="K54" s="410">
        <f t="shared" si="13"/>
        <v>610653</v>
      </c>
      <c r="L54" s="404"/>
      <c r="M54" s="418"/>
      <c r="N54" s="417"/>
      <c r="O54" s="417"/>
      <c r="P54" s="404"/>
      <c r="Q54" s="418"/>
      <c r="R54" s="429">
        <f>K54</f>
        <v>610653</v>
      </c>
      <c r="S54" s="261"/>
      <c r="T54" s="261"/>
      <c r="U54" s="261"/>
    </row>
    <row r="55" spans="1:21" s="28" customFormat="1" ht="14.25">
      <c r="A55" s="434" t="s">
        <v>129</v>
      </c>
      <c r="B55" s="404">
        <v>66516</v>
      </c>
      <c r="C55" s="418">
        <v>21176</v>
      </c>
      <c r="D55" s="704">
        <v>38539</v>
      </c>
      <c r="E55" s="704">
        <v>71470</v>
      </c>
      <c r="F55" s="404">
        <v>26416</v>
      </c>
      <c r="G55" s="404">
        <v>28481</v>
      </c>
      <c r="H55" s="418">
        <v>15626</v>
      </c>
      <c r="I55" s="404">
        <v>6886</v>
      </c>
      <c r="J55" s="747">
        <v>0</v>
      </c>
      <c r="K55" s="410">
        <f t="shared" si="13"/>
        <v>275110</v>
      </c>
      <c r="L55" s="404"/>
      <c r="M55" s="418"/>
      <c r="N55" s="417">
        <v>159</v>
      </c>
      <c r="O55" s="417"/>
      <c r="P55" s="404"/>
      <c r="Q55" s="418"/>
      <c r="R55" s="429">
        <f>K55</f>
        <v>275110</v>
      </c>
      <c r="S55" s="261"/>
      <c r="T55" s="261"/>
      <c r="U55" s="261"/>
    </row>
    <row r="56" spans="1:21" s="28" customFormat="1" ht="14.25">
      <c r="A56" s="433" t="s">
        <v>72</v>
      </c>
      <c r="B56" s="403">
        <v>60129</v>
      </c>
      <c r="C56" s="416">
        <v>28820</v>
      </c>
      <c r="D56" s="703">
        <v>54555</v>
      </c>
      <c r="E56" s="703">
        <v>95322</v>
      </c>
      <c r="F56" s="403">
        <v>0</v>
      </c>
      <c r="G56" s="403">
        <v>26777</v>
      </c>
      <c r="H56" s="416">
        <v>0</v>
      </c>
      <c r="I56" s="403">
        <v>0</v>
      </c>
      <c r="J56" s="746">
        <v>0</v>
      </c>
      <c r="K56" s="409">
        <f t="shared" si="13"/>
        <v>265603</v>
      </c>
      <c r="L56" s="403"/>
      <c r="M56" s="416"/>
      <c r="N56" s="419"/>
      <c r="O56" s="419">
        <v>39397</v>
      </c>
      <c r="P56" s="403"/>
      <c r="Q56" s="416"/>
      <c r="R56" s="428">
        <f>K56+O56</f>
        <v>305000</v>
      </c>
      <c r="S56" s="261"/>
      <c r="T56" s="261"/>
      <c r="U56" s="261"/>
    </row>
    <row r="57" spans="1:21" s="28" customFormat="1" ht="14.25">
      <c r="A57" s="433" t="s">
        <v>130</v>
      </c>
      <c r="B57" s="403">
        <v>8000</v>
      </c>
      <c r="C57" s="416">
        <v>0</v>
      </c>
      <c r="D57" s="703">
        <v>8000</v>
      </c>
      <c r="E57" s="703">
        <v>40000</v>
      </c>
      <c r="F57" s="403">
        <v>0</v>
      </c>
      <c r="G57" s="403">
        <v>12000</v>
      </c>
      <c r="H57" s="416">
        <v>4000</v>
      </c>
      <c r="I57" s="403">
        <v>4000</v>
      </c>
      <c r="J57" s="772">
        <v>0</v>
      </c>
      <c r="K57" s="411">
        <f t="shared" si="13"/>
        <v>76000</v>
      </c>
      <c r="L57" s="403"/>
      <c r="M57" s="416"/>
      <c r="N57" s="420"/>
      <c r="O57" s="420">
        <v>8000</v>
      </c>
      <c r="P57" s="403"/>
      <c r="Q57" s="416"/>
      <c r="R57" s="428">
        <f>K57+N57+O57</f>
        <v>84000</v>
      </c>
      <c r="S57" s="261"/>
      <c r="T57" s="261"/>
      <c r="U57" s="261"/>
    </row>
    <row r="58" spans="1:21" s="28" customFormat="1" ht="14.25">
      <c r="A58" s="435" t="s">
        <v>84</v>
      </c>
      <c r="B58" s="405">
        <f>12214+42366</f>
        <v>54580</v>
      </c>
      <c r="C58" s="422">
        <f>5119+17758</f>
        <v>22877</v>
      </c>
      <c r="D58" s="705">
        <f>13543+46978</f>
        <v>60521</v>
      </c>
      <c r="E58" s="705">
        <f>13778+47792</f>
        <v>61570</v>
      </c>
      <c r="F58" s="405">
        <f>2979+10335</f>
        <v>13314</v>
      </c>
      <c r="G58" s="405">
        <f>50000+22681</f>
        <v>72681</v>
      </c>
      <c r="H58" s="422">
        <f>1894+6571</f>
        <v>8465</v>
      </c>
      <c r="I58" s="405">
        <v>3370</v>
      </c>
      <c r="J58" s="748">
        <f>473+1641</f>
        <v>2114</v>
      </c>
      <c r="K58" s="412">
        <f t="shared" si="13"/>
        <v>299492</v>
      </c>
      <c r="L58" s="405"/>
      <c r="M58" s="422"/>
      <c r="N58" s="421">
        <v>508</v>
      </c>
      <c r="O58" s="421"/>
      <c r="P58" s="405"/>
      <c r="Q58" s="422">
        <f>200000-200000</f>
        <v>0</v>
      </c>
      <c r="R58" s="428">
        <f>K58+Q58</f>
        <v>299492</v>
      </c>
      <c r="S58" s="261"/>
      <c r="T58" s="261"/>
      <c r="U58" s="261"/>
    </row>
    <row r="59" spans="1:21" s="28" customFormat="1" ht="15" thickBot="1">
      <c r="A59" s="436" t="s">
        <v>131</v>
      </c>
      <c r="B59" s="406"/>
      <c r="C59" s="424"/>
      <c r="D59" s="706"/>
      <c r="E59" s="706"/>
      <c r="F59" s="406"/>
      <c r="G59" s="406"/>
      <c r="H59" s="424"/>
      <c r="I59" s="406"/>
      <c r="J59" s="749"/>
      <c r="K59" s="413"/>
      <c r="L59" s="406"/>
      <c r="M59" s="424"/>
      <c r="N59" s="423"/>
      <c r="O59" s="423">
        <v>90000</v>
      </c>
      <c r="P59" s="406"/>
      <c r="Q59" s="424"/>
      <c r="R59" s="430">
        <f>K59+O59</f>
        <v>90000</v>
      </c>
      <c r="S59" s="261"/>
      <c r="T59" s="261"/>
      <c r="U59" s="261"/>
    </row>
    <row r="60" spans="1:21" s="28" customFormat="1" ht="14.25">
      <c r="A60" s="437" t="s">
        <v>132</v>
      </c>
      <c r="B60" s="407">
        <v>56300</v>
      </c>
      <c r="C60" s="426">
        <v>37573</v>
      </c>
      <c r="D60" s="707">
        <v>52860</v>
      </c>
      <c r="E60" s="707">
        <v>63880</v>
      </c>
      <c r="F60" s="407">
        <v>18768</v>
      </c>
      <c r="G60" s="407">
        <v>37532</v>
      </c>
      <c r="H60" s="426">
        <v>18767</v>
      </c>
      <c r="I60" s="407">
        <v>14320</v>
      </c>
      <c r="J60" s="750">
        <v>0</v>
      </c>
      <c r="K60" s="414">
        <f>SUM(B60:J60)</f>
        <v>300000</v>
      </c>
      <c r="L60" s="407"/>
      <c r="M60" s="426"/>
      <c r="N60" s="425"/>
      <c r="O60" s="425"/>
      <c r="P60" s="407"/>
      <c r="Q60" s="426"/>
      <c r="R60" s="431">
        <f>K60</f>
        <v>300000</v>
      </c>
      <c r="S60" s="261"/>
      <c r="T60" s="261"/>
      <c r="U60" s="261"/>
    </row>
    <row r="61" spans="1:21" s="28" customFormat="1" ht="15">
      <c r="A61" s="640" t="s">
        <v>151</v>
      </c>
      <c r="B61" s="307">
        <v>4056</v>
      </c>
      <c r="C61" s="329"/>
      <c r="D61" s="708"/>
      <c r="E61" s="708">
        <v>1352</v>
      </c>
      <c r="F61" s="307">
        <v>2704</v>
      </c>
      <c r="G61" s="307"/>
      <c r="H61" s="329"/>
      <c r="I61" s="307"/>
      <c r="J61" s="751"/>
      <c r="K61" s="558">
        <f aca="true" t="shared" si="14" ref="K61:K73">B61+C61+D61+E61+F61+G61+H61+I61+J61</f>
        <v>8112</v>
      </c>
      <c r="L61" s="29"/>
      <c r="M61" s="320"/>
      <c r="N61" s="29"/>
      <c r="O61" s="304">
        <f>20000-8112</f>
        <v>11888</v>
      </c>
      <c r="P61" s="620"/>
      <c r="Q61" s="320"/>
      <c r="R61" s="378">
        <f aca="true" t="shared" si="15" ref="R61:R77">SUM(K61:Q61)</f>
        <v>20000</v>
      </c>
      <c r="S61" s="261"/>
      <c r="T61" s="261"/>
      <c r="U61" s="261"/>
    </row>
    <row r="62" spans="1:21" s="28" customFormat="1" ht="15.75">
      <c r="A62" s="221" t="s">
        <v>90</v>
      </c>
      <c r="B62" s="304"/>
      <c r="C62" s="305"/>
      <c r="D62" s="684"/>
      <c r="E62" s="684"/>
      <c r="F62" s="304"/>
      <c r="G62" s="304"/>
      <c r="H62" s="305"/>
      <c r="I62" s="304"/>
      <c r="J62" s="730"/>
      <c r="K62" s="558">
        <f t="shared" si="14"/>
        <v>0</v>
      </c>
      <c r="L62" s="29"/>
      <c r="M62" s="320"/>
      <c r="N62" s="29"/>
      <c r="O62" s="304">
        <v>220000</v>
      </c>
      <c r="P62" s="614"/>
      <c r="Q62" s="320"/>
      <c r="R62" s="378">
        <f t="shared" si="15"/>
        <v>220000</v>
      </c>
      <c r="S62" s="261"/>
      <c r="T62" s="261"/>
      <c r="U62" s="261"/>
    </row>
    <row r="63" spans="1:21" s="28" customFormat="1" ht="15">
      <c r="A63" s="438" t="s">
        <v>133</v>
      </c>
      <c r="B63" s="304"/>
      <c r="C63" s="305"/>
      <c r="D63" s="684"/>
      <c r="E63" s="684"/>
      <c r="F63" s="304"/>
      <c r="G63" s="304"/>
      <c r="H63" s="305"/>
      <c r="I63" s="304"/>
      <c r="J63" s="730"/>
      <c r="K63" s="558">
        <f t="shared" si="14"/>
        <v>0</v>
      </c>
      <c r="L63" s="29"/>
      <c r="M63" s="320"/>
      <c r="N63" s="29"/>
      <c r="O63" s="304">
        <v>130000</v>
      </c>
      <c r="P63" s="614"/>
      <c r="Q63" s="320"/>
      <c r="R63" s="378">
        <f t="shared" si="15"/>
        <v>130000</v>
      </c>
      <c r="S63" s="261"/>
      <c r="T63" s="261"/>
      <c r="U63" s="261"/>
    </row>
    <row r="64" spans="1:21" s="28" customFormat="1" ht="15">
      <c r="A64" s="438" t="s">
        <v>134</v>
      </c>
      <c r="B64" s="304">
        <f>28850+7000</f>
        <v>35850</v>
      </c>
      <c r="C64" s="305">
        <f>6790+14000</f>
        <v>20790</v>
      </c>
      <c r="D64" s="684">
        <f>14000+7000</f>
        <v>21000</v>
      </c>
      <c r="E64" s="684">
        <f>31570+12000</f>
        <v>43570</v>
      </c>
      <c r="F64" s="304">
        <v>5000</v>
      </c>
      <c r="G64" s="304">
        <v>10000</v>
      </c>
      <c r="H64" s="305">
        <v>11790</v>
      </c>
      <c r="I64" s="304">
        <v>2000</v>
      </c>
      <c r="J64" s="730"/>
      <c r="K64" s="558">
        <f t="shared" si="14"/>
        <v>150000</v>
      </c>
      <c r="L64" s="29"/>
      <c r="M64" s="320"/>
      <c r="N64" s="29"/>
      <c r="O64" s="304">
        <f>150000-110000-40000</f>
        <v>0</v>
      </c>
      <c r="P64" s="614"/>
      <c r="Q64" s="320"/>
      <c r="R64" s="378">
        <f t="shared" si="15"/>
        <v>150000</v>
      </c>
      <c r="S64" s="261"/>
      <c r="T64" s="261"/>
      <c r="U64" s="261"/>
    </row>
    <row r="65" spans="1:21" s="30" customFormat="1" ht="15">
      <c r="A65" s="438" t="s">
        <v>135</v>
      </c>
      <c r="B65" s="304"/>
      <c r="C65" s="305"/>
      <c r="D65" s="684"/>
      <c r="E65" s="684"/>
      <c r="F65" s="304"/>
      <c r="G65" s="304"/>
      <c r="H65" s="305"/>
      <c r="I65" s="304"/>
      <c r="J65" s="730"/>
      <c r="K65" s="558">
        <f t="shared" si="14"/>
        <v>0</v>
      </c>
      <c r="L65" s="29"/>
      <c r="M65" s="320"/>
      <c r="N65" s="29"/>
      <c r="O65" s="304">
        <v>8000</v>
      </c>
      <c r="P65" s="621"/>
      <c r="Q65" s="320"/>
      <c r="R65" s="378">
        <f t="shared" si="15"/>
        <v>8000</v>
      </c>
      <c r="S65" s="262"/>
      <c r="T65" s="262"/>
      <c r="U65" s="262"/>
    </row>
    <row r="66" spans="1:21" s="28" customFormat="1" ht="15">
      <c r="A66" s="438" t="s">
        <v>136</v>
      </c>
      <c r="B66" s="304"/>
      <c r="C66" s="305"/>
      <c r="D66" s="684"/>
      <c r="E66" s="684"/>
      <c r="F66" s="304"/>
      <c r="G66" s="304"/>
      <c r="H66" s="305"/>
      <c r="I66" s="304"/>
      <c r="J66" s="730"/>
      <c r="K66" s="558">
        <f t="shared" si="14"/>
        <v>0</v>
      </c>
      <c r="L66" s="29"/>
      <c r="M66" s="320"/>
      <c r="N66" s="29"/>
      <c r="O66" s="304">
        <f>126000-126000</f>
        <v>0</v>
      </c>
      <c r="P66" s="614"/>
      <c r="Q66" s="320"/>
      <c r="R66" s="378">
        <f t="shared" si="15"/>
        <v>0</v>
      </c>
      <c r="S66" s="261"/>
      <c r="T66" s="261"/>
      <c r="U66" s="261"/>
    </row>
    <row r="67" spans="1:21" s="28" customFormat="1" ht="15">
      <c r="A67" s="438" t="s">
        <v>18</v>
      </c>
      <c r="B67" s="304"/>
      <c r="C67" s="305"/>
      <c r="D67" s="684"/>
      <c r="E67" s="684"/>
      <c r="F67" s="304"/>
      <c r="G67" s="304"/>
      <c r="H67" s="305"/>
      <c r="I67" s="304"/>
      <c r="J67" s="730"/>
      <c r="K67" s="558">
        <f t="shared" si="14"/>
        <v>0</v>
      </c>
      <c r="L67" s="29"/>
      <c r="M67" s="320"/>
      <c r="N67" s="29"/>
      <c r="O67" s="304">
        <f>50000-50000</f>
        <v>0</v>
      </c>
      <c r="P67" s="614"/>
      <c r="Q67" s="320"/>
      <c r="R67" s="378">
        <f t="shared" si="15"/>
        <v>0</v>
      </c>
      <c r="S67" s="261"/>
      <c r="T67" s="261"/>
      <c r="U67" s="261"/>
    </row>
    <row r="68" spans="1:21" s="30" customFormat="1" ht="15">
      <c r="A68" s="438" t="s">
        <v>82</v>
      </c>
      <c r="B68" s="304"/>
      <c r="C68" s="305"/>
      <c r="D68" s="684"/>
      <c r="E68" s="684"/>
      <c r="F68" s="304"/>
      <c r="G68" s="304"/>
      <c r="H68" s="305"/>
      <c r="I68" s="304"/>
      <c r="J68" s="730"/>
      <c r="K68" s="558">
        <f t="shared" si="14"/>
        <v>0</v>
      </c>
      <c r="L68" s="29"/>
      <c r="M68" s="320"/>
      <c r="N68" s="29"/>
      <c r="O68" s="304">
        <v>10000</v>
      </c>
      <c r="P68" s="621"/>
      <c r="Q68" s="320"/>
      <c r="R68" s="378">
        <f t="shared" si="15"/>
        <v>10000</v>
      </c>
      <c r="S68" s="262"/>
      <c r="T68" s="262"/>
      <c r="U68" s="262"/>
    </row>
    <row r="69" spans="1:21" s="28" customFormat="1" ht="15.75">
      <c r="A69" s="221" t="s">
        <v>71</v>
      </c>
      <c r="B69" s="304">
        <f>300+106+30+11</f>
        <v>447</v>
      </c>
      <c r="C69" s="305">
        <f>136+758+300+106+200+71+1300+458+170+60+1196.31+422</f>
        <v>5177.3099999999995</v>
      </c>
      <c r="D69" s="684">
        <f>136+406+300+106+100+36+200+71</f>
        <v>1355</v>
      </c>
      <c r="E69" s="684">
        <f>406+68+300+106+300+106+300+106+300+106</f>
        <v>2098</v>
      </c>
      <c r="F69" s="304"/>
      <c r="G69" s="304">
        <f>1623+2434+1352+600+212+600+212+400+141+100+36+300+106+800+282</f>
        <v>9198</v>
      </c>
      <c r="H69" s="305">
        <f>55+3.69+2</f>
        <v>60.69</v>
      </c>
      <c r="I69" s="304"/>
      <c r="J69" s="730"/>
      <c r="K69" s="558">
        <f t="shared" si="14"/>
        <v>18335.999999999996</v>
      </c>
      <c r="L69" s="29"/>
      <c r="M69" s="320"/>
      <c r="N69" s="29">
        <v>-22000</v>
      </c>
      <c r="O69" s="502">
        <f>70000-2165-2638-2571-600-212-1400-495-1000-353-300-107-300-106+22000-2200-777</f>
        <v>76776</v>
      </c>
      <c r="P69" s="29"/>
      <c r="Q69" s="320"/>
      <c r="R69" s="378">
        <f t="shared" si="15"/>
        <v>73112</v>
      </c>
      <c r="S69" s="261"/>
      <c r="T69" s="261"/>
      <c r="U69" s="261"/>
    </row>
    <row r="70" spans="1:21" s="28" customFormat="1" ht="15">
      <c r="A70" s="394" t="s">
        <v>137</v>
      </c>
      <c r="B70" s="304"/>
      <c r="C70" s="305"/>
      <c r="D70" s="684"/>
      <c r="E70" s="684"/>
      <c r="F70" s="304"/>
      <c r="G70" s="304"/>
      <c r="H70" s="305"/>
      <c r="I70" s="304"/>
      <c r="J70" s="730"/>
      <c r="K70" s="558">
        <f t="shared" si="14"/>
        <v>0</v>
      </c>
      <c r="L70" s="29"/>
      <c r="M70" s="320"/>
      <c r="N70" s="29"/>
      <c r="O70" s="330">
        <v>247174</v>
      </c>
      <c r="P70" s="29"/>
      <c r="Q70" s="320"/>
      <c r="R70" s="378">
        <f t="shared" si="15"/>
        <v>247174</v>
      </c>
      <c r="S70" s="261"/>
      <c r="T70" s="261"/>
      <c r="U70" s="261"/>
    </row>
    <row r="71" spans="1:21" s="28" customFormat="1" ht="15">
      <c r="A71" s="394" t="s">
        <v>138</v>
      </c>
      <c r="B71" s="304"/>
      <c r="C71" s="305"/>
      <c r="D71" s="684"/>
      <c r="E71" s="684"/>
      <c r="F71" s="304"/>
      <c r="G71" s="304"/>
      <c r="H71" s="305"/>
      <c r="I71" s="304"/>
      <c r="J71" s="730"/>
      <c r="K71" s="558">
        <f t="shared" si="14"/>
        <v>0</v>
      </c>
      <c r="L71" s="29"/>
      <c r="M71" s="320"/>
      <c r="N71" s="29"/>
      <c r="O71" s="330">
        <v>105000</v>
      </c>
      <c r="P71" s="29"/>
      <c r="Q71" s="320"/>
      <c r="R71" s="378">
        <f t="shared" si="15"/>
        <v>105000</v>
      </c>
      <c r="S71" s="261"/>
      <c r="T71" s="261"/>
      <c r="U71" s="261"/>
    </row>
    <row r="72" spans="1:21" s="28" customFormat="1" ht="15">
      <c r="A72" s="439" t="s">
        <v>139</v>
      </c>
      <c r="B72" s="304"/>
      <c r="C72" s="305"/>
      <c r="D72" s="684"/>
      <c r="E72" s="684"/>
      <c r="F72" s="304"/>
      <c r="G72" s="304"/>
      <c r="H72" s="305"/>
      <c r="I72" s="304"/>
      <c r="J72" s="730"/>
      <c r="K72" s="558">
        <f t="shared" si="14"/>
        <v>0</v>
      </c>
      <c r="L72" s="29"/>
      <c r="M72" s="320"/>
      <c r="N72" s="29"/>
      <c r="O72" s="330">
        <v>100000</v>
      </c>
      <c r="P72" s="29"/>
      <c r="Q72" s="320"/>
      <c r="R72" s="378">
        <f t="shared" si="15"/>
        <v>100000</v>
      </c>
      <c r="S72" s="261"/>
      <c r="T72" s="261"/>
      <c r="U72" s="261"/>
    </row>
    <row r="73" spans="1:21" s="28" customFormat="1" ht="15">
      <c r="A73" s="438" t="s">
        <v>86</v>
      </c>
      <c r="B73" s="399">
        <f>1500+528+2000+704</f>
        <v>4732</v>
      </c>
      <c r="C73" s="531">
        <f>2300+810</f>
        <v>3110</v>
      </c>
      <c r="D73" s="692">
        <f>1500+528+1400+493</f>
        <v>3921</v>
      </c>
      <c r="E73" s="692">
        <f>1500+528+1400+493</f>
        <v>3921</v>
      </c>
      <c r="F73" s="399">
        <f>1500+528+1400+493</f>
        <v>3921</v>
      </c>
      <c r="G73" s="399">
        <f>1500+528+1400+493</f>
        <v>3921</v>
      </c>
      <c r="H73" s="305">
        <f>600+212</f>
        <v>812</v>
      </c>
      <c r="I73" s="304"/>
      <c r="J73" s="730"/>
      <c r="K73" s="558">
        <f t="shared" si="14"/>
        <v>24338</v>
      </c>
      <c r="L73" s="29"/>
      <c r="M73" s="320"/>
      <c r="N73" s="29">
        <f>300+106</f>
        <v>406</v>
      </c>
      <c r="O73" s="330">
        <f>25000-7500-2640-10800-3804</f>
        <v>256</v>
      </c>
      <c r="P73" s="29"/>
      <c r="Q73" s="320"/>
      <c r="R73" s="378">
        <f t="shared" si="15"/>
        <v>25000</v>
      </c>
      <c r="S73" s="261"/>
      <c r="T73" s="261"/>
      <c r="U73" s="261"/>
    </row>
    <row r="74" spans="1:21" s="28" customFormat="1" ht="15">
      <c r="A74" s="440" t="s">
        <v>150</v>
      </c>
      <c r="B74" s="331"/>
      <c r="C74" s="332"/>
      <c r="D74" s="709"/>
      <c r="E74" s="709"/>
      <c r="F74" s="331"/>
      <c r="G74" s="331"/>
      <c r="H74" s="332"/>
      <c r="I74" s="331"/>
      <c r="J74" s="752"/>
      <c r="K74" s="558"/>
      <c r="L74" s="29"/>
      <c r="M74" s="320"/>
      <c r="N74" s="29"/>
      <c r="O74" s="330">
        <f>80000-80000</f>
        <v>0</v>
      </c>
      <c r="P74" s="29"/>
      <c r="Q74" s="320"/>
      <c r="R74" s="378">
        <f t="shared" si="15"/>
        <v>0</v>
      </c>
      <c r="S74" s="261"/>
      <c r="T74" s="261"/>
      <c r="U74" s="261"/>
    </row>
    <row r="75" spans="1:21" s="28" customFormat="1" ht="18.75">
      <c r="A75" s="222" t="s">
        <v>53</v>
      </c>
      <c r="B75" s="333">
        <f>492068+6405+3500</f>
        <v>501973</v>
      </c>
      <c r="C75" s="536">
        <v>87650</v>
      </c>
      <c r="D75" s="710">
        <v>464087</v>
      </c>
      <c r="E75" s="710">
        <v>560985</v>
      </c>
      <c r="F75" s="335">
        <v>0</v>
      </c>
      <c r="G75" s="335">
        <v>237849</v>
      </c>
      <c r="H75" s="334">
        <v>44040</v>
      </c>
      <c r="I75" s="336">
        <v>15455</v>
      </c>
      <c r="J75" s="773"/>
      <c r="K75" s="558">
        <f>B75+C75+D75+E75+F75+G75+H75+I75+J75</f>
        <v>1912039</v>
      </c>
      <c r="L75" s="335"/>
      <c r="M75" s="334"/>
      <c r="N75" s="335"/>
      <c r="O75" s="335"/>
      <c r="P75" s="622"/>
      <c r="Q75" s="601"/>
      <c r="R75" s="378">
        <f t="shared" si="15"/>
        <v>1912039</v>
      </c>
      <c r="S75" s="261"/>
      <c r="T75" s="261"/>
      <c r="U75" s="261"/>
    </row>
    <row r="76" spans="1:21" s="28" customFormat="1" ht="19.5" thickBot="1">
      <c r="A76" s="223" t="s">
        <v>54</v>
      </c>
      <c r="B76" s="333">
        <v>38279</v>
      </c>
      <c r="C76" s="536">
        <v>188823</v>
      </c>
      <c r="D76" s="710">
        <v>81841</v>
      </c>
      <c r="E76" s="710">
        <v>15584</v>
      </c>
      <c r="F76" s="335">
        <v>2676</v>
      </c>
      <c r="G76" s="335">
        <v>113792</v>
      </c>
      <c r="H76" s="334">
        <v>0</v>
      </c>
      <c r="I76" s="336">
        <v>15975</v>
      </c>
      <c r="J76" s="773"/>
      <c r="K76" s="558">
        <f>B76+C76+D76+E76+F76+G76+H76+I76+J76</f>
        <v>456970</v>
      </c>
      <c r="L76" s="337"/>
      <c r="M76" s="574"/>
      <c r="N76" s="337"/>
      <c r="O76" s="337"/>
      <c r="P76" s="623"/>
      <c r="Q76" s="602"/>
      <c r="R76" s="378">
        <f t="shared" si="15"/>
        <v>456970</v>
      </c>
      <c r="S76" s="261"/>
      <c r="T76" s="261"/>
      <c r="U76" s="261"/>
    </row>
    <row r="77" spans="1:21" s="35" customFormat="1" ht="21" customHeight="1" thickBot="1">
      <c r="A77" s="517" t="s">
        <v>19</v>
      </c>
      <c r="B77" s="326"/>
      <c r="C77" s="327"/>
      <c r="D77" s="700"/>
      <c r="E77" s="700"/>
      <c r="F77" s="326"/>
      <c r="G77" s="326"/>
      <c r="H77" s="327"/>
      <c r="I77" s="326"/>
      <c r="J77" s="743"/>
      <c r="K77" s="559">
        <f>SUM(B77:I77)</f>
        <v>0</v>
      </c>
      <c r="L77" s="326"/>
      <c r="M77" s="327"/>
      <c r="N77" s="327">
        <f>82949+149045</f>
        <v>231994</v>
      </c>
      <c r="O77" s="326"/>
      <c r="P77" s="624"/>
      <c r="Q77" s="327"/>
      <c r="R77" s="341">
        <f t="shared" si="15"/>
        <v>231994</v>
      </c>
      <c r="S77" s="108"/>
      <c r="T77" s="108"/>
      <c r="U77" s="108"/>
    </row>
    <row r="78" spans="1:21" s="36" customFormat="1" ht="16.5" thickBot="1">
      <c r="A78" s="518"/>
      <c r="B78" s="338"/>
      <c r="C78" s="339"/>
      <c r="D78" s="711"/>
      <c r="E78" s="711"/>
      <c r="F78" s="338"/>
      <c r="G78" s="338"/>
      <c r="H78" s="339"/>
      <c r="I78" s="340"/>
      <c r="J78" s="774"/>
      <c r="K78" s="560"/>
      <c r="L78" s="338"/>
      <c r="M78" s="339"/>
      <c r="N78" s="338"/>
      <c r="O78" s="338"/>
      <c r="P78" s="625"/>
      <c r="Q78" s="603"/>
      <c r="R78" s="472">
        <f>SUM(K78:P78)</f>
        <v>0</v>
      </c>
      <c r="S78" s="190"/>
      <c r="T78" s="190"/>
      <c r="U78" s="190"/>
    </row>
    <row r="79" spans="1:21" ht="23.25" customHeight="1" thickBot="1">
      <c r="A79" s="517" t="s">
        <v>59</v>
      </c>
      <c r="B79" s="341">
        <f>B80+B81+B82+B83+B91</f>
        <v>484686</v>
      </c>
      <c r="C79" s="342">
        <f>C80+C81+C82+C92</f>
        <v>228476</v>
      </c>
      <c r="D79" s="712">
        <f>D80+D81+D82+D83+D91</f>
        <v>540796</v>
      </c>
      <c r="E79" s="712">
        <f>E80+E81+E82+E83+E91</f>
        <v>498419</v>
      </c>
      <c r="F79" s="341">
        <f>F80+F81+F82+F83+F91</f>
        <v>106217</v>
      </c>
      <c r="G79" s="341">
        <f>G80+G81+G82+G83</f>
        <v>1615887</v>
      </c>
      <c r="H79" s="342">
        <f>H80+H81+H82+H83+H91</f>
        <v>339641</v>
      </c>
      <c r="I79" s="341">
        <f>I80+I81+I82+I83+I91</f>
        <v>10266</v>
      </c>
      <c r="J79" s="753">
        <f>J80+J81+J82+J83+J91</f>
        <v>0</v>
      </c>
      <c r="K79" s="561">
        <f>SUM(B79:I79)</f>
        <v>3824388</v>
      </c>
      <c r="L79" s="341">
        <f>L84</f>
        <v>4967221</v>
      </c>
      <c r="M79" s="342">
        <f>M80+M81+M82+M83+M91</f>
        <v>58830</v>
      </c>
      <c r="N79" s="341">
        <f>N80+N81+N82+N83+N91</f>
        <v>13933</v>
      </c>
      <c r="O79" s="341">
        <f>O80+O81+O82+O83+O91</f>
        <v>14372</v>
      </c>
      <c r="P79" s="341">
        <v>0</v>
      </c>
      <c r="Q79" s="342">
        <f>Q80+Q81+Q82+Q84+Q91</f>
        <v>0</v>
      </c>
      <c r="R79" s="341">
        <f aca="true" t="shared" si="16" ref="R79:R92">SUM(K79:Q79)</f>
        <v>8878744</v>
      </c>
      <c r="S79" s="41"/>
      <c r="T79" s="41"/>
      <c r="U79" s="41"/>
    </row>
    <row r="80" spans="1:21" s="36" customFormat="1" ht="15.75">
      <c r="A80" s="519" t="s">
        <v>20</v>
      </c>
      <c r="B80" s="441">
        <f>148475-84009</f>
        <v>64466</v>
      </c>
      <c r="C80" s="537">
        <f>26020-7098</f>
        <v>18922</v>
      </c>
      <c r="D80" s="713">
        <f>97683-54217</f>
        <v>43466</v>
      </c>
      <c r="E80" s="713">
        <f>94681+85813</f>
        <v>180494</v>
      </c>
      <c r="F80" s="441">
        <f>65873-1590</f>
        <v>64283</v>
      </c>
      <c r="G80" s="441">
        <f>45925+19732</f>
        <v>65657</v>
      </c>
      <c r="H80" s="537">
        <f>68309-8631</f>
        <v>59678</v>
      </c>
      <c r="I80" s="441">
        <f>3804</f>
        <v>3804</v>
      </c>
      <c r="J80" s="775">
        <v>0</v>
      </c>
      <c r="K80" s="562">
        <f>SUM(B80:I80)</f>
        <v>500770</v>
      </c>
      <c r="L80" s="343"/>
      <c r="M80" s="575"/>
      <c r="N80" s="343"/>
      <c r="O80" s="344"/>
      <c r="P80" s="626"/>
      <c r="Q80" s="604">
        <v>0</v>
      </c>
      <c r="R80" s="473">
        <f t="shared" si="16"/>
        <v>500770</v>
      </c>
      <c r="S80" s="190"/>
      <c r="T80" s="190"/>
      <c r="U80" s="190"/>
    </row>
    <row r="81" spans="1:21" s="37" customFormat="1" ht="31.5">
      <c r="A81" s="520" t="s">
        <v>91</v>
      </c>
      <c r="B81" s="399">
        <v>322052</v>
      </c>
      <c r="C81" s="531">
        <v>144380</v>
      </c>
      <c r="D81" s="692">
        <v>387957</v>
      </c>
      <c r="E81" s="692">
        <v>250372</v>
      </c>
      <c r="F81" s="399">
        <v>0</v>
      </c>
      <c r="G81" s="399">
        <f>296743-860</f>
        <v>295883</v>
      </c>
      <c r="H81" s="531">
        <v>220476</v>
      </c>
      <c r="I81" s="399">
        <v>0</v>
      </c>
      <c r="J81" s="775">
        <v>0</v>
      </c>
      <c r="K81" s="563">
        <f>SUM(B81:I81)</f>
        <v>1621120</v>
      </c>
      <c r="L81" s="345"/>
      <c r="M81" s="576"/>
      <c r="N81" s="345"/>
      <c r="O81" s="346"/>
      <c r="P81" s="627"/>
      <c r="Q81" s="349"/>
      <c r="R81" s="474">
        <f t="shared" si="16"/>
        <v>1621120</v>
      </c>
      <c r="S81" s="264"/>
      <c r="T81" s="264"/>
      <c r="U81" s="264"/>
    </row>
    <row r="82" spans="1:21" s="37" customFormat="1" ht="16.5" thickBot="1">
      <c r="A82" s="520" t="s">
        <v>73</v>
      </c>
      <c r="B82" s="400">
        <v>98168</v>
      </c>
      <c r="C82" s="532">
        <v>38955</v>
      </c>
      <c r="D82" s="693">
        <v>104675</v>
      </c>
      <c r="E82" s="693">
        <v>67553</v>
      </c>
      <c r="F82" s="400">
        <v>41934</v>
      </c>
      <c r="G82" s="400">
        <v>85794</v>
      </c>
      <c r="H82" s="532">
        <v>59487</v>
      </c>
      <c r="I82" s="400">
        <v>6462</v>
      </c>
      <c r="J82" s="775">
        <v>0</v>
      </c>
      <c r="K82" s="563">
        <f>SUM(B82:I82)</f>
        <v>503028</v>
      </c>
      <c r="L82" s="347"/>
      <c r="M82" s="577"/>
      <c r="N82" s="347"/>
      <c r="O82" s="347">
        <v>14372</v>
      </c>
      <c r="P82" s="628"/>
      <c r="Q82" s="605"/>
      <c r="R82" s="474">
        <f t="shared" si="16"/>
        <v>517400</v>
      </c>
      <c r="S82" s="264"/>
      <c r="T82" s="264"/>
      <c r="U82" s="264"/>
    </row>
    <row r="83" spans="1:21" s="121" customFormat="1" ht="19.5" customHeight="1" thickBot="1">
      <c r="A83" s="442" t="s">
        <v>140</v>
      </c>
      <c r="B83" s="538">
        <f>B84+B92</f>
        <v>0</v>
      </c>
      <c r="C83" s="538">
        <f>C84+C92</f>
        <v>26219</v>
      </c>
      <c r="D83" s="538">
        <f>D84+D92</f>
        <v>4698</v>
      </c>
      <c r="E83" s="780">
        <f aca="true" t="shared" si="17" ref="E83:J83">E84+E92</f>
        <v>0</v>
      </c>
      <c r="F83" s="448">
        <f t="shared" si="17"/>
        <v>0</v>
      </c>
      <c r="G83" s="448">
        <f t="shared" si="17"/>
        <v>1168553</v>
      </c>
      <c r="H83" s="538">
        <f t="shared" si="17"/>
        <v>0</v>
      </c>
      <c r="I83" s="448">
        <f t="shared" si="17"/>
        <v>0</v>
      </c>
      <c r="J83" s="538">
        <f t="shared" si="17"/>
        <v>0</v>
      </c>
      <c r="K83" s="538">
        <f>SUM(B83:J83)</f>
        <v>1199470</v>
      </c>
      <c r="L83" s="448">
        <f>L84</f>
        <v>4967221</v>
      </c>
      <c r="M83" s="538">
        <f>M84+M92</f>
        <v>58830</v>
      </c>
      <c r="N83" s="538">
        <f>N84+N92</f>
        <v>13933</v>
      </c>
      <c r="O83" s="448">
        <f>O84+O92</f>
        <v>0</v>
      </c>
      <c r="P83" s="448"/>
      <c r="Q83" s="538"/>
      <c r="R83" s="454">
        <f t="shared" si="16"/>
        <v>6239454</v>
      </c>
      <c r="S83" s="176"/>
      <c r="T83" s="176"/>
      <c r="U83" s="176"/>
    </row>
    <row r="84" spans="1:21" s="28" customFormat="1" ht="18.75" customHeight="1" thickBot="1">
      <c r="A84" s="455" t="s">
        <v>141</v>
      </c>
      <c r="B84" s="449"/>
      <c r="C84" s="539"/>
      <c r="D84" s="714"/>
      <c r="E84" s="714"/>
      <c r="F84" s="449"/>
      <c r="G84" s="449">
        <f>G85+G86+G87+G88+G89+G90+G91</f>
        <v>1157979</v>
      </c>
      <c r="H84" s="539"/>
      <c r="I84" s="449"/>
      <c r="J84" s="754">
        <v>0</v>
      </c>
      <c r="K84" s="539">
        <f>K85+K86+K87+K88+K89+K90+K91</f>
        <v>1157979</v>
      </c>
      <c r="L84" s="449">
        <f>L85+L86+L87+L88+L89+L90+L91</f>
        <v>4967221</v>
      </c>
      <c r="M84" s="578">
        <f>M85+M87+M88+M89+M90</f>
        <v>0</v>
      </c>
      <c r="N84" s="328">
        <f>N85+N87+N88+N89+N90</f>
        <v>0</v>
      </c>
      <c r="O84" s="328">
        <f>O85+O87+O88+O89+O90</f>
        <v>0</v>
      </c>
      <c r="P84" s="328">
        <f>P85+P87+P88+P89+P90</f>
        <v>0</v>
      </c>
      <c r="Q84" s="578">
        <f>Q85+Q87+Q88+Q89+Q90</f>
        <v>0</v>
      </c>
      <c r="R84" s="475">
        <f t="shared" si="16"/>
        <v>6125200</v>
      </c>
      <c r="S84" s="261"/>
      <c r="T84" s="261"/>
      <c r="U84" s="261"/>
    </row>
    <row r="85" spans="1:21" s="28" customFormat="1" ht="18.75" customHeight="1">
      <c r="A85" s="443" t="s">
        <v>142</v>
      </c>
      <c r="B85" s="450"/>
      <c r="C85" s="540"/>
      <c r="D85" s="715"/>
      <c r="E85" s="715"/>
      <c r="F85" s="450"/>
      <c r="G85" s="764">
        <v>335867</v>
      </c>
      <c r="H85" s="540"/>
      <c r="I85" s="450"/>
      <c r="J85" s="776"/>
      <c r="K85" s="564">
        <f aca="true" t="shared" si="18" ref="K85:K91">G85</f>
        <v>335867</v>
      </c>
      <c r="L85" s="450">
        <v>1407825</v>
      </c>
      <c r="M85" s="579"/>
      <c r="N85" s="348"/>
      <c r="O85" s="348"/>
      <c r="P85" s="629"/>
      <c r="Q85" s="606"/>
      <c r="R85" s="476">
        <f t="shared" si="16"/>
        <v>1743692</v>
      </c>
      <c r="S85" s="261"/>
      <c r="T85" s="261"/>
      <c r="U85" s="261"/>
    </row>
    <row r="86" spans="1:21" s="28" customFormat="1" ht="19.5" customHeight="1">
      <c r="A86" s="444" t="s">
        <v>143</v>
      </c>
      <c r="B86" s="451"/>
      <c r="C86" s="541"/>
      <c r="D86" s="716"/>
      <c r="E86" s="716"/>
      <c r="F86" s="451"/>
      <c r="G86" s="451">
        <v>118225</v>
      </c>
      <c r="H86" s="541"/>
      <c r="I86" s="451"/>
      <c r="J86" s="777"/>
      <c r="K86" s="565">
        <f t="shared" si="18"/>
        <v>118225</v>
      </c>
      <c r="L86" s="591">
        <v>495555</v>
      </c>
      <c r="M86" s="580"/>
      <c r="N86" s="456"/>
      <c r="O86" s="456"/>
      <c r="P86" s="630"/>
      <c r="Q86" s="607"/>
      <c r="R86" s="477">
        <f t="shared" si="16"/>
        <v>613780</v>
      </c>
      <c r="S86" s="261"/>
      <c r="T86" s="261"/>
      <c r="U86" s="261"/>
    </row>
    <row r="87" spans="1:21" s="28" customFormat="1" ht="19.5" customHeight="1">
      <c r="A87" s="445" t="s">
        <v>144</v>
      </c>
      <c r="B87" s="452"/>
      <c r="C87" s="542"/>
      <c r="D87" s="717"/>
      <c r="E87" s="717"/>
      <c r="F87" s="452"/>
      <c r="G87" s="452">
        <v>37445</v>
      </c>
      <c r="H87" s="542"/>
      <c r="I87" s="452"/>
      <c r="J87" s="778"/>
      <c r="K87" s="566">
        <f t="shared" si="18"/>
        <v>37445</v>
      </c>
      <c r="L87" s="452">
        <v>140597</v>
      </c>
      <c r="M87" s="581"/>
      <c r="N87" s="457"/>
      <c r="O87" s="457"/>
      <c r="P87" s="631"/>
      <c r="Q87" s="608"/>
      <c r="R87" s="478">
        <f t="shared" si="16"/>
        <v>178042</v>
      </c>
      <c r="S87" s="261"/>
      <c r="T87" s="261"/>
      <c r="U87" s="261"/>
    </row>
    <row r="88" spans="1:21" s="28" customFormat="1" ht="18.75" customHeight="1">
      <c r="A88" s="445" t="s">
        <v>145</v>
      </c>
      <c r="B88" s="452"/>
      <c r="C88" s="542"/>
      <c r="D88" s="717"/>
      <c r="E88" s="717"/>
      <c r="F88" s="452"/>
      <c r="G88" s="452">
        <v>13181</v>
      </c>
      <c r="H88" s="542"/>
      <c r="I88" s="452"/>
      <c r="J88" s="778"/>
      <c r="K88" s="566">
        <f t="shared" si="18"/>
        <v>13181</v>
      </c>
      <c r="L88" s="452">
        <v>49490</v>
      </c>
      <c r="M88" s="581"/>
      <c r="N88" s="457"/>
      <c r="O88" s="457"/>
      <c r="P88" s="631"/>
      <c r="Q88" s="608"/>
      <c r="R88" s="478">
        <f t="shared" si="16"/>
        <v>62671</v>
      </c>
      <c r="S88" s="261"/>
      <c r="T88" s="261"/>
      <c r="U88" s="261"/>
    </row>
    <row r="89" spans="1:21" s="28" customFormat="1" ht="18.75" customHeight="1">
      <c r="A89" s="446" t="s">
        <v>146</v>
      </c>
      <c r="B89" s="453"/>
      <c r="C89" s="543"/>
      <c r="D89" s="718"/>
      <c r="E89" s="718"/>
      <c r="F89" s="453"/>
      <c r="G89" s="453">
        <v>88202</v>
      </c>
      <c r="H89" s="543"/>
      <c r="I89" s="453"/>
      <c r="J89" s="755"/>
      <c r="K89" s="543">
        <f t="shared" si="18"/>
        <v>88202</v>
      </c>
      <c r="L89" s="592">
        <v>362892</v>
      </c>
      <c r="M89" s="582"/>
      <c r="N89" s="458"/>
      <c r="O89" s="458"/>
      <c r="P89" s="632"/>
      <c r="Q89" s="609"/>
      <c r="R89" s="459">
        <f t="shared" si="16"/>
        <v>451094</v>
      </c>
      <c r="S89" s="261"/>
      <c r="T89" s="261"/>
      <c r="U89" s="261"/>
    </row>
    <row r="90" spans="1:21" s="106" customFormat="1" ht="19.5" customHeight="1">
      <c r="A90" s="447" t="s">
        <v>147</v>
      </c>
      <c r="B90" s="453"/>
      <c r="C90" s="543"/>
      <c r="D90" s="718"/>
      <c r="E90" s="718"/>
      <c r="F90" s="453"/>
      <c r="G90" s="453">
        <f>100080+300000+991+163751+237</f>
        <v>565059</v>
      </c>
      <c r="H90" s="543"/>
      <c r="I90" s="453"/>
      <c r="J90" s="755"/>
      <c r="K90" s="543">
        <f t="shared" si="18"/>
        <v>565059</v>
      </c>
      <c r="L90" s="592">
        <f>410288+1500000+4366+414559+550</f>
        <v>2329763</v>
      </c>
      <c r="M90" s="583"/>
      <c r="N90" s="459"/>
      <c r="O90" s="459"/>
      <c r="P90" s="633"/>
      <c r="Q90" s="583"/>
      <c r="R90" s="460">
        <f t="shared" si="16"/>
        <v>2894822</v>
      </c>
      <c r="S90" s="173"/>
      <c r="T90" s="173"/>
      <c r="U90" s="173"/>
    </row>
    <row r="91" spans="1:21" s="28" customFormat="1" ht="19.5" customHeight="1">
      <c r="A91" s="637" t="s">
        <v>148</v>
      </c>
      <c r="B91" s="399"/>
      <c r="C91" s="531"/>
      <c r="D91" s="692"/>
      <c r="E91" s="692"/>
      <c r="F91" s="399"/>
      <c r="G91" s="593">
        <f>51436-51436</f>
        <v>0</v>
      </c>
      <c r="H91" s="531"/>
      <c r="I91" s="399"/>
      <c r="J91" s="737"/>
      <c r="K91" s="531">
        <f t="shared" si="18"/>
        <v>0</v>
      </c>
      <c r="L91" s="593">
        <f>220212-39113</f>
        <v>181099</v>
      </c>
      <c r="M91" s="312"/>
      <c r="N91" s="311"/>
      <c r="O91" s="311"/>
      <c r="P91" s="617"/>
      <c r="Q91" s="312"/>
      <c r="R91" s="379">
        <f t="shared" si="16"/>
        <v>181099</v>
      </c>
      <c r="S91" s="261"/>
      <c r="T91" s="261"/>
      <c r="U91" s="261"/>
    </row>
    <row r="92" spans="1:21" s="28" customFormat="1" ht="19.5" customHeight="1" thickBot="1">
      <c r="A92" s="638" t="s">
        <v>149</v>
      </c>
      <c r="B92" s="399"/>
      <c r="C92" s="531">
        <f>21527+2000+1100+824+768</f>
        <v>26219</v>
      </c>
      <c r="D92" s="692">
        <v>4698</v>
      </c>
      <c r="E92" s="692"/>
      <c r="F92" s="399"/>
      <c r="G92" s="593">
        <f>10574+768-768</f>
        <v>10574</v>
      </c>
      <c r="H92" s="531"/>
      <c r="I92" s="399"/>
      <c r="J92" s="737"/>
      <c r="K92" s="531">
        <f>SUM(B92:J92)</f>
        <v>41491</v>
      </c>
      <c r="L92" s="399"/>
      <c r="M92" s="312">
        <v>58830</v>
      </c>
      <c r="N92" s="311">
        <v>13933</v>
      </c>
      <c r="O92" s="311">
        <f>55424-21527-3768-824-13933-10574-4698-100</f>
        <v>0</v>
      </c>
      <c r="P92" s="617"/>
      <c r="Q92" s="312"/>
      <c r="R92" s="379">
        <f t="shared" si="16"/>
        <v>114254</v>
      </c>
      <c r="S92" s="261"/>
      <c r="T92" s="261"/>
      <c r="U92" s="261"/>
    </row>
    <row r="93" spans="1:21" s="28" customFormat="1" ht="18.75" customHeight="1" thickBot="1">
      <c r="A93" s="521" t="s">
        <v>44</v>
      </c>
      <c r="B93" s="350">
        <f>197892+398340+60576+78300+22746.71-250.99-1.34</f>
        <v>757602.38</v>
      </c>
      <c r="C93" s="351">
        <f>56444+558083-60576+17895+2000-25000+190321-19161-211.78</f>
        <v>719794.22</v>
      </c>
      <c r="D93" s="719">
        <f>354437+238498-17895-7500+9075+5000+127425+130539+145745</f>
        <v>985324</v>
      </c>
      <c r="E93" s="719">
        <f>626763+935401+7500+10000+7650+25000+268813+93291-8.38</f>
        <v>1974409.62</v>
      </c>
      <c r="F93" s="350">
        <f>2000+54905</f>
        <v>56905</v>
      </c>
      <c r="G93" s="350">
        <f>162756+266697+2650+6250+45073</f>
        <v>483426</v>
      </c>
      <c r="H93" s="351">
        <f>85013+65501+19161-35205.91-40254.2</f>
        <v>94214.89</v>
      </c>
      <c r="I93" s="350"/>
      <c r="J93" s="756"/>
      <c r="K93" s="567">
        <f>SUM(B93:I93)</f>
        <v>5071676.11</v>
      </c>
      <c r="L93" s="352"/>
      <c r="M93" s="584"/>
      <c r="N93" s="352">
        <f>53110-9075</f>
        <v>44035</v>
      </c>
      <c r="O93" s="352"/>
      <c r="P93" s="352"/>
      <c r="Q93" s="584">
        <f>258444-258444</f>
        <v>0</v>
      </c>
      <c r="R93" s="380">
        <f>K93+N93+Q93</f>
        <v>5115711.11</v>
      </c>
      <c r="S93" s="261"/>
      <c r="T93" s="261"/>
      <c r="U93" s="261"/>
    </row>
    <row r="94" spans="1:21" s="28" customFormat="1" ht="20.25" customHeight="1" thickBot="1">
      <c r="A94" s="522" t="s">
        <v>45</v>
      </c>
      <c r="B94" s="353"/>
      <c r="C94" s="354">
        <v>300000</v>
      </c>
      <c r="D94" s="720">
        <f>113750+121826+134500+121687+140367+182487.5+26800+55695</f>
        <v>897112.5</v>
      </c>
      <c r="E94" s="720"/>
      <c r="F94" s="353"/>
      <c r="G94" s="353">
        <f>25000</f>
        <v>25000</v>
      </c>
      <c r="H94" s="354"/>
      <c r="I94" s="353"/>
      <c r="J94" s="757"/>
      <c r="K94" s="567">
        <f>SUM(B94:J94)</f>
        <v>1222112.5</v>
      </c>
      <c r="L94" s="355"/>
      <c r="M94" s="585"/>
      <c r="N94" s="355"/>
      <c r="O94" s="355"/>
      <c r="P94" s="355"/>
      <c r="Q94" s="585"/>
      <c r="R94" s="381">
        <f>SUM(K94:P94)</f>
        <v>1222112.5</v>
      </c>
      <c r="S94" s="261"/>
      <c r="T94" s="261"/>
      <c r="U94" s="261"/>
    </row>
    <row r="95" spans="1:21" s="28" customFormat="1" ht="19.5" customHeight="1" thickBot="1">
      <c r="A95" s="521" t="s">
        <v>46</v>
      </c>
      <c r="B95" s="350"/>
      <c r="C95" s="351"/>
      <c r="D95" s="719"/>
      <c r="E95" s="719"/>
      <c r="F95" s="350"/>
      <c r="G95" s="350"/>
      <c r="H95" s="351"/>
      <c r="I95" s="350"/>
      <c r="J95" s="756"/>
      <c r="K95" s="567">
        <f>SUM(B95:J95)</f>
        <v>0</v>
      </c>
      <c r="L95" s="352"/>
      <c r="M95" s="584"/>
      <c r="N95" s="352"/>
      <c r="O95" s="352"/>
      <c r="P95" s="352"/>
      <c r="Q95" s="584"/>
      <c r="R95" s="380">
        <f>K95+L95+M95+N95+O95+P95+Q95</f>
        <v>0</v>
      </c>
      <c r="S95" s="261"/>
      <c r="T95" s="261"/>
      <c r="U95" s="261"/>
    </row>
    <row r="96" spans="1:21" s="28" customFormat="1" ht="18.75" customHeight="1" thickBot="1">
      <c r="A96" s="522" t="s">
        <v>47</v>
      </c>
      <c r="B96" s="353"/>
      <c r="C96" s="354"/>
      <c r="D96" s="720"/>
      <c r="E96" s="720"/>
      <c r="F96" s="353"/>
      <c r="G96" s="353"/>
      <c r="H96" s="354"/>
      <c r="I96" s="353"/>
      <c r="J96" s="757"/>
      <c r="K96" s="567">
        <f>SUM(B96:J96)</f>
        <v>0</v>
      </c>
      <c r="L96" s="355"/>
      <c r="M96" s="585"/>
      <c r="N96" s="355"/>
      <c r="O96" s="355"/>
      <c r="P96" s="355"/>
      <c r="Q96" s="585"/>
      <c r="R96" s="381">
        <f>SUM(K96:P96)</f>
        <v>0</v>
      </c>
      <c r="S96" s="261"/>
      <c r="T96" s="261"/>
      <c r="U96" s="261"/>
    </row>
    <row r="97" spans="1:21" s="28" customFormat="1" ht="18.75" customHeight="1" thickBot="1">
      <c r="A97" s="523" t="s">
        <v>48</v>
      </c>
      <c r="B97" s="350">
        <f>11220+990+3120+720-560+8140+1840+2440+5780-2900+330+315+4635+280+17510+6640-990+240+5640</f>
        <v>65390</v>
      </c>
      <c r="C97" s="351">
        <f>2670+720+1780+480+710+1310-660+560+1255+35+3660+2000+800</f>
        <v>15320</v>
      </c>
      <c r="D97" s="719">
        <f>36420+990+13120-720+24940+6240+6580+18840-12260+280+8485+280+41590+17840+1880+560-3400+810+9000</f>
        <v>171475</v>
      </c>
      <c r="E97" s="719">
        <f>13440+3840+8960+3600+4600+6160+2640+300-7680+4585+280+14280+4720-280+200+280-4240+80+3400</f>
        <v>59165</v>
      </c>
      <c r="F97" s="350">
        <f>7710+990+2880-2880+5800+1200+1830+4760-2700+2580+280+2880+7860+200+80+2000</f>
        <v>35470</v>
      </c>
      <c r="G97" s="350">
        <f>'[31]úpravy'!H7</f>
        <v>0</v>
      </c>
      <c r="H97" s="351">
        <f>9240+3840-1080+5600+2160+2260+4800-2020+560+3185+280+11760+4240-720+2800</f>
        <v>46905</v>
      </c>
      <c r="I97" s="350">
        <f>'[31]úpravy'!J7</f>
        <v>0</v>
      </c>
      <c r="J97" s="756"/>
      <c r="K97" s="567">
        <f>SUM(B97:J97)</f>
        <v>393725</v>
      </c>
      <c r="L97" s="350"/>
      <c r="M97" s="351"/>
      <c r="N97" s="350"/>
      <c r="O97" s="356"/>
      <c r="P97" s="634"/>
      <c r="Q97" s="610"/>
      <c r="R97" s="380">
        <f>K97+L97+M97+N97+O97+P97+Q97</f>
        <v>393725</v>
      </c>
      <c r="S97" s="261"/>
      <c r="T97" s="261"/>
      <c r="U97" s="261"/>
    </row>
    <row r="98" spans="1:21" s="28" customFormat="1" ht="18.75" customHeight="1" thickBot="1">
      <c r="A98" s="523" t="s">
        <v>49</v>
      </c>
      <c r="B98" s="350">
        <f>1120+560+280-560</f>
        <v>1400</v>
      </c>
      <c r="C98" s="351">
        <f>280+840</f>
        <v>1120</v>
      </c>
      <c r="D98" s="719">
        <f>840+2220+560+280+550+550-2220</f>
        <v>2780</v>
      </c>
      <c r="E98" s="719">
        <f>840+560+560+280+840+280</f>
        <v>3360</v>
      </c>
      <c r="F98" s="350">
        <f>280+840+1650</f>
        <v>2770</v>
      </c>
      <c r="G98" s="350">
        <f>990</f>
        <v>990</v>
      </c>
      <c r="H98" s="351">
        <f>550+560+3330-830</f>
        <v>3610</v>
      </c>
      <c r="I98" s="350">
        <v>0</v>
      </c>
      <c r="J98" s="756"/>
      <c r="K98" s="567">
        <f>SUM(B98:J98)</f>
        <v>16030</v>
      </c>
      <c r="L98" s="350"/>
      <c r="M98" s="351"/>
      <c r="N98" s="350"/>
      <c r="O98" s="350"/>
      <c r="P98" s="635"/>
      <c r="Q98" s="610"/>
      <c r="R98" s="380">
        <f>SUM(K98:P98)+Q98</f>
        <v>16030</v>
      </c>
      <c r="S98" s="261"/>
      <c r="T98" s="261"/>
      <c r="U98" s="261"/>
    </row>
    <row r="99" spans="1:21" s="32" customFormat="1" ht="16.5" thickBot="1">
      <c r="A99" s="210"/>
      <c r="B99" s="357"/>
      <c r="C99" s="358"/>
      <c r="D99" s="357"/>
      <c r="E99" s="358"/>
      <c r="F99" s="357"/>
      <c r="G99" s="357"/>
      <c r="H99" s="767"/>
      <c r="I99" s="359"/>
      <c r="J99" s="758"/>
      <c r="K99" s="568"/>
      <c r="L99" s="357"/>
      <c r="M99" s="358"/>
      <c r="N99" s="357"/>
      <c r="O99" s="357"/>
      <c r="P99" s="636"/>
      <c r="Q99" s="611"/>
      <c r="R99" s="479"/>
      <c r="S99" s="263"/>
      <c r="T99" s="263"/>
      <c r="U99" s="263"/>
    </row>
    <row r="100" spans="1:21" s="38" customFormat="1" ht="21" customHeight="1" thickBot="1">
      <c r="A100" s="524" t="s">
        <v>50</v>
      </c>
      <c r="B100" s="360">
        <f>B101+B118+B119</f>
        <v>0</v>
      </c>
      <c r="C100" s="361">
        <f>C101+C118</f>
        <v>0</v>
      </c>
      <c r="D100" s="360">
        <f>D113</f>
        <v>0</v>
      </c>
      <c r="E100" s="361">
        <f>E113</f>
        <v>91500</v>
      </c>
      <c r="F100" s="360">
        <f>F102+F103+F113</f>
        <v>250000</v>
      </c>
      <c r="G100" s="360">
        <f>G113</f>
        <v>39950</v>
      </c>
      <c r="H100" s="361">
        <f>H113</f>
        <v>0</v>
      </c>
      <c r="I100" s="360">
        <f>I101+I119+I118</f>
        <v>0</v>
      </c>
      <c r="J100" s="759">
        <f>J101+J119+J118</f>
        <v>0</v>
      </c>
      <c r="K100" s="361">
        <f>SUM(B100:H100)+I100</f>
        <v>381450</v>
      </c>
      <c r="L100" s="360">
        <f>L101+L119+L118</f>
        <v>600000</v>
      </c>
      <c r="M100" s="361">
        <f>M101+M119+M118</f>
        <v>0</v>
      </c>
      <c r="N100" s="360">
        <f>N101+N119+N118</f>
        <v>0</v>
      </c>
      <c r="O100" s="360">
        <f>O101+O118</f>
        <v>0</v>
      </c>
      <c r="P100" s="360">
        <f>P101+P118</f>
        <v>0</v>
      </c>
      <c r="Q100" s="361"/>
      <c r="R100" s="360">
        <f>SUM(K100:Q100)</f>
        <v>981450</v>
      </c>
      <c r="S100" s="191"/>
      <c r="T100" s="191"/>
      <c r="U100" s="191"/>
    </row>
    <row r="101" spans="1:21" s="38" customFormat="1" ht="19.5" customHeight="1" thickBot="1">
      <c r="A101" s="524" t="s">
        <v>51</v>
      </c>
      <c r="B101" s="362">
        <f aca="true" t="shared" si="19" ref="B101:J101">B102+B114+B115+B116+B117</f>
        <v>0</v>
      </c>
      <c r="C101" s="363">
        <f t="shared" si="19"/>
        <v>0</v>
      </c>
      <c r="D101" s="362">
        <f t="shared" si="19"/>
        <v>0</v>
      </c>
      <c r="E101" s="363">
        <f t="shared" si="19"/>
        <v>0</v>
      </c>
      <c r="F101" s="362">
        <f t="shared" si="19"/>
        <v>250000</v>
      </c>
      <c r="G101" s="362">
        <f t="shared" si="19"/>
        <v>0</v>
      </c>
      <c r="H101" s="363">
        <f t="shared" si="19"/>
        <v>0</v>
      </c>
      <c r="I101" s="362">
        <f t="shared" si="19"/>
        <v>0</v>
      </c>
      <c r="J101" s="760">
        <f t="shared" si="19"/>
        <v>0</v>
      </c>
      <c r="K101" s="361">
        <f>SUM(B101:H101)+I101</f>
        <v>250000</v>
      </c>
      <c r="L101" s="362">
        <f>L102+L103+L104+L105+L106+L107+L108+L109+L110+L111+L112+L113</f>
        <v>600000</v>
      </c>
      <c r="M101" s="363">
        <f>M102+M114+M115+M116+M117</f>
        <v>0</v>
      </c>
      <c r="N101" s="362">
        <f>N102+N114+N115+N116+N117+N103</f>
        <v>0</v>
      </c>
      <c r="O101" s="362">
        <f>O102+O114+O115+O116+O117+O103</f>
        <v>0</v>
      </c>
      <c r="P101" s="362">
        <f>P102+P114+P115+P116+P117+P103</f>
        <v>0</v>
      </c>
      <c r="Q101" s="363"/>
      <c r="R101" s="362">
        <f>K101+L101+M101+N101+O101+P101+Q101</f>
        <v>850000</v>
      </c>
      <c r="S101" s="191"/>
      <c r="T101" s="191"/>
      <c r="U101" s="191"/>
    </row>
    <row r="102" spans="1:21" s="28" customFormat="1" ht="39" thickBot="1">
      <c r="A102" s="254" t="s">
        <v>160</v>
      </c>
      <c r="B102" s="309"/>
      <c r="C102" s="364"/>
      <c r="D102" s="309"/>
      <c r="E102" s="364"/>
      <c r="F102" s="309">
        <v>250000</v>
      </c>
      <c r="G102" s="309"/>
      <c r="H102" s="364"/>
      <c r="I102" s="29"/>
      <c r="J102" s="740"/>
      <c r="K102" s="536">
        <f aca="true" t="shared" si="20" ref="K102:K110">SUM(B102:H102)</f>
        <v>250000</v>
      </c>
      <c r="L102" s="365"/>
      <c r="M102" s="586"/>
      <c r="N102" s="309"/>
      <c r="O102" s="309"/>
      <c r="P102" s="309"/>
      <c r="Q102" s="364"/>
      <c r="R102" s="335">
        <f aca="true" t="shared" si="21" ref="R102:R110">SUM(K102:P102)</f>
        <v>250000</v>
      </c>
      <c r="S102" s="261"/>
      <c r="T102" s="261"/>
      <c r="U102" s="261"/>
    </row>
    <row r="103" spans="1:21" s="28" customFormat="1" ht="25.5">
      <c r="A103" s="227" t="s">
        <v>167</v>
      </c>
      <c r="B103" s="315"/>
      <c r="C103" s="349"/>
      <c r="D103" s="315"/>
      <c r="E103" s="349"/>
      <c r="F103" s="315"/>
      <c r="G103" s="315"/>
      <c r="H103" s="349"/>
      <c r="I103" s="315"/>
      <c r="J103" s="761"/>
      <c r="K103" s="536">
        <f t="shared" si="20"/>
        <v>0</v>
      </c>
      <c r="L103" s="366">
        <v>600000</v>
      </c>
      <c r="M103" s="587"/>
      <c r="N103" s="315"/>
      <c r="O103" s="315"/>
      <c r="P103" s="315"/>
      <c r="Q103" s="349"/>
      <c r="R103" s="335">
        <f t="shared" si="21"/>
        <v>600000</v>
      </c>
      <c r="S103" s="261"/>
      <c r="T103" s="261"/>
      <c r="U103" s="261"/>
    </row>
    <row r="104" spans="1:21" s="28" customFormat="1" ht="33" customHeight="1" hidden="1">
      <c r="A104" s="525"/>
      <c r="B104" s="315"/>
      <c r="C104" s="349"/>
      <c r="D104" s="315"/>
      <c r="E104" s="349"/>
      <c r="F104" s="315"/>
      <c r="G104" s="315"/>
      <c r="H104" s="349"/>
      <c r="I104" s="315"/>
      <c r="J104" s="761"/>
      <c r="K104" s="536">
        <f t="shared" si="20"/>
        <v>0</v>
      </c>
      <c r="L104" s="366"/>
      <c r="M104" s="587"/>
      <c r="N104" s="315"/>
      <c r="O104" s="315"/>
      <c r="P104" s="315"/>
      <c r="Q104" s="349"/>
      <c r="R104" s="335">
        <f t="shared" si="21"/>
        <v>0</v>
      </c>
      <c r="S104" s="261"/>
      <c r="T104" s="261"/>
      <c r="U104" s="261"/>
    </row>
    <row r="105" spans="1:18" s="28" customFormat="1" ht="15.75" hidden="1">
      <c r="A105" s="525"/>
      <c r="B105" s="315"/>
      <c r="C105" s="349"/>
      <c r="D105" s="315"/>
      <c r="E105" s="349"/>
      <c r="F105" s="315"/>
      <c r="G105" s="315"/>
      <c r="H105" s="349"/>
      <c r="I105" s="315"/>
      <c r="J105" s="761"/>
      <c r="K105" s="536">
        <f t="shared" si="20"/>
        <v>0</v>
      </c>
      <c r="L105" s="366"/>
      <c r="M105" s="587"/>
      <c r="N105" s="315"/>
      <c r="O105" s="315"/>
      <c r="P105" s="315"/>
      <c r="Q105" s="349"/>
      <c r="R105" s="335">
        <f t="shared" si="21"/>
        <v>0</v>
      </c>
    </row>
    <row r="106" spans="1:18" s="28" customFormat="1" ht="32.25" customHeight="1" hidden="1">
      <c r="A106" s="525"/>
      <c r="B106" s="315"/>
      <c r="C106" s="349"/>
      <c r="D106" s="315"/>
      <c r="E106" s="349"/>
      <c r="F106" s="315"/>
      <c r="G106" s="315"/>
      <c r="H106" s="349"/>
      <c r="I106" s="315"/>
      <c r="J106" s="761"/>
      <c r="K106" s="536">
        <f t="shared" si="20"/>
        <v>0</v>
      </c>
      <c r="L106" s="366"/>
      <c r="M106" s="587"/>
      <c r="N106" s="315"/>
      <c r="O106" s="315"/>
      <c r="P106" s="315"/>
      <c r="Q106" s="349"/>
      <c r="R106" s="335">
        <f t="shared" si="21"/>
        <v>0</v>
      </c>
    </row>
    <row r="107" spans="1:18" s="28" customFormat="1" ht="15.75" customHeight="1" hidden="1">
      <c r="A107" s="525"/>
      <c r="B107" s="315"/>
      <c r="C107" s="349"/>
      <c r="D107" s="315"/>
      <c r="E107" s="349"/>
      <c r="F107" s="315"/>
      <c r="G107" s="315"/>
      <c r="H107" s="349"/>
      <c r="I107" s="315"/>
      <c r="J107" s="761"/>
      <c r="K107" s="536">
        <f t="shared" si="20"/>
        <v>0</v>
      </c>
      <c r="L107" s="366"/>
      <c r="M107" s="587"/>
      <c r="N107" s="315"/>
      <c r="O107" s="315"/>
      <c r="P107" s="315"/>
      <c r="Q107" s="349"/>
      <c r="R107" s="335">
        <f t="shared" si="21"/>
        <v>0</v>
      </c>
    </row>
    <row r="108" spans="1:18" s="28" customFormat="1" ht="15.75" customHeight="1" hidden="1">
      <c r="A108" s="525"/>
      <c r="B108" s="315"/>
      <c r="C108" s="349"/>
      <c r="D108" s="315"/>
      <c r="E108" s="349"/>
      <c r="F108" s="315"/>
      <c r="G108" s="315"/>
      <c r="H108" s="349"/>
      <c r="I108" s="315"/>
      <c r="J108" s="761"/>
      <c r="K108" s="536">
        <f t="shared" si="20"/>
        <v>0</v>
      </c>
      <c r="L108" s="366"/>
      <c r="M108" s="587"/>
      <c r="N108" s="315"/>
      <c r="O108" s="315"/>
      <c r="P108" s="315"/>
      <c r="Q108" s="349"/>
      <c r="R108" s="335">
        <f t="shared" si="21"/>
        <v>0</v>
      </c>
    </row>
    <row r="109" spans="1:18" s="28" customFormat="1" ht="24" customHeight="1" hidden="1">
      <c r="A109" s="525"/>
      <c r="B109" s="315"/>
      <c r="C109" s="349"/>
      <c r="D109" s="315"/>
      <c r="E109" s="349"/>
      <c r="F109" s="315"/>
      <c r="G109" s="315"/>
      <c r="H109" s="349"/>
      <c r="I109" s="315"/>
      <c r="J109" s="761"/>
      <c r="K109" s="536">
        <f t="shared" si="20"/>
        <v>0</v>
      </c>
      <c r="L109" s="366"/>
      <c r="M109" s="587"/>
      <c r="N109" s="315"/>
      <c r="O109" s="315"/>
      <c r="P109" s="315"/>
      <c r="Q109" s="349"/>
      <c r="R109" s="335">
        <f t="shared" si="21"/>
        <v>0</v>
      </c>
    </row>
    <row r="110" spans="1:18" s="28" customFormat="1" ht="24" customHeight="1" hidden="1">
      <c r="A110" s="525"/>
      <c r="B110" s="315"/>
      <c r="C110" s="349"/>
      <c r="D110" s="315"/>
      <c r="E110" s="349"/>
      <c r="F110" s="315"/>
      <c r="G110" s="315"/>
      <c r="H110" s="349"/>
      <c r="I110" s="315"/>
      <c r="J110" s="761"/>
      <c r="K110" s="536">
        <f t="shared" si="20"/>
        <v>0</v>
      </c>
      <c r="L110" s="366"/>
      <c r="M110" s="587"/>
      <c r="N110" s="315"/>
      <c r="O110" s="315"/>
      <c r="P110" s="315"/>
      <c r="Q110" s="349"/>
      <c r="R110" s="335">
        <f t="shared" si="21"/>
        <v>0</v>
      </c>
    </row>
    <row r="111" spans="1:18" s="28" customFormat="1" ht="15.75" customHeight="1" hidden="1">
      <c r="A111" s="525"/>
      <c r="B111" s="315"/>
      <c r="C111" s="349"/>
      <c r="D111" s="315"/>
      <c r="E111" s="349"/>
      <c r="F111" s="315"/>
      <c r="G111" s="315"/>
      <c r="H111" s="349"/>
      <c r="I111" s="315"/>
      <c r="J111" s="761"/>
      <c r="K111" s="536"/>
      <c r="L111" s="366"/>
      <c r="M111" s="587"/>
      <c r="N111" s="315"/>
      <c r="O111" s="315"/>
      <c r="P111" s="315"/>
      <c r="Q111" s="349"/>
      <c r="R111" s="335"/>
    </row>
    <row r="112" spans="1:18" s="28" customFormat="1" ht="26.25" customHeight="1" hidden="1" thickBot="1">
      <c r="A112" s="526"/>
      <c r="B112" s="315"/>
      <c r="C112" s="349"/>
      <c r="D112" s="315"/>
      <c r="E112" s="349"/>
      <c r="F112" s="315"/>
      <c r="G112" s="315"/>
      <c r="H112" s="349"/>
      <c r="I112" s="315"/>
      <c r="J112" s="761"/>
      <c r="K112" s="536">
        <f>SUM(B112:H112)</f>
        <v>0</v>
      </c>
      <c r="L112" s="367"/>
      <c r="M112" s="587"/>
      <c r="N112" s="315"/>
      <c r="O112" s="315"/>
      <c r="P112" s="315"/>
      <c r="Q112" s="349"/>
      <c r="R112" s="335">
        <f aca="true" t="shared" si="22" ref="R112:R119">SUM(K112:P112)</f>
        <v>0</v>
      </c>
    </row>
    <row r="113" spans="1:18" s="28" customFormat="1" ht="15.75" customHeight="1" thickBot="1">
      <c r="A113" s="526" t="s">
        <v>169</v>
      </c>
      <c r="B113" s="368"/>
      <c r="C113" s="369"/>
      <c r="D113" s="368"/>
      <c r="E113" s="369">
        <v>91500</v>
      </c>
      <c r="F113" s="368"/>
      <c r="G113" s="368">
        <v>39950</v>
      </c>
      <c r="H113" s="369"/>
      <c r="I113" s="368"/>
      <c r="J113" s="762"/>
      <c r="K113" s="569">
        <f>SUM(B113:H113)</f>
        <v>131450</v>
      </c>
      <c r="L113" s="370"/>
      <c r="M113" s="588"/>
      <c r="N113" s="368"/>
      <c r="O113" s="368"/>
      <c r="P113" s="368"/>
      <c r="Q113" s="369"/>
      <c r="R113" s="480">
        <f t="shared" si="22"/>
        <v>131450</v>
      </c>
    </row>
    <row r="114" spans="1:18" s="28" customFormat="1" ht="21.75" customHeight="1" hidden="1">
      <c r="A114" s="233"/>
      <c r="B114" s="53"/>
      <c r="C114" s="234"/>
      <c r="D114" s="235"/>
      <c r="E114" s="53"/>
      <c r="F114" s="235"/>
      <c r="G114" s="53"/>
      <c r="H114" s="235"/>
      <c r="I114" s="53"/>
      <c r="J114" s="234"/>
      <c r="K114" s="236">
        <f>SUM(B114:H114)</f>
        <v>0</v>
      </c>
      <c r="L114" s="53"/>
      <c r="M114" s="53"/>
      <c r="N114" s="53"/>
      <c r="O114" s="53"/>
      <c r="P114" s="53"/>
      <c r="Q114" s="215"/>
      <c r="R114" s="336">
        <f t="shared" si="22"/>
        <v>0</v>
      </c>
    </row>
    <row r="115" spans="1:18" s="28" customFormat="1" ht="15" customHeight="1" hidden="1">
      <c r="A115" s="213" t="s">
        <v>53</v>
      </c>
      <c r="B115" s="7"/>
      <c r="C115" s="207"/>
      <c r="D115" s="197"/>
      <c r="E115" s="7"/>
      <c r="F115" s="195"/>
      <c r="G115" s="7"/>
      <c r="H115" s="197"/>
      <c r="I115" s="7"/>
      <c r="J115" s="207"/>
      <c r="K115" s="199">
        <f>SUM(B115:I115)</f>
        <v>0</v>
      </c>
      <c r="L115" s="33"/>
      <c r="M115" s="33"/>
      <c r="N115" s="7"/>
      <c r="O115" s="33"/>
      <c r="P115" s="33"/>
      <c r="Q115" s="228"/>
      <c r="R115" s="333">
        <f t="shared" si="22"/>
        <v>0</v>
      </c>
    </row>
    <row r="116" spans="1:18" s="28" customFormat="1" ht="18" customHeight="1" hidden="1">
      <c r="A116" s="212" t="s">
        <v>47</v>
      </c>
      <c r="B116" s="39"/>
      <c r="C116" s="208"/>
      <c r="D116" s="196"/>
      <c r="E116" s="39"/>
      <c r="F116" s="196"/>
      <c r="G116" s="39"/>
      <c r="H116" s="196"/>
      <c r="I116" s="39"/>
      <c r="J116" s="208"/>
      <c r="K116" s="199">
        <f>SUM(B116:H116)</f>
        <v>0</v>
      </c>
      <c r="L116" s="39"/>
      <c r="M116" s="39"/>
      <c r="N116" s="39"/>
      <c r="O116" s="69"/>
      <c r="P116" s="39"/>
      <c r="Q116" s="229"/>
      <c r="R116" s="481">
        <f t="shared" si="22"/>
        <v>0</v>
      </c>
    </row>
    <row r="117" spans="1:18" s="28" customFormat="1" ht="15" customHeight="1" hidden="1" thickBot="1">
      <c r="A117" s="213" t="s">
        <v>54</v>
      </c>
      <c r="B117" s="172"/>
      <c r="C117" s="206"/>
      <c r="D117" s="195"/>
      <c r="E117" s="33"/>
      <c r="F117" s="195"/>
      <c r="G117" s="33"/>
      <c r="H117" s="195"/>
      <c r="I117" s="33"/>
      <c r="J117" s="206"/>
      <c r="K117" s="199">
        <f>SUM(B117:I117)</f>
        <v>0</v>
      </c>
      <c r="L117" s="33"/>
      <c r="M117" s="33"/>
      <c r="N117" s="33"/>
      <c r="O117" s="33"/>
      <c r="P117" s="33"/>
      <c r="Q117" s="230"/>
      <c r="R117" s="482">
        <f t="shared" si="22"/>
        <v>0</v>
      </c>
    </row>
    <row r="118" spans="1:18" ht="13.5" customHeight="1" hidden="1" thickBot="1">
      <c r="A118" s="211" t="s">
        <v>44</v>
      </c>
      <c r="B118" s="54"/>
      <c r="C118" s="220"/>
      <c r="D118" s="198"/>
      <c r="E118" s="40"/>
      <c r="F118" s="198"/>
      <c r="G118" s="40"/>
      <c r="H118" s="198"/>
      <c r="I118" s="55"/>
      <c r="J118" s="209"/>
      <c r="K118" s="200"/>
      <c r="L118" s="57"/>
      <c r="M118" s="40"/>
      <c r="N118" s="40"/>
      <c r="O118" s="40"/>
      <c r="P118" s="40"/>
      <c r="Q118" s="231"/>
      <c r="R118" s="483">
        <f t="shared" si="22"/>
        <v>0</v>
      </c>
    </row>
    <row r="119" spans="1:18" ht="15.75" customHeight="1" hidden="1" thickBot="1">
      <c r="A119" s="65" t="s">
        <v>47</v>
      </c>
      <c r="B119" s="54"/>
      <c r="C119" s="55"/>
      <c r="D119" s="55"/>
      <c r="E119" s="55"/>
      <c r="F119" s="55"/>
      <c r="G119" s="55"/>
      <c r="H119" s="55"/>
      <c r="I119" s="55"/>
      <c r="J119" s="55"/>
      <c r="K119" s="107">
        <f>SUM(B119:H119)</f>
        <v>0</v>
      </c>
      <c r="L119" s="55"/>
      <c r="M119" s="55"/>
      <c r="N119" s="55"/>
      <c r="O119" s="55"/>
      <c r="P119" s="55"/>
      <c r="Q119" s="232"/>
      <c r="R119" s="107">
        <f t="shared" si="22"/>
        <v>0</v>
      </c>
    </row>
    <row r="120" ht="12.75">
      <c r="A120" s="41"/>
    </row>
    <row r="121" spans="1:6" ht="12.75">
      <c r="A121" s="66"/>
      <c r="F121" s="64"/>
    </row>
    <row r="122" ht="12.75">
      <c r="A122" s="67"/>
    </row>
    <row r="123" spans="1:16" ht="12.75">
      <c r="A123" s="67"/>
      <c r="P123" s="68"/>
    </row>
    <row r="124" ht="12.75">
      <c r="P124" s="68"/>
    </row>
    <row r="125" ht="12.75">
      <c r="P125" s="68"/>
    </row>
    <row r="126" ht="12.75">
      <c r="A126" s="44"/>
    </row>
    <row r="127" spans="13:18" ht="12.75">
      <c r="M127" s="192"/>
      <c r="N127" s="192"/>
      <c r="O127" s="192"/>
      <c r="P127" s="192"/>
      <c r="Q127" s="192"/>
      <c r="R127" s="193"/>
    </row>
    <row r="128" spans="13:18" ht="12.75">
      <c r="M128" s="192"/>
      <c r="N128" s="192"/>
      <c r="O128" s="192"/>
      <c r="P128" s="192"/>
      <c r="Q128" s="192"/>
      <c r="R128" s="193"/>
    </row>
    <row r="129" spans="13:18" ht="12.75">
      <c r="M129" s="192"/>
      <c r="N129" s="193"/>
      <c r="O129" s="193"/>
      <c r="P129" s="192"/>
      <c r="Q129" s="192"/>
      <c r="R129" s="193"/>
    </row>
    <row r="130" spans="13:18" ht="12.75">
      <c r="M130" s="192"/>
      <c r="N130" s="52"/>
      <c r="O130" s="52"/>
      <c r="P130" s="192"/>
      <c r="Q130" s="192"/>
      <c r="R130" s="193"/>
    </row>
    <row r="131" spans="13:18" ht="12.75">
      <c r="M131" s="192"/>
      <c r="N131" s="192"/>
      <c r="O131" s="192"/>
      <c r="P131" s="192"/>
      <c r="Q131" s="192"/>
      <c r="R131" s="193"/>
    </row>
    <row r="132" spans="13:18" ht="12.75">
      <c r="M132" s="192"/>
      <c r="N132" s="192"/>
      <c r="O132" s="192"/>
      <c r="P132" s="192"/>
      <c r="Q132" s="192"/>
      <c r="R132" s="193"/>
    </row>
    <row r="133" spans="13:18" ht="12.75">
      <c r="M133" s="192"/>
      <c r="N133" s="192"/>
      <c r="O133" s="192"/>
      <c r="P133" s="192"/>
      <c r="Q133" s="192"/>
      <c r="R133" s="193"/>
    </row>
    <row r="134" spans="13:18" ht="12.75">
      <c r="M134" s="192"/>
      <c r="N134" s="192"/>
      <c r="O134" s="192"/>
      <c r="P134" s="192"/>
      <c r="Q134" s="192"/>
      <c r="R134" s="193"/>
    </row>
    <row r="135" spans="13:18" ht="12.75">
      <c r="M135" s="192"/>
      <c r="N135" s="192"/>
      <c r="O135" s="192"/>
      <c r="P135" s="192"/>
      <c r="Q135" s="192"/>
      <c r="R135" s="193"/>
    </row>
  </sheetData>
  <sheetProtection/>
  <mergeCells count="1">
    <mergeCell ref="A1:R1"/>
  </mergeCells>
  <printOptions horizontalCentered="1" verticalCentered="1"/>
  <pageMargins left="0.2362204724409449" right="0.15748031496062992" top="0.2755905511811024" bottom="0.31496062992125984" header="0.1968503937007874" footer="0.11811023622047245"/>
  <pageSetup fitToHeight="2" fitToWidth="1" horizontalDpi="600" verticalDpi="600" orientation="landscape" paperSize="9" scale="45" r:id="rId1"/>
  <headerFooter alignWithMargins="0">
    <oddFooter>&amp;L&amp;Z&amp;F        &amp;A&amp;R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 2013</dc:title>
  <dc:subject/>
  <dc:creator>Vanáková</dc:creator>
  <cp:keywords/>
  <dc:description/>
  <cp:lastModifiedBy>Miroslav Danek</cp:lastModifiedBy>
  <cp:lastPrinted>2021-03-02T07:04:05Z</cp:lastPrinted>
  <dcterms:created xsi:type="dcterms:W3CDTF">2011-05-10T07:34:41Z</dcterms:created>
  <dcterms:modified xsi:type="dcterms:W3CDTF">2021-03-04T15:09:48Z</dcterms:modified>
  <cp:category/>
  <cp:version/>
  <cp:contentType/>
  <cp:contentStatus/>
</cp:coreProperties>
</file>