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to_zošit"/>
  <bookViews>
    <workbookView xWindow="0" yWindow="0" windowWidth="20730" windowHeight="11760"/>
  </bookViews>
  <sheets>
    <sheet name="1. RD2021" sheetId="9" r:id="rId1"/>
    <sheet name="2. RD rozdiel" sheetId="13" r:id="rId2"/>
    <sheet name="3. R-STU" sheetId="10" r:id="rId3"/>
    <sheet name="4. Aktivity" sheetId="18" r:id="rId4"/>
    <sheet name="5. TM_%" sheetId="11" r:id="rId5"/>
    <sheet name="T5b-studenti" sheetId="1" r:id="rId6"/>
    <sheet name="T6b-vykon" sheetId="2" r:id="rId7"/>
    <sheet name="T7-mzdy" sheetId="4" r:id="rId8"/>
    <sheet name="T8-TaS" sheetId="5" r:id="rId9"/>
    <sheet name="T11-Sumar_SD" sheetId="16" r:id="rId10"/>
    <sheet name="T14-VVZ" sheetId="8" r:id="rId11"/>
    <sheet name="T14aa-VVZ-6r" sheetId="15" r:id="rId12"/>
    <sheet name="T14c-vstup_DG-ZG" sheetId="6" r:id="rId13"/>
    <sheet name="T15-Soc_stip" sheetId="17" r:id="rId14"/>
    <sheet name="T16-KIVC" sheetId="3" r:id="rId15"/>
    <sheet name="T18-Mot_stip" sheetId="12" r:id="rId16"/>
    <sheet name="T20-Publik" sheetId="14" r:id="rId17"/>
    <sheet name="T21-Mobility" sheetId="7" r:id="rId18"/>
  </sheets>
  <externalReferences>
    <externalReference r:id="rId19"/>
    <externalReference r:id="rId20"/>
    <externalReference r:id="rId21"/>
  </externalReferences>
  <definedNames>
    <definedName name="Bc_p">'[1]T2-KO'!$E$34</definedName>
    <definedName name="Bc_v">'[1]T2-KO'!$G$34</definedName>
    <definedName name="Drš">'[1]T2-KO'!$E$36</definedName>
    <definedName name="DrŠ_denní">'[1]T5b-studenti'!$BJ:$BJ</definedName>
    <definedName name="Fakulta">'[1]T5b-studenti'!$E:$E</definedName>
    <definedName name="GmP">'[1]T3-vstupy'!$C$78</definedName>
    <definedName name="GmV">'[1]T3-vstupy'!$C$79</definedName>
    <definedName name="K_KAP">'[1]T3-vstupy'!$C$132</definedName>
    <definedName name="K_VŠO">'[1]T3-vstupy'!$C$53</definedName>
    <definedName name="KOD_VVŠ">'[1]T21-Mobility'!$K$3:$M$51</definedName>
    <definedName name="koef_kp">'[1]T2-KO'!$B$5:$K$26</definedName>
    <definedName name="koef_PV">'[1]T3-vstupy'!$C$73</definedName>
    <definedName name="koef_VV">'[1]T3-vstupy'!$C$74</definedName>
    <definedName name="kpn_ca_do">'[1]T2-KO'!$J$29</definedName>
    <definedName name="kpn_ca_nad">'[1]T2-KO'!$J$30</definedName>
    <definedName name="MI">'[1]T2-KO'!$E$35</definedName>
    <definedName name="mot_odb">'[1]T5b-studenti'!$AP:$AP</definedName>
    <definedName name="mot_zak">'[1]T5b-studenti'!$AO:$AO</definedName>
    <definedName name="motštip">'[1]T3-vstupy'!$C$134</definedName>
    <definedName name="motštip_ŠO">'[1]T3-vstupy'!$C$135</definedName>
    <definedName name="poistné">'[1]T3-vstupy'!$C$11</definedName>
    <definedName name="pp_Vav">'[2]T3-vstupy'!$C$69</definedName>
    <definedName name="Pp_VaV_rozp">'[1]T3-vstupy'!$C$69</definedName>
    <definedName name="Pp_VaV_špič_úč">'[1]T3-vstupy'!$C$70</definedName>
    <definedName name="Pp_VaV_VVŠ">'[1]T3-vstupy'!$C$67</definedName>
    <definedName name="Pp_Vzdel_mzdy_spec">'[1]T3-vstupy'!$C$29</definedName>
    <definedName name="Pp_Vzdel_mzdy_výkon">'[1]T3-vstupy'!$C$32</definedName>
    <definedName name="Pp_Vzdel_mzdy_výkon_PV">'[1]T3-vstupy'!$C$33</definedName>
    <definedName name="Pp_Vzdel_mzdy_výkon_VV">'[1]T3-vstupy'!$C$34</definedName>
    <definedName name="Pp_Vzdel_spec_prax">'[1]T3-vstupy'!$C$51</definedName>
    <definedName name="Pp_Vzdel_TaS_spec">'[1]T3-vstupy'!$C$57</definedName>
    <definedName name="Pp_Vzdel_TaS_výkon_PPŠ">'[1]T3-vstupy'!$C$62</definedName>
    <definedName name="Pp_Vzdel_TaS_výkon_PPŠ_KEN">'[1]T3-vstupy'!$C$60</definedName>
    <definedName name="Pp_Vzdel_TaS_zahr_granty">'[1]T3-vstupy'!$C$49</definedName>
    <definedName name="Pp_Vzdel_TaS_zákl">'[1]T3-vstupy'!$C$48</definedName>
    <definedName name="PPŠ">'[1]T5b-studenti'!$BF:$BF</definedName>
    <definedName name="PPŠ_KAP">'[1]T5b-studenti'!$BH:$BH</definedName>
    <definedName name="PPŠ_KO">'[1]T5b-studenti'!$BG:$BG</definedName>
    <definedName name="Pr_p">'[1]T2-KO'!$E$38</definedName>
    <definedName name="Pr_v">'[1]T2-KO'!$G$38</definedName>
    <definedName name="prisp_na_1_jedlo">'[1]T3-vstupy'!$C$121</definedName>
    <definedName name="prisp_na_ubyt_stud_SD">'[1]T3-vstupy'!$C$125</definedName>
    <definedName name="prisp_na_ubyt_stud_ZZ">'[1]T3-vstupy'!$C$126</definedName>
    <definedName name="prísp_zákl_prev">'[1]T3-vstupy'!$C$47</definedName>
    <definedName name="Pšt_dot">'[1]T5b-studenti'!$AN:$AN</definedName>
    <definedName name="rok_RD">'[1]T3-vstupy'!$C$137</definedName>
    <definedName name="rok_rozpis">'[1]T3-vstupy'!$C$138</definedName>
    <definedName name="rok_VV1">'[1]T3-vstupy'!$C$139</definedName>
    <definedName name="rok_VV2">'[1]T3-vstupy'!$C$140</definedName>
    <definedName name="rok_VV3">'[1]T3-vstupy'!$C$141</definedName>
    <definedName name="roky">'[1]T3-vstupy'!$C$133</definedName>
    <definedName name="Sp_p">'[1]T2-KO'!$E$37</definedName>
    <definedName name="Sp_v">'[1]T2-KO'!$G$37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áha_Pub">'[1]T3-vstupy'!$C$75</definedName>
    <definedName name="váha_um">'[1]T3-vstupy'!$C$76</definedName>
    <definedName name="výk_DG">'[1]T3-vstupy'!$C$85</definedName>
    <definedName name="výk_DP">'[1]T3-vstupy'!$C$80</definedName>
    <definedName name="výk_Dršpo">'[1]T3-vstupy'!$C$87</definedName>
    <definedName name="výk_interval">'[1]T3-vstupy'!$C$82</definedName>
    <definedName name="výk_KA">'[1]T3-vstupy'!$C$81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  <definedName name="výk_Pat">'[1]T3-vstupy'!$C$89</definedName>
    <definedName name="výk_PC">'[1]T3-vstupy'!$C$84</definedName>
    <definedName name="výk_Pub">'[1]T3-vstupy'!$C$88</definedName>
    <definedName name="výk_um">'[1]T3-vstupy'!$C$90</definedName>
    <definedName name="výk_ZG">'[1]T3-vstupy'!$C$86</definedName>
    <definedName name="vykon_DP">'[2]T3-vstupy'!$C$80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43" i="10" l="1"/>
  <c r="E43" i="10" s="1"/>
  <c r="E40" i="10"/>
  <c r="C40" i="10"/>
  <c r="D43" i="10"/>
  <c r="D40" i="10"/>
  <c r="C42" i="10"/>
  <c r="C39" i="10"/>
  <c r="I5" i="8" l="1"/>
  <c r="AC5" i="2"/>
  <c r="AC6" i="2"/>
  <c r="AC7" i="2"/>
  <c r="AC8" i="2"/>
  <c r="AC9" i="2"/>
  <c r="AC10" i="2"/>
  <c r="AC11" i="2"/>
  <c r="AC12" i="2"/>
  <c r="AC13" i="2"/>
  <c r="AC4" i="2"/>
  <c r="AB5" i="2"/>
  <c r="AB6" i="2"/>
  <c r="AB7" i="2"/>
  <c r="AB8" i="2"/>
  <c r="AB9" i="2"/>
  <c r="AB10" i="2"/>
  <c r="AB11" i="2"/>
  <c r="AB12" i="2"/>
  <c r="AB13" i="2"/>
  <c r="AB4" i="2"/>
  <c r="J16" i="3" l="1"/>
  <c r="G16" i="3"/>
  <c r="D16" i="3"/>
  <c r="H16" i="3"/>
  <c r="E16" i="3"/>
  <c r="I21" i="11"/>
  <c r="E21" i="11"/>
  <c r="L31" i="11"/>
  <c r="K31" i="11"/>
  <c r="H31" i="11"/>
  <c r="G31" i="11"/>
  <c r="D31" i="11"/>
  <c r="C31" i="11"/>
  <c r="L30" i="11"/>
  <c r="K30" i="11"/>
  <c r="H30" i="11"/>
  <c r="G30" i="11"/>
  <c r="D30" i="11"/>
  <c r="C30" i="11"/>
  <c r="L29" i="11"/>
  <c r="K29" i="11"/>
  <c r="H29" i="11"/>
  <c r="G29" i="11"/>
  <c r="D29" i="11"/>
  <c r="C29" i="11"/>
  <c r="L28" i="11"/>
  <c r="K28" i="11"/>
  <c r="H28" i="11"/>
  <c r="G28" i="11"/>
  <c r="D28" i="11"/>
  <c r="C28" i="11"/>
  <c r="L27" i="11"/>
  <c r="K27" i="11"/>
  <c r="H27" i="11"/>
  <c r="G27" i="11"/>
  <c r="D27" i="11"/>
  <c r="C27" i="11"/>
  <c r="L26" i="11"/>
  <c r="K26" i="11"/>
  <c r="H26" i="11"/>
  <c r="G26" i="11"/>
  <c r="D26" i="11"/>
  <c r="C26" i="11"/>
  <c r="L25" i="11"/>
  <c r="K25" i="11"/>
  <c r="H25" i="11"/>
  <c r="G25" i="11"/>
  <c r="D25" i="11"/>
  <c r="C25" i="11"/>
  <c r="L24" i="11"/>
  <c r="K24" i="11"/>
  <c r="H24" i="11"/>
  <c r="G24" i="11"/>
  <c r="D24" i="11"/>
  <c r="C24" i="11"/>
  <c r="L23" i="11"/>
  <c r="K23" i="11"/>
  <c r="H23" i="11"/>
  <c r="G23" i="11"/>
  <c r="D23" i="11"/>
  <c r="D32" i="11" s="1"/>
  <c r="C23" i="11"/>
  <c r="L22" i="11"/>
  <c r="L33" i="11" s="1"/>
  <c r="K22" i="11"/>
  <c r="K33" i="11" s="1"/>
  <c r="H22" i="11"/>
  <c r="H32" i="11" s="1"/>
  <c r="G22" i="11"/>
  <c r="G32" i="11" s="1"/>
  <c r="D22" i="11"/>
  <c r="D33" i="11" s="1"/>
  <c r="C22" i="11"/>
  <c r="C33" i="11" s="1"/>
  <c r="L21" i="11"/>
  <c r="K21" i="11"/>
  <c r="J21" i="11"/>
  <c r="M21" i="11" s="1"/>
  <c r="H21" i="11"/>
  <c r="G21" i="11"/>
  <c r="F21" i="11"/>
  <c r="D21" i="11"/>
  <c r="C21" i="11"/>
  <c r="B21" i="11"/>
  <c r="E11" i="4"/>
  <c r="E10" i="4"/>
  <c r="E9" i="4"/>
  <c r="E8" i="4"/>
  <c r="E7" i="4"/>
  <c r="E6" i="4"/>
  <c r="E5" i="4"/>
  <c r="E4" i="4"/>
  <c r="AW11" i="2"/>
  <c r="AW10" i="2"/>
  <c r="AW9" i="2"/>
  <c r="AW8" i="2"/>
  <c r="AW7" i="2"/>
  <c r="AW6" i="2"/>
  <c r="AW5" i="2"/>
  <c r="AW4" i="2"/>
  <c r="AY10" i="2"/>
  <c r="AZ10" i="2" s="1"/>
  <c r="AV11" i="2"/>
  <c r="AV10" i="2"/>
  <c r="AV9" i="2"/>
  <c r="AV8" i="2"/>
  <c r="AV7" i="2"/>
  <c r="AV6" i="2"/>
  <c r="AV5" i="2"/>
  <c r="AV4" i="2"/>
  <c r="AU11" i="2"/>
  <c r="AU10" i="2"/>
  <c r="AU9" i="2"/>
  <c r="AU8" i="2"/>
  <c r="AU7" i="2"/>
  <c r="AU6" i="2"/>
  <c r="AU5" i="2"/>
  <c r="AU4" i="2"/>
  <c r="AW12" i="2"/>
  <c r="AW13" i="2"/>
  <c r="AX13" i="2"/>
  <c r="AX12" i="2"/>
  <c r="AX11" i="2"/>
  <c r="AX10" i="2"/>
  <c r="AX9" i="2"/>
  <c r="AX8" i="2"/>
  <c r="AX7" i="2"/>
  <c r="AX6" i="2"/>
  <c r="AX5" i="2"/>
  <c r="AX4" i="2"/>
  <c r="AV13" i="2"/>
  <c r="AV12" i="2"/>
  <c r="AX14" i="2"/>
  <c r="AT14" i="2"/>
  <c r="AS14" i="2"/>
  <c r="AR14" i="2"/>
  <c r="AQ14" i="2"/>
  <c r="AP14" i="2"/>
  <c r="AO14" i="2"/>
  <c r="L32" i="11" l="1"/>
  <c r="G33" i="11"/>
  <c r="C32" i="11"/>
  <c r="K32" i="11"/>
  <c r="H33" i="11"/>
  <c r="AY8" i="2"/>
  <c r="AZ8" i="2" s="1"/>
  <c r="AY6" i="2"/>
  <c r="AZ6" i="2" s="1"/>
  <c r="AY5" i="2"/>
  <c r="AZ5" i="2" s="1"/>
  <c r="AY9" i="2"/>
  <c r="AZ9" i="2" s="1"/>
  <c r="AW14" i="2"/>
  <c r="AY7" i="2"/>
  <c r="AZ7" i="2" s="1"/>
  <c r="AY11" i="2"/>
  <c r="AZ11" i="2" s="1"/>
  <c r="AV14" i="2"/>
  <c r="AY4" i="2"/>
  <c r="AZ4" i="2" s="1"/>
  <c r="AU12" i="2" l="1"/>
  <c r="AU13" i="2"/>
  <c r="AY13" i="2" s="1"/>
  <c r="AZ13" i="2" s="1"/>
  <c r="AY12" i="2" l="1"/>
  <c r="AZ12" i="2" s="1"/>
  <c r="AZ14" i="2" s="1"/>
  <c r="AU14" i="2"/>
  <c r="D26" i="4"/>
  <c r="P17" i="3" l="1"/>
  <c r="Q17" i="3"/>
  <c r="Q5" i="3"/>
  <c r="P5" i="3"/>
  <c r="L5" i="3"/>
  <c r="AQ14" i="8" l="1"/>
  <c r="AQ13" i="8"/>
  <c r="AQ12" i="8"/>
  <c r="AQ11" i="8"/>
  <c r="AQ10" i="8"/>
  <c r="AQ9" i="8"/>
  <c r="AQ8" i="8"/>
  <c r="AQ7" i="8"/>
  <c r="AQ6" i="8"/>
  <c r="AQ5" i="8"/>
  <c r="AP14" i="8"/>
  <c r="J15" i="3"/>
  <c r="J14" i="3"/>
  <c r="I13" i="17"/>
  <c r="I12" i="17"/>
  <c r="I11" i="17"/>
  <c r="I10" i="17"/>
  <c r="I9" i="17"/>
  <c r="I8" i="17"/>
  <c r="I7" i="17"/>
  <c r="I6" i="17"/>
  <c r="I5" i="17"/>
  <c r="I4" i="17"/>
  <c r="H13" i="17"/>
  <c r="H12" i="17"/>
  <c r="H11" i="17"/>
  <c r="H10" i="17"/>
  <c r="H9" i="17"/>
  <c r="H8" i="17"/>
  <c r="H7" i="17"/>
  <c r="H6" i="17"/>
  <c r="H5" i="17"/>
  <c r="H4" i="17"/>
  <c r="O11" i="6"/>
  <c r="J11" i="6"/>
  <c r="AA14" i="8"/>
  <c r="AA13" i="8"/>
  <c r="AA12" i="8"/>
  <c r="AA11" i="8"/>
  <c r="AA10" i="8"/>
  <c r="AA9" i="8"/>
  <c r="AA8" i="8"/>
  <c r="AA7" i="8"/>
  <c r="AA6" i="8"/>
  <c r="AA5" i="8"/>
  <c r="X12" i="8"/>
  <c r="U12" i="8"/>
  <c r="G14" i="8"/>
  <c r="G13" i="8"/>
  <c r="G12" i="8"/>
  <c r="G11" i="8"/>
  <c r="G10" i="8"/>
  <c r="G9" i="8"/>
  <c r="G8" i="8"/>
  <c r="G7" i="8"/>
  <c r="G6" i="8"/>
  <c r="G5" i="8"/>
  <c r="H14" i="8"/>
  <c r="H13" i="8"/>
  <c r="H12" i="8"/>
  <c r="H11" i="8"/>
  <c r="H10" i="8"/>
  <c r="H9" i="8"/>
  <c r="H8" i="8"/>
  <c r="H7" i="8"/>
  <c r="H6" i="8"/>
  <c r="H5" i="8"/>
  <c r="F14" i="8"/>
  <c r="F13" i="8"/>
  <c r="F12" i="8"/>
  <c r="F11" i="8"/>
  <c r="F10" i="8"/>
  <c r="F9" i="8"/>
  <c r="F8" i="8"/>
  <c r="F7" i="8"/>
  <c r="F6" i="8"/>
  <c r="F5" i="8"/>
  <c r="D14" i="8"/>
  <c r="D13" i="8"/>
  <c r="D12" i="8"/>
  <c r="D11" i="8"/>
  <c r="D10" i="8"/>
  <c r="D9" i="8"/>
  <c r="D8" i="8"/>
  <c r="D7" i="8"/>
  <c r="D6" i="8"/>
  <c r="D5" i="8"/>
  <c r="F26" i="16"/>
  <c r="F25" i="16"/>
  <c r="E26" i="16"/>
  <c r="E25" i="16"/>
  <c r="C26" i="16"/>
  <c r="C25" i="16"/>
  <c r="D15" i="16"/>
  <c r="D14" i="16"/>
  <c r="D41" i="10" l="1"/>
  <c r="E42" i="10" s="1"/>
  <c r="D38" i="10"/>
  <c r="E39" i="10" s="1"/>
  <c r="F40" i="18"/>
  <c r="F33" i="18"/>
  <c r="F59" i="18"/>
  <c r="C13" i="12"/>
  <c r="D46" i="12"/>
  <c r="D45" i="12"/>
  <c r="D44" i="12"/>
  <c r="D43" i="12"/>
  <c r="D42" i="12"/>
  <c r="D41" i="12"/>
  <c r="D40" i="12"/>
  <c r="D39" i="12"/>
  <c r="D38" i="12"/>
  <c r="D103" i="13" l="1"/>
  <c r="E103" i="13"/>
  <c r="F103" i="13"/>
  <c r="G103" i="13"/>
  <c r="H103" i="13"/>
  <c r="I103" i="13"/>
  <c r="J103" i="13"/>
  <c r="K103" i="13"/>
  <c r="L103" i="13"/>
  <c r="N103" i="13"/>
  <c r="O103" i="13"/>
  <c r="P103" i="13"/>
  <c r="C104" i="13"/>
  <c r="D104" i="13"/>
  <c r="E104" i="13"/>
  <c r="F104" i="13"/>
  <c r="G104" i="13"/>
  <c r="H104" i="13"/>
  <c r="I104" i="13"/>
  <c r="J104" i="13"/>
  <c r="K104" i="13"/>
  <c r="L104" i="13"/>
  <c r="N104" i="13"/>
  <c r="O104" i="13"/>
  <c r="P104" i="13"/>
  <c r="M105" i="13"/>
  <c r="R105" i="13" s="1"/>
  <c r="M106" i="13"/>
  <c r="R106" i="13" s="1"/>
  <c r="M108" i="13"/>
  <c r="R108" i="13" s="1"/>
  <c r="M109" i="13"/>
  <c r="R109" i="13" s="1"/>
  <c r="M110" i="13"/>
  <c r="R110" i="13" s="1"/>
  <c r="C111" i="13"/>
  <c r="D111" i="13"/>
  <c r="E111" i="13"/>
  <c r="F111" i="13"/>
  <c r="G111" i="13"/>
  <c r="H111" i="13"/>
  <c r="I111" i="13"/>
  <c r="J111" i="13"/>
  <c r="K111" i="13"/>
  <c r="L111" i="13"/>
  <c r="N111" i="13"/>
  <c r="O111" i="13"/>
  <c r="P111" i="13"/>
  <c r="M112" i="13"/>
  <c r="R112" i="13" s="1"/>
  <c r="M113" i="13"/>
  <c r="R113" i="13" s="1"/>
  <c r="M114" i="13"/>
  <c r="R114" i="13" s="1"/>
  <c r="R115" i="13"/>
  <c r="D116" i="13"/>
  <c r="E116" i="13"/>
  <c r="F116" i="13"/>
  <c r="G116" i="13"/>
  <c r="I116" i="13"/>
  <c r="J116" i="13"/>
  <c r="K116" i="13"/>
  <c r="L116" i="13"/>
  <c r="N116" i="13"/>
  <c r="M117" i="13"/>
  <c r="R117" i="13" s="1"/>
  <c r="M118" i="13"/>
  <c r="R118" i="13" s="1"/>
  <c r="M119" i="13"/>
  <c r="R119" i="13" s="1"/>
  <c r="C120" i="13"/>
  <c r="C116" i="13" s="1"/>
  <c r="H120" i="13"/>
  <c r="H116" i="13" s="1"/>
  <c r="O120" i="13"/>
  <c r="O116" i="13" s="1"/>
  <c r="P120" i="13"/>
  <c r="P116" i="13" s="1"/>
  <c r="M121" i="13"/>
  <c r="R121" i="13" s="1"/>
  <c r="M122" i="13"/>
  <c r="R122" i="13" s="1"/>
  <c r="M123" i="13"/>
  <c r="R123" i="13" s="1"/>
  <c r="M124" i="13"/>
  <c r="R124" i="13" s="1"/>
  <c r="M125" i="13"/>
  <c r="R125" i="13" s="1"/>
  <c r="C43" i="13"/>
  <c r="O43" i="13"/>
  <c r="P43" i="13"/>
  <c r="Q43" i="13"/>
  <c r="C45" i="13"/>
  <c r="C46" i="13"/>
  <c r="O46" i="13"/>
  <c r="P46" i="13"/>
  <c r="Q46" i="13"/>
  <c r="C47" i="13"/>
  <c r="D47" i="13"/>
  <c r="E47" i="13"/>
  <c r="F47" i="13"/>
  <c r="G47" i="13"/>
  <c r="H47" i="13"/>
  <c r="I47" i="13"/>
  <c r="J47" i="13"/>
  <c r="K47" i="13"/>
  <c r="L47" i="13"/>
  <c r="N47" i="13"/>
  <c r="O47" i="13"/>
  <c r="P47" i="13"/>
  <c r="Q47" i="13"/>
  <c r="C50" i="13"/>
  <c r="O50" i="13"/>
  <c r="P50" i="13"/>
  <c r="Q50" i="13"/>
  <c r="C51" i="13"/>
  <c r="D51" i="13"/>
  <c r="E51" i="13"/>
  <c r="F51" i="13"/>
  <c r="G51" i="13"/>
  <c r="H51" i="13"/>
  <c r="I51" i="13"/>
  <c r="J51" i="13"/>
  <c r="K51" i="13"/>
  <c r="L51" i="13"/>
  <c r="N51" i="13"/>
  <c r="O51" i="13"/>
  <c r="P51" i="13"/>
  <c r="Q51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C55" i="13"/>
  <c r="N55" i="13"/>
  <c r="O55" i="13"/>
  <c r="P55" i="13"/>
  <c r="Q55" i="13"/>
  <c r="C56" i="13"/>
  <c r="N56" i="13"/>
  <c r="O56" i="13"/>
  <c r="P56" i="13"/>
  <c r="Q56" i="13"/>
  <c r="C57" i="13"/>
  <c r="L57" i="13"/>
  <c r="N57" i="13"/>
  <c r="O57" i="13"/>
  <c r="Q57" i="13"/>
  <c r="C59" i="13"/>
  <c r="D59" i="13"/>
  <c r="E59" i="13"/>
  <c r="F59" i="13"/>
  <c r="G59" i="13"/>
  <c r="I59" i="13"/>
  <c r="J59" i="13"/>
  <c r="K59" i="13"/>
  <c r="L59" i="13"/>
  <c r="N59" i="13"/>
  <c r="P59" i="13"/>
  <c r="Q59" i="13"/>
  <c r="C60" i="13"/>
  <c r="D60" i="13"/>
  <c r="E60" i="13"/>
  <c r="F60" i="13"/>
  <c r="G60" i="13"/>
  <c r="I60" i="13"/>
  <c r="J60" i="13"/>
  <c r="K60" i="13"/>
  <c r="L60" i="13"/>
  <c r="N60" i="13"/>
  <c r="P60" i="13"/>
  <c r="Q60" i="13"/>
  <c r="C61" i="13"/>
  <c r="D61" i="13"/>
  <c r="E61" i="13"/>
  <c r="F61" i="13"/>
  <c r="G61" i="13"/>
  <c r="I61" i="13"/>
  <c r="J61" i="13"/>
  <c r="K61" i="13"/>
  <c r="L61" i="13"/>
  <c r="N61" i="13"/>
  <c r="P61" i="13"/>
  <c r="Q61" i="13"/>
  <c r="C62" i="13"/>
  <c r="D62" i="13"/>
  <c r="E62" i="13"/>
  <c r="F62" i="13"/>
  <c r="G62" i="13"/>
  <c r="I62" i="13"/>
  <c r="J62" i="13"/>
  <c r="K62" i="13"/>
  <c r="L62" i="13"/>
  <c r="N62" i="13"/>
  <c r="P62" i="13"/>
  <c r="Q62" i="13"/>
  <c r="C63" i="13"/>
  <c r="O63" i="13"/>
  <c r="F53" i="18"/>
  <c r="F52" i="18"/>
  <c r="Q30" i="13"/>
  <c r="Q29" i="13"/>
  <c r="Q28" i="13"/>
  <c r="Q27" i="13"/>
  <c r="Q25" i="13"/>
  <c r="Q24" i="13"/>
  <c r="Q23" i="13"/>
  <c r="Q21" i="13"/>
  <c r="Q19" i="13"/>
  <c r="Q18" i="13"/>
  <c r="Q15" i="13"/>
  <c r="Q14" i="13"/>
  <c r="Q11" i="13"/>
  <c r="R16" i="9"/>
  <c r="Q28" i="9"/>
  <c r="Q23" i="9" s="1"/>
  <c r="Q19" i="9" s="1"/>
  <c r="Q22" i="13" s="1"/>
  <c r="Q17" i="9"/>
  <c r="Q14" i="9" s="1"/>
  <c r="Q49" i="13" s="1"/>
  <c r="Q13" i="9"/>
  <c r="Q48" i="13" s="1"/>
  <c r="Q9" i="9"/>
  <c r="Q12" i="13" s="1"/>
  <c r="D23" i="10"/>
  <c r="D22" i="10"/>
  <c r="D20" i="10"/>
  <c r="D19" i="10"/>
  <c r="F70" i="18"/>
  <c r="F58" i="18"/>
  <c r="F57" i="18"/>
  <c r="F56" i="18"/>
  <c r="F55" i="18"/>
  <c r="F60" i="18"/>
  <c r="F50" i="18"/>
  <c r="F51" i="18"/>
  <c r="F61" i="18"/>
  <c r="F48" i="18"/>
  <c r="F54" i="18"/>
  <c r="F7" i="18"/>
  <c r="F6" i="18"/>
  <c r="Q63" i="13" l="1"/>
  <c r="Q54" i="13"/>
  <c r="Q52" i="13"/>
  <c r="Q44" i="13"/>
  <c r="Q58" i="13"/>
  <c r="J102" i="13"/>
  <c r="I102" i="13"/>
  <c r="R111" i="13"/>
  <c r="M111" i="13"/>
  <c r="P102" i="13"/>
  <c r="G102" i="13"/>
  <c r="F102" i="13"/>
  <c r="M120" i="13"/>
  <c r="R120" i="13" s="1"/>
  <c r="R116" i="13" s="1"/>
  <c r="N102" i="13"/>
  <c r="E102" i="13"/>
  <c r="K102" i="13"/>
  <c r="L102" i="13"/>
  <c r="D102" i="13"/>
  <c r="M104" i="13"/>
  <c r="R104" i="13" s="1"/>
  <c r="H102" i="13"/>
  <c r="O102" i="13"/>
  <c r="Q31" i="13"/>
  <c r="Q16" i="13"/>
  <c r="Q17" i="13"/>
  <c r="Q26" i="13"/>
  <c r="Q20" i="13"/>
  <c r="Q7" i="9"/>
  <c r="R53" i="13"/>
  <c r="C49" i="13"/>
  <c r="C42" i="13"/>
  <c r="Q42" i="13" l="1"/>
  <c r="Q10" i="9"/>
  <c r="Q45" i="13" s="1"/>
  <c r="M116" i="13"/>
  <c r="M107" i="13"/>
  <c r="M103" i="13" s="1"/>
  <c r="C54" i="13"/>
  <c r="C58" i="13"/>
  <c r="Q10" i="13"/>
  <c r="P22" i="9"/>
  <c r="P57" i="13" s="1"/>
  <c r="F16" i="3"/>
  <c r="M102" i="13" l="1"/>
  <c r="C41" i="10" s="1"/>
  <c r="E41" i="10" s="1"/>
  <c r="R107" i="13"/>
  <c r="R103" i="13" s="1"/>
  <c r="R102" i="13" s="1"/>
  <c r="R51" i="13"/>
  <c r="M51" i="13"/>
  <c r="Q13" i="13"/>
  <c r="Q6" i="9"/>
  <c r="Q41" i="13" s="1"/>
  <c r="B16" i="3"/>
  <c r="G15" i="3"/>
  <c r="G14" i="3"/>
  <c r="G13" i="3"/>
  <c r="G12" i="3"/>
  <c r="G11" i="3"/>
  <c r="G10" i="3"/>
  <c r="G9" i="3"/>
  <c r="G8" i="3"/>
  <c r="G7" i="3"/>
  <c r="G6" i="3"/>
  <c r="G5" i="3"/>
  <c r="Q5" i="9" l="1"/>
  <c r="Q9" i="13"/>
  <c r="K11" i="3"/>
  <c r="Q39" i="13" l="1"/>
  <c r="Q40" i="13" s="1"/>
  <c r="C32" i="10"/>
  <c r="C33" i="10" s="1"/>
  <c r="K6" i="3"/>
  <c r="K10" i="3"/>
  <c r="K9" i="3"/>
  <c r="K8" i="3"/>
  <c r="K7" i="3"/>
  <c r="Q5" i="13"/>
  <c r="K16" i="3"/>
  <c r="K13" i="3"/>
  <c r="K12" i="3"/>
  <c r="K15" i="3"/>
  <c r="K14" i="3"/>
  <c r="I16" i="3" l="1"/>
  <c r="C16" i="3"/>
  <c r="C28" i="10"/>
  <c r="C30" i="10"/>
  <c r="J27" i="16" l="1"/>
  <c r="H26" i="16"/>
  <c r="I26" i="16" s="1"/>
  <c r="H25" i="16"/>
  <c r="P89" i="13"/>
  <c r="P85" i="13" s="1"/>
  <c r="H27" i="16" l="1"/>
  <c r="I25" i="16"/>
  <c r="P80" i="13"/>
  <c r="I27" i="16" l="1"/>
  <c r="K26" i="16" s="1"/>
  <c r="L26" i="16" s="1"/>
  <c r="H27" i="9" s="1"/>
  <c r="H62" i="13" s="1"/>
  <c r="G64" i="18"/>
  <c r="E64" i="18"/>
  <c r="B64" i="18"/>
  <c r="G29" i="18"/>
  <c r="E29" i="18"/>
  <c r="B29" i="18"/>
  <c r="G45" i="18"/>
  <c r="E45" i="18"/>
  <c r="B45" i="18"/>
  <c r="K25" i="16" l="1"/>
  <c r="F62" i="18"/>
  <c r="L25" i="16" l="1"/>
  <c r="K27" i="16"/>
  <c r="P72" i="13"/>
  <c r="P71" i="13" s="1"/>
  <c r="P73" i="13"/>
  <c r="O27" i="9" l="1"/>
  <c r="O62" i="13" s="1"/>
  <c r="L27" i="16"/>
  <c r="L28" i="9"/>
  <c r="L63" i="13" s="1"/>
  <c r="K28" i="9"/>
  <c r="K63" i="13" s="1"/>
  <c r="J28" i="9"/>
  <c r="J63" i="13" s="1"/>
  <c r="I28" i="9"/>
  <c r="I63" i="13" s="1"/>
  <c r="H28" i="9"/>
  <c r="H63" i="13" s="1"/>
  <c r="G28" i="9"/>
  <c r="G63" i="13" s="1"/>
  <c r="F28" i="9"/>
  <c r="F63" i="13" s="1"/>
  <c r="E28" i="9"/>
  <c r="E63" i="13" s="1"/>
  <c r="D28" i="9"/>
  <c r="D63" i="13" s="1"/>
  <c r="L17" i="9"/>
  <c r="L52" i="13" s="1"/>
  <c r="K17" i="9"/>
  <c r="K52" i="13" s="1"/>
  <c r="J17" i="9"/>
  <c r="J52" i="13" s="1"/>
  <c r="I17" i="9"/>
  <c r="I52" i="13" s="1"/>
  <c r="H17" i="9"/>
  <c r="H52" i="13" s="1"/>
  <c r="G17" i="9"/>
  <c r="G52" i="13" s="1"/>
  <c r="F17" i="9"/>
  <c r="F52" i="13" s="1"/>
  <c r="E17" i="9"/>
  <c r="E52" i="13" s="1"/>
  <c r="D17" i="9"/>
  <c r="D52" i="13" s="1"/>
  <c r="L13" i="9"/>
  <c r="L48" i="13" s="1"/>
  <c r="K13" i="9"/>
  <c r="K48" i="13" s="1"/>
  <c r="J13" i="9"/>
  <c r="J48" i="13" s="1"/>
  <c r="I13" i="9"/>
  <c r="I48" i="13" s="1"/>
  <c r="H13" i="9"/>
  <c r="H48" i="13" s="1"/>
  <c r="G13" i="9"/>
  <c r="G48" i="13" s="1"/>
  <c r="F13" i="9"/>
  <c r="F48" i="13" s="1"/>
  <c r="E13" i="9"/>
  <c r="E48" i="13" s="1"/>
  <c r="D13" i="9"/>
  <c r="D48" i="13" s="1"/>
  <c r="L9" i="9"/>
  <c r="L44" i="13" s="1"/>
  <c r="K9" i="9"/>
  <c r="K44" i="13" s="1"/>
  <c r="J9" i="9"/>
  <c r="J44" i="13" s="1"/>
  <c r="I9" i="9"/>
  <c r="I44" i="13" s="1"/>
  <c r="H9" i="9"/>
  <c r="H44" i="13" s="1"/>
  <c r="G9" i="9"/>
  <c r="G44" i="13" s="1"/>
  <c r="F9" i="9"/>
  <c r="F44" i="13" s="1"/>
  <c r="E9" i="9"/>
  <c r="E44" i="13" s="1"/>
  <c r="D9" i="9"/>
  <c r="D44" i="13" s="1"/>
  <c r="F67" i="18"/>
  <c r="F63" i="18"/>
  <c r="F28" i="18"/>
  <c r="F12" i="18"/>
  <c r="F44" i="18"/>
  <c r="P28" i="9"/>
  <c r="P63" i="13" s="1"/>
  <c r="P17" i="9"/>
  <c r="P52" i="13" s="1"/>
  <c r="P13" i="9"/>
  <c r="P48" i="13" s="1"/>
  <c r="P9" i="9"/>
  <c r="P44" i="13" s="1"/>
  <c r="G68" i="18"/>
  <c r="E68" i="18"/>
  <c r="B68" i="18"/>
  <c r="G13" i="18"/>
  <c r="E13" i="18"/>
  <c r="B13" i="18"/>
  <c r="E8" i="18"/>
  <c r="B8" i="18"/>
  <c r="F114" i="18"/>
  <c r="N13" i="9"/>
  <c r="N48" i="13" s="1"/>
  <c r="F34" i="18"/>
  <c r="F35" i="18"/>
  <c r="F11" i="18"/>
  <c r="F5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69" i="18"/>
  <c r="F66" i="18"/>
  <c r="F49" i="18"/>
  <c r="F47" i="18"/>
  <c r="F43" i="18"/>
  <c r="F42" i="18"/>
  <c r="F41" i="18"/>
  <c r="F39" i="18"/>
  <c r="F38" i="18"/>
  <c r="F37" i="18"/>
  <c r="F36" i="18"/>
  <c r="F32" i="18"/>
  <c r="F31" i="18"/>
  <c r="F27" i="18"/>
  <c r="F26" i="18"/>
  <c r="F25" i="18"/>
  <c r="F24" i="18"/>
  <c r="F19" i="18"/>
  <c r="F18" i="18"/>
  <c r="F17" i="18"/>
  <c r="F16" i="18"/>
  <c r="F15" i="18"/>
  <c r="F10" i="18"/>
  <c r="C31" i="10" l="1"/>
  <c r="F64" i="18"/>
  <c r="F29" i="18"/>
  <c r="F45" i="18"/>
  <c r="F13" i="18"/>
  <c r="M9" i="9"/>
  <c r="M44" i="13" s="1"/>
  <c r="F8" i="18"/>
  <c r="F68" i="18"/>
  <c r="C8" i="10"/>
  <c r="D21" i="10" s="1"/>
  <c r="F9" i="10"/>
  <c r="N17" i="9" l="1"/>
  <c r="N52" i="13" s="1"/>
  <c r="C6" i="10"/>
  <c r="N9" i="9"/>
  <c r="N44" i="13" s="1"/>
  <c r="G6" i="10" l="1"/>
  <c r="C29" i="10"/>
  <c r="C9" i="10"/>
  <c r="G7" i="10"/>
  <c r="G8" i="10"/>
  <c r="N28" i="9"/>
  <c r="N63" i="13" s="1"/>
  <c r="G5" i="10" l="1"/>
  <c r="G9" i="10" s="1"/>
  <c r="G10" i="10"/>
  <c r="AR14" i="8"/>
  <c r="AR10" i="8"/>
  <c r="AR9" i="8"/>
  <c r="AN14" i="8"/>
  <c r="AN13" i="8"/>
  <c r="AP13" i="8" s="1"/>
  <c r="AR13" i="8" s="1"/>
  <c r="AN12" i="8"/>
  <c r="AP12" i="8" s="1"/>
  <c r="AR12" i="8" s="1"/>
  <c r="AN11" i="8"/>
  <c r="AP11" i="8" s="1"/>
  <c r="AR11" i="8" s="1"/>
  <c r="AN10" i="8"/>
  <c r="AP10" i="8" s="1"/>
  <c r="AN9" i="8"/>
  <c r="AP9" i="8" s="1"/>
  <c r="AN8" i="8"/>
  <c r="AP8" i="8" s="1"/>
  <c r="AR8" i="8" s="1"/>
  <c r="AN7" i="8"/>
  <c r="AP7" i="8" s="1"/>
  <c r="AR7" i="8" s="1"/>
  <c r="AN6" i="8"/>
  <c r="AP6" i="8" s="1"/>
  <c r="AR6" i="8" s="1"/>
  <c r="AN5" i="8"/>
  <c r="AP5" i="8" s="1"/>
  <c r="AR5" i="8" s="1"/>
  <c r="C16" i="11" l="1"/>
  <c r="D16" i="11"/>
  <c r="G16" i="11"/>
  <c r="H16" i="11"/>
  <c r="K16" i="11"/>
  <c r="L16" i="11"/>
  <c r="C14" i="9"/>
  <c r="C7" i="9"/>
  <c r="I14" i="17"/>
  <c r="J5" i="17"/>
  <c r="K5" i="17" s="1"/>
  <c r="J6" i="17"/>
  <c r="K6" i="17" s="1"/>
  <c r="L6" i="17" s="1"/>
  <c r="J7" i="17"/>
  <c r="K7" i="17" s="1"/>
  <c r="J8" i="17"/>
  <c r="K8" i="17" s="1"/>
  <c r="J9" i="17"/>
  <c r="K9" i="17" s="1"/>
  <c r="J10" i="17"/>
  <c r="K10" i="17" s="1"/>
  <c r="J11" i="17"/>
  <c r="K11" i="17" s="1"/>
  <c r="L11" i="17" s="1"/>
  <c r="J12" i="17"/>
  <c r="K12" i="17" s="1"/>
  <c r="L12" i="17" s="1"/>
  <c r="J13" i="17"/>
  <c r="K13" i="17" s="1"/>
  <c r="L13" i="17" s="1"/>
  <c r="J4" i="17"/>
  <c r="K4" i="17" s="1"/>
  <c r="H14" i="17"/>
  <c r="G14" i="17"/>
  <c r="F14" i="17"/>
  <c r="E14" i="17"/>
  <c r="D14" i="17"/>
  <c r="C14" i="17"/>
  <c r="B14" i="17"/>
  <c r="K15" i="17" l="1"/>
  <c r="L5" i="17" s="1"/>
  <c r="C6" i="9"/>
  <c r="C41" i="13" s="1"/>
  <c r="K14" i="17"/>
  <c r="O72" i="13"/>
  <c r="N72" i="13"/>
  <c r="L72" i="13"/>
  <c r="K72" i="13"/>
  <c r="J72" i="13"/>
  <c r="I72" i="13"/>
  <c r="H72" i="13"/>
  <c r="G72" i="13"/>
  <c r="F72" i="13"/>
  <c r="E72" i="13"/>
  <c r="O73" i="13"/>
  <c r="N73" i="13"/>
  <c r="L73" i="13"/>
  <c r="K73" i="13"/>
  <c r="J73" i="13"/>
  <c r="I73" i="13"/>
  <c r="H73" i="13"/>
  <c r="G73" i="13"/>
  <c r="F73" i="13"/>
  <c r="E73" i="13"/>
  <c r="D73" i="13"/>
  <c r="D72" i="13"/>
  <c r="M75" i="13"/>
  <c r="R75" i="13" s="1"/>
  <c r="P11" i="13"/>
  <c r="O11" i="13"/>
  <c r="C11" i="13"/>
  <c r="P7" i="9"/>
  <c r="O9" i="9"/>
  <c r="O13" i="9"/>
  <c r="O48" i="13" s="1"/>
  <c r="N12" i="13"/>
  <c r="L12" i="13"/>
  <c r="K12" i="13"/>
  <c r="J12" i="13"/>
  <c r="I12" i="13"/>
  <c r="H12" i="13"/>
  <c r="G12" i="13"/>
  <c r="F12" i="13"/>
  <c r="E12" i="13"/>
  <c r="D12" i="13"/>
  <c r="P42" i="13" l="1"/>
  <c r="P10" i="9"/>
  <c r="L10" i="17"/>
  <c r="L4" i="17"/>
  <c r="L9" i="17"/>
  <c r="O44" i="13"/>
  <c r="R9" i="9"/>
  <c r="R44" i="13" s="1"/>
  <c r="C5" i="9"/>
  <c r="C39" i="13" s="1"/>
  <c r="C40" i="13" s="1"/>
  <c r="O7" i="9"/>
  <c r="L8" i="17"/>
  <c r="L7" i="17"/>
  <c r="O12" i="13"/>
  <c r="P12" i="13"/>
  <c r="O42" i="13" l="1"/>
  <c r="O10" i="9"/>
  <c r="D28" i="10"/>
  <c r="M12" i="13"/>
  <c r="E33" i="10" l="1"/>
  <c r="E31" i="10"/>
  <c r="E30" i="10"/>
  <c r="E32" i="10"/>
  <c r="E29" i="10"/>
  <c r="E28" i="10"/>
  <c r="R12" i="13"/>
  <c r="G5" i="16"/>
  <c r="G4" i="16"/>
  <c r="F6" i="16"/>
  <c r="E6" i="16"/>
  <c r="D6" i="16"/>
  <c r="C6" i="16"/>
  <c r="B6" i="16"/>
  <c r="H6" i="16"/>
  <c r="G6" i="16" l="1"/>
  <c r="F20" i="9" l="1"/>
  <c r="F55" i="13" s="1"/>
  <c r="E20" i="9"/>
  <c r="E55" i="13" s="1"/>
  <c r="G20" i="9"/>
  <c r="G55" i="13" s="1"/>
  <c r="J20" i="9"/>
  <c r="J55" i="13" s="1"/>
  <c r="I20" i="9"/>
  <c r="I55" i="13" s="1"/>
  <c r="D20" i="9"/>
  <c r="D55" i="13" s="1"/>
  <c r="H20" i="9"/>
  <c r="H55" i="13" s="1"/>
  <c r="K20" i="9"/>
  <c r="K55" i="13" s="1"/>
  <c r="L20" i="9"/>
  <c r="L55" i="13" s="1"/>
  <c r="L14" i="17" l="1"/>
  <c r="J14" i="17"/>
  <c r="F27" i="16" l="1"/>
  <c r="C27" i="16"/>
  <c r="G26" i="16"/>
  <c r="H26" i="9" s="1"/>
  <c r="H61" i="13" s="1"/>
  <c r="G25" i="16"/>
  <c r="D16" i="16"/>
  <c r="C16" i="16"/>
  <c r="E15" i="16"/>
  <c r="E14" i="16"/>
  <c r="F15" i="16" l="1"/>
  <c r="H24" i="9" s="1"/>
  <c r="H59" i="13" s="1"/>
  <c r="F14" i="16"/>
  <c r="O24" i="9" s="1"/>
  <c r="G27" i="16"/>
  <c r="O26" i="9"/>
  <c r="E16" i="16"/>
  <c r="O61" i="13" l="1"/>
  <c r="O59" i="13"/>
  <c r="H25" i="9"/>
  <c r="H60" i="13" s="1"/>
  <c r="O25" i="9"/>
  <c r="F16" i="16"/>
  <c r="R21" i="13"/>
  <c r="AA5" i="2"/>
  <c r="AA6" i="2"/>
  <c r="AA7" i="2"/>
  <c r="AA8" i="2"/>
  <c r="AA9" i="2"/>
  <c r="AA10" i="2"/>
  <c r="AA11" i="2"/>
  <c r="AA12" i="2"/>
  <c r="AA13" i="2"/>
  <c r="AA4" i="2"/>
  <c r="O60" i="13" l="1"/>
  <c r="R14" i="6"/>
  <c r="D11" i="6" l="1"/>
  <c r="E11" i="6" s="1"/>
  <c r="F11" i="6" s="1"/>
  <c r="S11" i="6"/>
  <c r="T11" i="6" s="1"/>
  <c r="U11" i="6" s="1"/>
  <c r="AO14" i="8"/>
  <c r="AO13" i="8"/>
  <c r="AO12" i="8"/>
  <c r="AO11" i="8"/>
  <c r="AO10" i="8"/>
  <c r="AO9" i="8"/>
  <c r="AO8" i="8"/>
  <c r="AO7" i="8"/>
  <c r="AO6" i="8"/>
  <c r="AO5" i="8"/>
  <c r="C14" i="6"/>
  <c r="D15" i="3" l="1"/>
  <c r="L15" i="3" s="1"/>
  <c r="D14" i="3"/>
  <c r="L14" i="3" s="1"/>
  <c r="D13" i="3"/>
  <c r="D12" i="3"/>
  <c r="D11" i="3"/>
  <c r="D10" i="3"/>
  <c r="D9" i="3"/>
  <c r="D8" i="3"/>
  <c r="D7" i="3"/>
  <c r="O20" i="15"/>
  <c r="U20" i="15"/>
  <c r="AA20" i="15"/>
  <c r="AG20" i="15"/>
  <c r="AM20" i="15"/>
  <c r="AS20" i="15"/>
  <c r="P14" i="3" l="1"/>
  <c r="Q14" i="3"/>
  <c r="Q15" i="3"/>
  <c r="P15" i="3"/>
  <c r="AS16" i="15"/>
  <c r="AR16" i="15"/>
  <c r="AM16" i="15"/>
  <c r="AL16" i="15"/>
  <c r="AG16" i="15"/>
  <c r="AF16" i="15"/>
  <c r="AC16" i="15"/>
  <c r="AA16" i="15"/>
  <c r="Z16" i="15"/>
  <c r="W16" i="15"/>
  <c r="U16" i="15"/>
  <c r="T16" i="15"/>
  <c r="O16" i="15"/>
  <c r="N16" i="15"/>
  <c r="AZ15" i="15"/>
  <c r="AW15" i="15"/>
  <c r="AV15" i="15"/>
  <c r="AU15" i="15"/>
  <c r="BB15" i="15" s="1"/>
  <c r="AJ15" i="15"/>
  <c r="AI15" i="15"/>
  <c r="AY15" i="15" s="1"/>
  <c r="AX15" i="15"/>
  <c r="AZ14" i="15"/>
  <c r="BG14" i="15" s="1"/>
  <c r="G14" i="15" s="1"/>
  <c r="AY14" i="15"/>
  <c r="AX14" i="15"/>
  <c r="AW14" i="15"/>
  <c r="AV14" i="15"/>
  <c r="AP13" i="15"/>
  <c r="AZ13" i="15"/>
  <c r="AJ13" i="15"/>
  <c r="AH13" i="15"/>
  <c r="AU13" i="15"/>
  <c r="BB13" i="15" s="1"/>
  <c r="AP12" i="15"/>
  <c r="AJ12" i="15"/>
  <c r="AI12" i="15"/>
  <c r="AH12" i="15"/>
  <c r="AX12" i="15"/>
  <c r="AP11" i="15"/>
  <c r="AJ11" i="15"/>
  <c r="AI11" i="15"/>
  <c r="AH11" i="15"/>
  <c r="AV11" i="15"/>
  <c r="AP10" i="15"/>
  <c r="AJ10" i="15"/>
  <c r="AI10" i="15"/>
  <c r="AH10" i="15"/>
  <c r="AX10" i="15"/>
  <c r="AW10" i="15"/>
  <c r="AP9" i="15"/>
  <c r="AZ9" i="15"/>
  <c r="AJ9" i="15"/>
  <c r="AI9" i="15"/>
  <c r="AH9" i="15"/>
  <c r="AV9" i="15"/>
  <c r="AP8" i="15"/>
  <c r="AJ8" i="15"/>
  <c r="AI8" i="15"/>
  <c r="AH8" i="15"/>
  <c r="AX8" i="15"/>
  <c r="AW8" i="15"/>
  <c r="J16" i="15"/>
  <c r="AP7" i="15"/>
  <c r="AJ7" i="15"/>
  <c r="AI7" i="15"/>
  <c r="AH7" i="15"/>
  <c r="AV7" i="15"/>
  <c r="AP6" i="15"/>
  <c r="AO16" i="15"/>
  <c r="AJ6" i="15"/>
  <c r="AI6" i="15"/>
  <c r="AH6" i="15"/>
  <c r="AY6" i="15" s="1"/>
  <c r="BF6" i="15" s="1"/>
  <c r="AB16" i="15"/>
  <c r="R16" i="15"/>
  <c r="M16" i="15"/>
  <c r="AY7" i="15" l="1"/>
  <c r="AY13" i="15"/>
  <c r="AP16" i="15"/>
  <c r="BF14" i="15"/>
  <c r="F14" i="15" s="1"/>
  <c r="BC9" i="15"/>
  <c r="C9" i="15" s="1"/>
  <c r="BE14" i="15"/>
  <c r="E14" i="15" s="1"/>
  <c r="BD8" i="15"/>
  <c r="D8" i="15" s="1"/>
  <c r="BG9" i="15"/>
  <c r="G9" i="15" s="1"/>
  <c r="BG13" i="15"/>
  <c r="G13" i="15" s="1"/>
  <c r="BC11" i="15"/>
  <c r="C11" i="15" s="1"/>
  <c r="BE10" i="15"/>
  <c r="E10" i="15" s="1"/>
  <c r="BF7" i="15"/>
  <c r="F7" i="15" s="1"/>
  <c r="BC15" i="15"/>
  <c r="BE8" i="15"/>
  <c r="E8" i="15" s="1"/>
  <c r="BD14" i="15"/>
  <c r="D14" i="15" s="1"/>
  <c r="BF13" i="15"/>
  <c r="F13" i="15" s="1"/>
  <c r="BC14" i="15"/>
  <c r="C14" i="15" s="1"/>
  <c r="BG15" i="15"/>
  <c r="G15" i="15" s="1"/>
  <c r="BE12" i="15"/>
  <c r="E12" i="15" s="1"/>
  <c r="BF15" i="15"/>
  <c r="F15" i="15" s="1"/>
  <c r="BC7" i="15"/>
  <c r="C7" i="15" s="1"/>
  <c r="BD15" i="15"/>
  <c r="D15" i="15" s="1"/>
  <c r="BD10" i="15"/>
  <c r="D10" i="15" s="1"/>
  <c r="BE15" i="15"/>
  <c r="E15" i="15" s="1"/>
  <c r="AZ12" i="15"/>
  <c r="P16" i="15"/>
  <c r="AD16" i="15"/>
  <c r="AU9" i="15"/>
  <c r="AW9" i="15"/>
  <c r="AU10" i="15"/>
  <c r="AU14" i="15"/>
  <c r="Q16" i="15"/>
  <c r="AE16" i="15"/>
  <c r="AQ16" i="15"/>
  <c r="AZ10" i="15"/>
  <c r="AX11" i="15"/>
  <c r="AZ11" i="15"/>
  <c r="AV12" i="15"/>
  <c r="AW13" i="15"/>
  <c r="AX6" i="15"/>
  <c r="S16" i="15"/>
  <c r="AI16" i="15"/>
  <c r="AU7" i="15"/>
  <c r="AW7" i="15"/>
  <c r="AU8" i="15"/>
  <c r="AY8" i="15"/>
  <c r="AX9" i="15"/>
  <c r="AH16" i="15"/>
  <c r="V16" i="15"/>
  <c r="AJ16" i="15"/>
  <c r="AZ8" i="15"/>
  <c r="AV10" i="15"/>
  <c r="AX13" i="15"/>
  <c r="AU6" i="15"/>
  <c r="BB6" i="15" s="1"/>
  <c r="X16" i="15"/>
  <c r="AK16" i="15"/>
  <c r="AY10" i="15"/>
  <c r="AY11" i="15"/>
  <c r="AW12" i="15"/>
  <c r="L16" i="15"/>
  <c r="Y16" i="15"/>
  <c r="AN16" i="15"/>
  <c r="AX7" i="15"/>
  <c r="AZ7" i="15"/>
  <c r="AV8" i="15"/>
  <c r="AY9" i="15"/>
  <c r="AU11" i="15"/>
  <c r="AW11" i="15"/>
  <c r="AU12" i="15"/>
  <c r="AY12" i="15"/>
  <c r="AV13" i="15"/>
  <c r="B13" i="15"/>
  <c r="B15" i="15"/>
  <c r="AW6" i="15"/>
  <c r="BD6" i="15" s="1"/>
  <c r="K16" i="15"/>
  <c r="AZ6" i="15"/>
  <c r="BG6" i="15" s="1"/>
  <c r="AV6" i="15"/>
  <c r="BC6" i="15" s="1"/>
  <c r="BH15" i="15" l="1"/>
  <c r="BD11" i="15"/>
  <c r="D11" i="15" s="1"/>
  <c r="BE11" i="15"/>
  <c r="E11" i="15" s="1"/>
  <c r="BD12" i="15"/>
  <c r="D12" i="15" s="1"/>
  <c r="BB7" i="15"/>
  <c r="B7" i="15" s="1"/>
  <c r="C15" i="15"/>
  <c r="H15" i="15" s="1"/>
  <c r="E14" i="8" s="1"/>
  <c r="BC8" i="15"/>
  <c r="C8" i="15" s="1"/>
  <c r="BF10" i="15"/>
  <c r="F10" i="15" s="1"/>
  <c r="BG12" i="15"/>
  <c r="G12" i="15" s="1"/>
  <c r="BC10" i="15"/>
  <c r="C10" i="15" s="1"/>
  <c r="BB9" i="15"/>
  <c r="B9" i="15" s="1"/>
  <c r="BB11" i="15"/>
  <c r="BG10" i="15"/>
  <c r="G10" i="15" s="1"/>
  <c r="BF11" i="15"/>
  <c r="F11" i="15" s="1"/>
  <c r="G7" i="15"/>
  <c r="BG7" i="15"/>
  <c r="BE6" i="15"/>
  <c r="BH6" i="15" s="1"/>
  <c r="BD7" i="15"/>
  <c r="D7" i="15" s="1"/>
  <c r="BG8" i="15"/>
  <c r="G8" i="15" s="1"/>
  <c r="BF9" i="15"/>
  <c r="F9" i="15" s="1"/>
  <c r="BC13" i="15"/>
  <c r="BH13" i="15" s="1"/>
  <c r="BE7" i="15"/>
  <c r="E7" i="15" s="1"/>
  <c r="E9" i="15"/>
  <c r="BE9" i="15"/>
  <c r="BD13" i="15"/>
  <c r="D13" i="15" s="1"/>
  <c r="BB14" i="15"/>
  <c r="B14" i="15" s="1"/>
  <c r="H14" i="15" s="1"/>
  <c r="E13" i="8" s="1"/>
  <c r="BF12" i="15"/>
  <c r="F12" i="15" s="1"/>
  <c r="BF8" i="15"/>
  <c r="BC12" i="15"/>
  <c r="C12" i="15" s="1"/>
  <c r="BB10" i="15"/>
  <c r="BB12" i="15"/>
  <c r="BE13" i="15"/>
  <c r="E13" i="15" s="1"/>
  <c r="BB8" i="15"/>
  <c r="BG11" i="15"/>
  <c r="G11" i="15" s="1"/>
  <c r="BD9" i="15"/>
  <c r="D9" i="15" s="1"/>
  <c r="AX16" i="15"/>
  <c r="AU16" i="15"/>
  <c r="AY16" i="15"/>
  <c r="AV16" i="15"/>
  <c r="AZ16" i="15"/>
  <c r="AW16" i="15"/>
  <c r="B6" i="15"/>
  <c r="F6" i="15"/>
  <c r="BF16" i="15" l="1"/>
  <c r="F8" i="15"/>
  <c r="BH11" i="15"/>
  <c r="BH8" i="15"/>
  <c r="BH12" i="15"/>
  <c r="BH10" i="15"/>
  <c r="B12" i="15"/>
  <c r="H12" i="15" s="1"/>
  <c r="E11" i="8" s="1"/>
  <c r="BH9" i="15"/>
  <c r="H9" i="15"/>
  <c r="E8" i="8" s="1"/>
  <c r="H7" i="15"/>
  <c r="E6" i="8" s="1"/>
  <c r="B10" i="15"/>
  <c r="H10" i="15" s="1"/>
  <c r="E9" i="8" s="1"/>
  <c r="C13" i="15"/>
  <c r="H13" i="15" s="1"/>
  <c r="E12" i="8" s="1"/>
  <c r="B8" i="15"/>
  <c r="H8" i="15" s="1"/>
  <c r="E7" i="8" s="1"/>
  <c r="BE16" i="15"/>
  <c r="B11" i="15"/>
  <c r="H11" i="15" s="1"/>
  <c r="E10" i="8" s="1"/>
  <c r="BH14" i="15"/>
  <c r="F16" i="15"/>
  <c r="E6" i="15"/>
  <c r="E16" i="15" s="1"/>
  <c r="BH7" i="15"/>
  <c r="BB16" i="15"/>
  <c r="BC16" i="15"/>
  <c r="C6" i="15"/>
  <c r="BD16" i="15"/>
  <c r="D6" i="15"/>
  <c r="D16" i="15" s="1"/>
  <c r="G6" i="15"/>
  <c r="G16" i="15" s="1"/>
  <c r="BG16" i="15"/>
  <c r="C16" i="15" l="1"/>
  <c r="BH16" i="15"/>
  <c r="B16" i="15"/>
  <c r="H6" i="15"/>
  <c r="E5" i="8" s="1"/>
  <c r="L50" i="14"/>
  <c r="I49" i="14"/>
  <c r="I48" i="14"/>
  <c r="I47" i="14"/>
  <c r="I46" i="14"/>
  <c r="I45" i="14"/>
  <c r="I44" i="14"/>
  <c r="I43" i="14"/>
  <c r="I42" i="14"/>
  <c r="I41" i="14"/>
  <c r="I40" i="14"/>
  <c r="H50" i="14"/>
  <c r="G50" i="14"/>
  <c r="F50" i="14"/>
  <c r="D50" i="14"/>
  <c r="C50" i="14"/>
  <c r="B50" i="14"/>
  <c r="E49" i="14"/>
  <c r="E48" i="14"/>
  <c r="E47" i="14"/>
  <c r="E46" i="14"/>
  <c r="E45" i="14"/>
  <c r="E44" i="14"/>
  <c r="E43" i="14"/>
  <c r="E42" i="14"/>
  <c r="E41" i="14"/>
  <c r="E40" i="14"/>
  <c r="E50" i="14" l="1"/>
  <c r="I50" i="14"/>
  <c r="H16" i="15"/>
  <c r="L28" i="14"/>
  <c r="L24" i="14"/>
  <c r="L23" i="14"/>
  <c r="L33" i="14"/>
  <c r="L32" i="14"/>
  <c r="L31" i="14"/>
  <c r="L30" i="14"/>
  <c r="L29" i="14"/>
  <c r="L27" i="14"/>
  <c r="L26" i="14"/>
  <c r="L25" i="14"/>
  <c r="H33" i="14"/>
  <c r="G33" i="14"/>
  <c r="F33" i="14"/>
  <c r="D33" i="14"/>
  <c r="C33" i="14"/>
  <c r="H32" i="14"/>
  <c r="G32" i="14"/>
  <c r="F32" i="14"/>
  <c r="D32" i="14"/>
  <c r="C32" i="14"/>
  <c r="H31" i="14"/>
  <c r="G31" i="14"/>
  <c r="F31" i="14"/>
  <c r="D31" i="14"/>
  <c r="C31" i="14"/>
  <c r="H30" i="14"/>
  <c r="G30" i="14"/>
  <c r="F30" i="14"/>
  <c r="D30" i="14"/>
  <c r="C30" i="14"/>
  <c r="H29" i="14"/>
  <c r="G29" i="14"/>
  <c r="F29" i="14"/>
  <c r="D29" i="14"/>
  <c r="C29" i="14"/>
  <c r="H28" i="14"/>
  <c r="G28" i="14"/>
  <c r="F28" i="14"/>
  <c r="D28" i="14"/>
  <c r="C28" i="14"/>
  <c r="H27" i="14"/>
  <c r="G27" i="14"/>
  <c r="F27" i="14"/>
  <c r="D27" i="14"/>
  <c r="C27" i="14"/>
  <c r="H26" i="14"/>
  <c r="G26" i="14"/>
  <c r="F26" i="14"/>
  <c r="D26" i="14"/>
  <c r="C26" i="14"/>
  <c r="H25" i="14"/>
  <c r="G25" i="14"/>
  <c r="F25" i="14"/>
  <c r="D25" i="14"/>
  <c r="C25" i="14"/>
  <c r="H24" i="14"/>
  <c r="G24" i="14"/>
  <c r="F24" i="14"/>
  <c r="D24" i="14"/>
  <c r="C24" i="14"/>
  <c r="I23" i="14"/>
  <c r="F23" i="14"/>
  <c r="E23" i="14"/>
  <c r="B33" i="14"/>
  <c r="B32" i="14"/>
  <c r="B31" i="14"/>
  <c r="B30" i="14"/>
  <c r="B29" i="14"/>
  <c r="B28" i="14"/>
  <c r="B27" i="14"/>
  <c r="B26" i="14"/>
  <c r="B25" i="14"/>
  <c r="B24" i="14"/>
  <c r="B23" i="14"/>
  <c r="H16" i="14"/>
  <c r="I6" i="14"/>
  <c r="AB5" i="8" s="1"/>
  <c r="I7" i="14"/>
  <c r="AB6" i="8" s="1"/>
  <c r="I8" i="14"/>
  <c r="AB7" i="8" s="1"/>
  <c r="I9" i="14"/>
  <c r="AB8" i="8" s="1"/>
  <c r="I10" i="14"/>
  <c r="AB9" i="8" s="1"/>
  <c r="I11" i="14"/>
  <c r="AB10" i="8" s="1"/>
  <c r="I12" i="14"/>
  <c r="AB11" i="8" s="1"/>
  <c r="I13" i="14"/>
  <c r="AB12" i="8" s="1"/>
  <c r="I14" i="14"/>
  <c r="AB13" i="8" s="1"/>
  <c r="I15" i="14"/>
  <c r="AB14" i="8" s="1"/>
  <c r="E7" i="14"/>
  <c r="E25" i="14" s="1"/>
  <c r="E8" i="14"/>
  <c r="E26" i="14" s="1"/>
  <c r="E9" i="14"/>
  <c r="E27" i="14" s="1"/>
  <c r="E10" i="14"/>
  <c r="E28" i="14" s="1"/>
  <c r="E11" i="14"/>
  <c r="E29" i="14" s="1"/>
  <c r="E12" i="14"/>
  <c r="E30" i="14" s="1"/>
  <c r="E13" i="14"/>
  <c r="E31" i="14" s="1"/>
  <c r="E14" i="14"/>
  <c r="E32" i="14" s="1"/>
  <c r="E15" i="14"/>
  <c r="E33" i="14" s="1"/>
  <c r="E6" i="14"/>
  <c r="E24" i="14" s="1"/>
  <c r="D16" i="14"/>
  <c r="I24" i="14" l="1"/>
  <c r="I27" i="14"/>
  <c r="I32" i="14"/>
  <c r="I25" i="14"/>
  <c r="I26" i="14"/>
  <c r="I33" i="14"/>
  <c r="I31" i="14"/>
  <c r="B34" i="14"/>
  <c r="C34" i="14"/>
  <c r="I30" i="14"/>
  <c r="I29" i="14"/>
  <c r="I28" i="14"/>
  <c r="L34" i="14"/>
  <c r="H34" i="14"/>
  <c r="F34" i="14"/>
  <c r="D34" i="14"/>
  <c r="E34" i="14"/>
  <c r="G34" i="14"/>
  <c r="AD6" i="8"/>
  <c r="AD26" i="8" s="1"/>
  <c r="AD7" i="8"/>
  <c r="AD27" i="8" s="1"/>
  <c r="AD8" i="8"/>
  <c r="AD9" i="8"/>
  <c r="AE9" i="8" s="1"/>
  <c r="AD10" i="8"/>
  <c r="AD30" i="8" s="1"/>
  <c r="AD11" i="8"/>
  <c r="AD31" i="8" s="1"/>
  <c r="AD12" i="8"/>
  <c r="AD32" i="8" s="1"/>
  <c r="AD13" i="8"/>
  <c r="AD14" i="8"/>
  <c r="AD5" i="8"/>
  <c r="AE5" i="8" s="1"/>
  <c r="L16" i="14"/>
  <c r="I16" i="14"/>
  <c r="G16" i="14"/>
  <c r="F16" i="14"/>
  <c r="E16" i="14"/>
  <c r="C16" i="14"/>
  <c r="B16" i="14"/>
  <c r="E47" i="12"/>
  <c r="E45" i="12"/>
  <c r="E44" i="12"/>
  <c r="E43" i="12"/>
  <c r="E42" i="12"/>
  <c r="E41" i="12"/>
  <c r="E40" i="12"/>
  <c r="E39" i="12"/>
  <c r="E38" i="12"/>
  <c r="C48" i="12"/>
  <c r="T46" i="6"/>
  <c r="U46" i="6" s="1"/>
  <c r="T45" i="6"/>
  <c r="U45" i="6" s="1"/>
  <c r="T44" i="6"/>
  <c r="T28" i="6" s="1"/>
  <c r="T43" i="6"/>
  <c r="T42" i="6"/>
  <c r="U42" i="6" s="1"/>
  <c r="T41" i="6"/>
  <c r="U41" i="6" s="1"/>
  <c r="T40" i="6"/>
  <c r="U40" i="6" s="1"/>
  <c r="T39" i="6"/>
  <c r="T38" i="6"/>
  <c r="U38" i="6" s="1"/>
  <c r="T37" i="6"/>
  <c r="U37" i="6" s="1"/>
  <c r="O46" i="6"/>
  <c r="O45" i="6"/>
  <c r="O44" i="6"/>
  <c r="O28" i="6" s="1"/>
  <c r="O43" i="6"/>
  <c r="O42" i="6"/>
  <c r="O41" i="6"/>
  <c r="O40" i="6"/>
  <c r="O39" i="6"/>
  <c r="O38" i="6"/>
  <c r="O37" i="6"/>
  <c r="O36" i="6"/>
  <c r="P46" i="6" s="1"/>
  <c r="K42" i="6"/>
  <c r="J46" i="6"/>
  <c r="K46" i="6" s="1"/>
  <c r="J45" i="6"/>
  <c r="K45" i="6" s="1"/>
  <c r="J44" i="6"/>
  <c r="J43" i="6"/>
  <c r="K43" i="6" s="1"/>
  <c r="J42" i="6"/>
  <c r="J41" i="6"/>
  <c r="K41" i="6" s="1"/>
  <c r="J40" i="6"/>
  <c r="J39" i="6"/>
  <c r="K39" i="6" s="1"/>
  <c r="J38" i="6"/>
  <c r="K38" i="6" s="1"/>
  <c r="J37" i="6"/>
  <c r="K37" i="6" s="1"/>
  <c r="J36" i="6"/>
  <c r="K40" i="6" s="1"/>
  <c r="E46" i="6"/>
  <c r="E45" i="6"/>
  <c r="E44" i="6"/>
  <c r="E43" i="6"/>
  <c r="E42" i="6"/>
  <c r="E41" i="6"/>
  <c r="F41" i="6" s="1"/>
  <c r="E40" i="6"/>
  <c r="F40" i="6" s="1"/>
  <c r="E39" i="6"/>
  <c r="E38" i="6"/>
  <c r="E37" i="6"/>
  <c r="E36" i="6"/>
  <c r="F45" i="6" s="1"/>
  <c r="S28" i="6"/>
  <c r="N28" i="6"/>
  <c r="J28" i="6"/>
  <c r="I28" i="6"/>
  <c r="D28" i="6"/>
  <c r="R47" i="6"/>
  <c r="Q47" i="6"/>
  <c r="N47" i="6"/>
  <c r="M47" i="6"/>
  <c r="L47" i="6"/>
  <c r="H47" i="6"/>
  <c r="G47" i="6"/>
  <c r="C47" i="6"/>
  <c r="B47" i="6"/>
  <c r="S47" i="6"/>
  <c r="D47" i="6"/>
  <c r="AM45" i="8"/>
  <c r="AM48" i="8"/>
  <c r="AM41" i="8"/>
  <c r="AL40" i="8"/>
  <c r="AL24" i="8" s="1"/>
  <c r="AL50" i="8"/>
  <c r="AM50" i="8" s="1"/>
  <c r="AL49" i="8"/>
  <c r="AM49" i="8" s="1"/>
  <c r="AL48" i="8"/>
  <c r="AL47" i="8"/>
  <c r="AM47" i="8" s="1"/>
  <c r="AL46" i="8"/>
  <c r="AM46" i="8" s="1"/>
  <c r="AL45" i="8"/>
  <c r="AL44" i="8"/>
  <c r="AM44" i="8" s="1"/>
  <c r="AL43" i="8"/>
  <c r="AM43" i="8" s="1"/>
  <c r="AL42" i="8"/>
  <c r="AM42" i="8" s="1"/>
  <c r="AL41" i="8"/>
  <c r="AK51" i="8"/>
  <c r="AI50" i="8"/>
  <c r="AI49" i="8"/>
  <c r="AI48" i="8"/>
  <c r="AI47" i="8"/>
  <c r="AI46" i="8"/>
  <c r="AI45" i="8"/>
  <c r="AI44" i="8"/>
  <c r="AI43" i="8"/>
  <c r="AI42" i="8"/>
  <c r="AI41" i="8"/>
  <c r="AI40" i="8"/>
  <c r="AD45" i="8"/>
  <c r="AD41" i="8"/>
  <c r="Z49" i="8"/>
  <c r="Z44" i="8"/>
  <c r="T50" i="8"/>
  <c r="C50" i="8"/>
  <c r="C49" i="8"/>
  <c r="C48" i="8"/>
  <c r="C47" i="8"/>
  <c r="C46" i="8"/>
  <c r="C45" i="8"/>
  <c r="C44" i="8"/>
  <c r="C43" i="8"/>
  <c r="C42" i="8"/>
  <c r="C41" i="8"/>
  <c r="AR51" i="8"/>
  <c r="AQ51" i="8"/>
  <c r="AP51" i="8"/>
  <c r="AO51" i="8"/>
  <c r="AN51" i="8"/>
  <c r="AJ51" i="8"/>
  <c r="AH51" i="8"/>
  <c r="AG51" i="8"/>
  <c r="AF51" i="8"/>
  <c r="AE51" i="8"/>
  <c r="AB51" i="8"/>
  <c r="AC43" i="8" s="1"/>
  <c r="AA51" i="8"/>
  <c r="Y51" i="8"/>
  <c r="Z45" i="8" s="1"/>
  <c r="X51" i="8"/>
  <c r="V51" i="8"/>
  <c r="W47" i="8" s="1"/>
  <c r="U51" i="8"/>
  <c r="S51" i="8"/>
  <c r="T49" i="8" s="1"/>
  <c r="R51" i="8"/>
  <c r="P51" i="8"/>
  <c r="Q43" i="8" s="1"/>
  <c r="O51" i="8"/>
  <c r="N51" i="8"/>
  <c r="M51" i="8"/>
  <c r="L51" i="8"/>
  <c r="K51" i="8"/>
  <c r="J51" i="8"/>
  <c r="I51" i="8"/>
  <c r="H51" i="8"/>
  <c r="G51" i="8"/>
  <c r="F51" i="8"/>
  <c r="E51" i="8"/>
  <c r="D51" i="8"/>
  <c r="B51" i="8"/>
  <c r="AK34" i="8"/>
  <c r="AH34" i="8"/>
  <c r="AG34" i="8"/>
  <c r="AE34" i="8"/>
  <c r="AD34" i="8"/>
  <c r="AB34" i="8"/>
  <c r="Y34" i="8"/>
  <c r="B34" i="8"/>
  <c r="AK33" i="8"/>
  <c r="AH33" i="8"/>
  <c r="AG33" i="8"/>
  <c r="AE33" i="8"/>
  <c r="AD33" i="8"/>
  <c r="AB33" i="8"/>
  <c r="Y33" i="8"/>
  <c r="B33" i="8"/>
  <c r="AK32" i="8"/>
  <c r="AH32" i="8"/>
  <c r="AG32" i="8"/>
  <c r="AE32" i="8"/>
  <c r="AB32" i="8"/>
  <c r="Y32" i="8"/>
  <c r="B32" i="8"/>
  <c r="AK31" i="8"/>
  <c r="AH31" i="8"/>
  <c r="AG31" i="8"/>
  <c r="AE31" i="8"/>
  <c r="AB31" i="8"/>
  <c r="Y31" i="8"/>
  <c r="B31" i="8"/>
  <c r="AK30" i="8"/>
  <c r="AH30" i="8"/>
  <c r="AG30" i="8"/>
  <c r="AE30" i="8"/>
  <c r="AB30" i="8"/>
  <c r="Y30" i="8"/>
  <c r="B30" i="8"/>
  <c r="AK29" i="8"/>
  <c r="AH29" i="8"/>
  <c r="AG29" i="8"/>
  <c r="AB29" i="8"/>
  <c r="Y29" i="8"/>
  <c r="B29" i="8"/>
  <c r="AK28" i="8"/>
  <c r="AH28" i="8"/>
  <c r="AG28" i="8"/>
  <c r="AE28" i="8"/>
  <c r="AD28" i="8"/>
  <c r="AB28" i="8"/>
  <c r="Y28" i="8"/>
  <c r="B28" i="8"/>
  <c r="AK27" i="8"/>
  <c r="AH27" i="8"/>
  <c r="AG27" i="8"/>
  <c r="AE27" i="8"/>
  <c r="AB27" i="8"/>
  <c r="Y27" i="8"/>
  <c r="B27" i="8"/>
  <c r="AK26" i="8"/>
  <c r="AH26" i="8"/>
  <c r="AG26" i="8"/>
  <c r="AE26" i="8"/>
  <c r="AB26" i="8"/>
  <c r="Y26" i="8"/>
  <c r="B26" i="8"/>
  <c r="AK25" i="8"/>
  <c r="AH25" i="8"/>
  <c r="AG25" i="8"/>
  <c r="AB25" i="8"/>
  <c r="Y25" i="8"/>
  <c r="B25" i="8"/>
  <c r="AM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D24" i="8"/>
  <c r="C24" i="8"/>
  <c r="B24" i="8"/>
  <c r="F33" i="5"/>
  <c r="F34" i="5" s="1"/>
  <c r="L39" i="5"/>
  <c r="L23" i="5" s="1"/>
  <c r="L49" i="5"/>
  <c r="L48" i="5"/>
  <c r="M48" i="5" s="1"/>
  <c r="L47" i="5"/>
  <c r="M47" i="5" s="1"/>
  <c r="L46" i="5"/>
  <c r="L45" i="5"/>
  <c r="L44" i="5"/>
  <c r="L43" i="5"/>
  <c r="M43" i="5" s="1"/>
  <c r="L42" i="5"/>
  <c r="M42" i="5" s="1"/>
  <c r="L41" i="5"/>
  <c r="L40" i="5"/>
  <c r="N23" i="5"/>
  <c r="K23" i="5"/>
  <c r="J23" i="5"/>
  <c r="I23" i="5"/>
  <c r="H23" i="5"/>
  <c r="G23" i="5"/>
  <c r="F23" i="5"/>
  <c r="E23" i="5"/>
  <c r="D23" i="5"/>
  <c r="C23" i="5"/>
  <c r="B23" i="5"/>
  <c r="G50" i="5"/>
  <c r="F50" i="5"/>
  <c r="J50" i="5"/>
  <c r="E50" i="5"/>
  <c r="D50" i="5"/>
  <c r="B50" i="5"/>
  <c r="N26" i="4"/>
  <c r="C52" i="4"/>
  <c r="D52" i="4" s="1"/>
  <c r="D36" i="4" s="1"/>
  <c r="C51" i="4"/>
  <c r="D51" i="4" s="1"/>
  <c r="D35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AD21" i="2"/>
  <c r="AK21" i="2"/>
  <c r="AJ21" i="2"/>
  <c r="AI21" i="2"/>
  <c r="U31" i="2"/>
  <c r="U30" i="2"/>
  <c r="C26" i="4"/>
  <c r="J26" i="4"/>
  <c r="M26" i="4"/>
  <c r="B26" i="4"/>
  <c r="J53" i="4"/>
  <c r="N21" i="2"/>
  <c r="O21" i="2"/>
  <c r="M21" i="2"/>
  <c r="L21" i="2"/>
  <c r="K21" i="2"/>
  <c r="J21" i="2"/>
  <c r="F21" i="2"/>
  <c r="E21" i="2"/>
  <c r="D21" i="2"/>
  <c r="C21" i="2"/>
  <c r="B21" i="2"/>
  <c r="AI48" i="2"/>
  <c r="AJ48" i="2"/>
  <c r="AK48" i="2"/>
  <c r="E48" i="2"/>
  <c r="D48" i="2"/>
  <c r="C48" i="2"/>
  <c r="W48" i="2"/>
  <c r="N48" i="2"/>
  <c r="O47" i="2"/>
  <c r="T47" i="2" s="1"/>
  <c r="M47" i="2"/>
  <c r="L47" i="2"/>
  <c r="K47" i="2"/>
  <c r="D47" i="12" s="1"/>
  <c r="J47" i="2"/>
  <c r="O46" i="2"/>
  <c r="T46" i="2" s="1"/>
  <c r="T37" i="2"/>
  <c r="T21" i="2" s="1"/>
  <c r="W32" i="2"/>
  <c r="D53" i="4" l="1"/>
  <c r="Q47" i="8"/>
  <c r="Q50" i="8"/>
  <c r="AC42" i="8"/>
  <c r="T42" i="8"/>
  <c r="AC44" i="8"/>
  <c r="F42" i="6"/>
  <c r="F43" i="6"/>
  <c r="T45" i="8"/>
  <c r="AC47" i="8"/>
  <c r="AC50" i="8"/>
  <c r="F44" i="6"/>
  <c r="F28" i="6" s="1"/>
  <c r="Z41" i="8"/>
  <c r="Q42" i="8"/>
  <c r="AI51" i="8"/>
  <c r="AM51" i="8"/>
  <c r="F38" i="6"/>
  <c r="F46" i="6"/>
  <c r="I34" i="14"/>
  <c r="Q44" i="8"/>
  <c r="Z46" i="8"/>
  <c r="E28" i="6"/>
  <c r="F39" i="6"/>
  <c r="K44" i="6"/>
  <c r="K28" i="6" s="1"/>
  <c r="W48" i="8"/>
  <c r="AH35" i="8"/>
  <c r="Q45" i="8"/>
  <c r="T43" i="8"/>
  <c r="W41" i="8"/>
  <c r="W49" i="8"/>
  <c r="Z47" i="8"/>
  <c r="AC45" i="8"/>
  <c r="P45" i="6"/>
  <c r="Q46" i="8"/>
  <c r="T44" i="8"/>
  <c r="W42" i="8"/>
  <c r="W50" i="8"/>
  <c r="Z48" i="8"/>
  <c r="AC46" i="8"/>
  <c r="C51" i="8"/>
  <c r="W43" i="8"/>
  <c r="Q48" i="8"/>
  <c r="T46" i="8"/>
  <c r="W44" i="8"/>
  <c r="Z42" i="8"/>
  <c r="Z50" i="8"/>
  <c r="AC48" i="8"/>
  <c r="F37" i="6"/>
  <c r="U44" i="6"/>
  <c r="U28" i="6" s="1"/>
  <c r="AG35" i="8"/>
  <c r="Q41" i="8"/>
  <c r="Q49" i="8"/>
  <c r="T47" i="8"/>
  <c r="W45" i="8"/>
  <c r="Z43" i="8"/>
  <c r="AC41" i="8"/>
  <c r="AC49" i="8"/>
  <c r="T48" i="8"/>
  <c r="W46" i="8"/>
  <c r="AL51" i="8"/>
  <c r="T41" i="8"/>
  <c r="E48" i="12"/>
  <c r="B48" i="12"/>
  <c r="D48" i="12"/>
  <c r="U43" i="6"/>
  <c r="U39" i="6"/>
  <c r="P39" i="6"/>
  <c r="P43" i="6"/>
  <c r="P40" i="6"/>
  <c r="P44" i="6"/>
  <c r="P28" i="6" s="1"/>
  <c r="P37" i="6"/>
  <c r="P41" i="6"/>
  <c r="P38" i="6"/>
  <c r="P42" i="6"/>
  <c r="J47" i="6"/>
  <c r="O47" i="6"/>
  <c r="I47" i="6"/>
  <c r="AK35" i="8"/>
  <c r="AD51" i="8"/>
  <c r="B35" i="8"/>
  <c r="AB35" i="8"/>
  <c r="Y35" i="8"/>
  <c r="M39" i="5"/>
  <c r="M23" i="5" s="1"/>
  <c r="M40" i="5"/>
  <c r="M44" i="5"/>
  <c r="M45" i="5"/>
  <c r="M46" i="5"/>
  <c r="M49" i="5"/>
  <c r="M41" i="5"/>
  <c r="K50" i="5"/>
  <c r="H50" i="5"/>
  <c r="I50" i="5"/>
  <c r="C50" i="5"/>
  <c r="C53" i="4"/>
  <c r="K48" i="2"/>
  <c r="M48" i="2"/>
  <c r="B48" i="2"/>
  <c r="F48" i="2"/>
  <c r="L48" i="2"/>
  <c r="J48" i="2"/>
  <c r="T51" i="8" l="1"/>
  <c r="K47" i="6"/>
  <c r="Z51" i="8"/>
  <c r="AC51" i="8"/>
  <c r="W51" i="8"/>
  <c r="P47" i="6"/>
  <c r="T47" i="6"/>
  <c r="U47" i="6"/>
  <c r="E47" i="6"/>
  <c r="F47" i="6"/>
  <c r="Q51" i="8"/>
  <c r="M50" i="5"/>
  <c r="L50" i="5"/>
  <c r="O48" i="2"/>
  <c r="N47" i="5" l="1"/>
  <c r="N48" i="5"/>
  <c r="N42" i="5"/>
  <c r="N43" i="5"/>
  <c r="N40" i="5"/>
  <c r="N44" i="5"/>
  <c r="N41" i="5"/>
  <c r="N45" i="5"/>
  <c r="N46" i="5"/>
  <c r="N49" i="5"/>
  <c r="T48" i="2"/>
  <c r="N50" i="5" l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K21" i="1" s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J24" i="1"/>
  <c r="I24" i="1"/>
  <c r="H24" i="1"/>
  <c r="G24" i="1"/>
  <c r="F24" i="1"/>
  <c r="E24" i="1"/>
  <c r="D24" i="1"/>
  <c r="C24" i="1"/>
  <c r="B24" i="1"/>
  <c r="L23" i="1"/>
  <c r="J23" i="1"/>
  <c r="I23" i="1"/>
  <c r="H23" i="1"/>
  <c r="G23" i="1"/>
  <c r="F23" i="1"/>
  <c r="E23" i="1"/>
  <c r="D23" i="1"/>
  <c r="C23" i="1"/>
  <c r="B23" i="1"/>
  <c r="L22" i="1"/>
  <c r="J22" i="1"/>
  <c r="I22" i="1"/>
  <c r="H22" i="1"/>
  <c r="G22" i="1"/>
  <c r="F22" i="1"/>
  <c r="E22" i="1"/>
  <c r="D22" i="1"/>
  <c r="C22" i="1"/>
  <c r="B22" i="1"/>
  <c r="L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C18" i="1"/>
  <c r="D18" i="1"/>
  <c r="E18" i="1"/>
  <c r="F18" i="1"/>
  <c r="G18" i="1"/>
  <c r="H18" i="1"/>
  <c r="I18" i="1"/>
  <c r="J18" i="1"/>
  <c r="K18" i="1"/>
  <c r="L18" i="1"/>
  <c r="B18" i="1"/>
  <c r="C23" i="10"/>
  <c r="E23" i="10" s="1"/>
  <c r="C21" i="10"/>
  <c r="C20" i="10"/>
  <c r="C19" i="10"/>
  <c r="E19" i="10" s="1"/>
  <c r="O17" i="9"/>
  <c r="O52" i="13" s="1"/>
  <c r="M83" i="13"/>
  <c r="R83" i="13" s="1"/>
  <c r="O80" i="13"/>
  <c r="N80" i="13"/>
  <c r="L80" i="13"/>
  <c r="K80" i="13"/>
  <c r="J80" i="13"/>
  <c r="I80" i="13"/>
  <c r="H80" i="13"/>
  <c r="G80" i="13"/>
  <c r="D80" i="13"/>
  <c r="N85" i="13"/>
  <c r="L85" i="13"/>
  <c r="K85" i="13"/>
  <c r="J85" i="13"/>
  <c r="I85" i="13"/>
  <c r="G85" i="13"/>
  <c r="F85" i="13"/>
  <c r="E85" i="13"/>
  <c r="D85" i="13"/>
  <c r="O89" i="13"/>
  <c r="O85" i="13" s="1"/>
  <c r="H89" i="13"/>
  <c r="H85" i="13" s="1"/>
  <c r="M94" i="13"/>
  <c r="R94" i="13" s="1"/>
  <c r="M93" i="13"/>
  <c r="R93" i="13" s="1"/>
  <c r="M92" i="13"/>
  <c r="R92" i="13" s="1"/>
  <c r="M91" i="13"/>
  <c r="R91" i="13" s="1"/>
  <c r="M90" i="13"/>
  <c r="R90" i="13" s="1"/>
  <c r="M88" i="13"/>
  <c r="R88" i="13" s="1"/>
  <c r="M87" i="13"/>
  <c r="R87" i="13" s="1"/>
  <c r="M86" i="13"/>
  <c r="M79" i="13"/>
  <c r="R79" i="13" s="1"/>
  <c r="M78" i="13"/>
  <c r="R78" i="13" s="1"/>
  <c r="R86" i="13" l="1"/>
  <c r="F29" i="1"/>
  <c r="G29" i="1"/>
  <c r="B29" i="1"/>
  <c r="J29" i="1"/>
  <c r="E21" i="10"/>
  <c r="E20" i="10"/>
  <c r="O71" i="13"/>
  <c r="I71" i="13"/>
  <c r="D29" i="1"/>
  <c r="C29" i="1"/>
  <c r="L29" i="1"/>
  <c r="I29" i="1"/>
  <c r="E29" i="1"/>
  <c r="H29" i="1"/>
  <c r="N71" i="13"/>
  <c r="J71" i="13"/>
  <c r="K71" i="13"/>
  <c r="L71" i="13"/>
  <c r="D71" i="13"/>
  <c r="M89" i="13"/>
  <c r="R89" i="13" s="1"/>
  <c r="M85" i="13" l="1"/>
  <c r="R85" i="13"/>
  <c r="P31" i="13" l="1"/>
  <c r="O31" i="13"/>
  <c r="N31" i="13"/>
  <c r="L31" i="13"/>
  <c r="K31" i="13"/>
  <c r="J31" i="13"/>
  <c r="I31" i="13"/>
  <c r="H31" i="13"/>
  <c r="G31" i="13"/>
  <c r="F31" i="13"/>
  <c r="E31" i="13"/>
  <c r="D31" i="13"/>
  <c r="C31" i="13"/>
  <c r="P30" i="13"/>
  <c r="O30" i="13"/>
  <c r="N30" i="13"/>
  <c r="L30" i="13"/>
  <c r="K30" i="13"/>
  <c r="J30" i="13"/>
  <c r="I30" i="13"/>
  <c r="H30" i="13"/>
  <c r="G30" i="13"/>
  <c r="F30" i="13"/>
  <c r="E30" i="13"/>
  <c r="D30" i="13"/>
  <c r="C30" i="13"/>
  <c r="P29" i="13"/>
  <c r="O29" i="13"/>
  <c r="N29" i="13"/>
  <c r="L29" i="13"/>
  <c r="K29" i="13"/>
  <c r="J29" i="13"/>
  <c r="I29" i="13"/>
  <c r="H29" i="13"/>
  <c r="G29" i="13"/>
  <c r="F29" i="13"/>
  <c r="E29" i="13"/>
  <c r="D29" i="13"/>
  <c r="C29" i="13"/>
  <c r="P28" i="13"/>
  <c r="O28" i="13"/>
  <c r="N28" i="13"/>
  <c r="L28" i="13"/>
  <c r="K28" i="13"/>
  <c r="J28" i="13"/>
  <c r="I28" i="13"/>
  <c r="H28" i="13"/>
  <c r="G28" i="13"/>
  <c r="F28" i="13"/>
  <c r="E28" i="13"/>
  <c r="D28" i="13"/>
  <c r="C28" i="13"/>
  <c r="P27" i="13"/>
  <c r="O27" i="13"/>
  <c r="N27" i="13"/>
  <c r="L27" i="13"/>
  <c r="K27" i="13"/>
  <c r="J27" i="13"/>
  <c r="I27" i="13"/>
  <c r="H27" i="13"/>
  <c r="G27" i="13"/>
  <c r="F27" i="13"/>
  <c r="E27" i="13"/>
  <c r="D27" i="13"/>
  <c r="C27" i="13"/>
  <c r="C26" i="13"/>
  <c r="P25" i="13"/>
  <c r="O25" i="13"/>
  <c r="N25" i="13"/>
  <c r="C25" i="13"/>
  <c r="P24" i="13"/>
  <c r="O24" i="13"/>
  <c r="N24" i="13"/>
  <c r="C24" i="13"/>
  <c r="P23" i="13"/>
  <c r="O23" i="13"/>
  <c r="N23" i="13"/>
  <c r="L23" i="13"/>
  <c r="K23" i="13"/>
  <c r="J23" i="13"/>
  <c r="I23" i="13"/>
  <c r="H23" i="13"/>
  <c r="G23" i="13"/>
  <c r="F23" i="13"/>
  <c r="E23" i="13"/>
  <c r="D23" i="13"/>
  <c r="C23" i="13"/>
  <c r="C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P19" i="13"/>
  <c r="O19" i="13"/>
  <c r="N19" i="13"/>
  <c r="L19" i="13"/>
  <c r="K19" i="13"/>
  <c r="J19" i="13"/>
  <c r="I19" i="13"/>
  <c r="H19" i="13"/>
  <c r="G19" i="13"/>
  <c r="D19" i="13"/>
  <c r="C19" i="13"/>
  <c r="P18" i="13"/>
  <c r="O18" i="13"/>
  <c r="C18" i="13"/>
  <c r="C17" i="13"/>
  <c r="P15" i="13"/>
  <c r="O15" i="13"/>
  <c r="N15" i="13"/>
  <c r="L15" i="13"/>
  <c r="K15" i="13"/>
  <c r="J15" i="13"/>
  <c r="I15" i="13"/>
  <c r="H15" i="13"/>
  <c r="G15" i="13"/>
  <c r="F15" i="13"/>
  <c r="E15" i="13"/>
  <c r="D15" i="13"/>
  <c r="C15" i="13"/>
  <c r="P14" i="13"/>
  <c r="O14" i="13"/>
  <c r="C14" i="13"/>
  <c r="C13" i="13"/>
  <c r="P10" i="13"/>
  <c r="O10" i="13"/>
  <c r="C10" i="13"/>
  <c r="C9" i="13"/>
  <c r="C5" i="13"/>
  <c r="C6" i="13" s="1"/>
  <c r="P16" i="13"/>
  <c r="O16" i="13"/>
  <c r="N16" i="13"/>
  <c r="L16" i="13"/>
  <c r="K16" i="13"/>
  <c r="J16" i="13"/>
  <c r="I16" i="13"/>
  <c r="H16" i="13"/>
  <c r="G16" i="13"/>
  <c r="F16" i="13"/>
  <c r="E16" i="13"/>
  <c r="D16" i="13"/>
  <c r="P14" i="9"/>
  <c r="P49" i="13" s="1"/>
  <c r="O14" i="9"/>
  <c r="O49" i="13" s="1"/>
  <c r="N20" i="13"/>
  <c r="L20" i="13"/>
  <c r="K20" i="13"/>
  <c r="J20" i="13"/>
  <c r="I20" i="13"/>
  <c r="H20" i="13"/>
  <c r="G20" i="13"/>
  <c r="F20" i="13"/>
  <c r="E20" i="13"/>
  <c r="D20" i="13"/>
  <c r="P23" i="9"/>
  <c r="P58" i="13" s="1"/>
  <c r="O23" i="9"/>
  <c r="O58" i="13" s="1"/>
  <c r="N23" i="9"/>
  <c r="N58" i="13" s="1"/>
  <c r="L23" i="9"/>
  <c r="L58" i="13" s="1"/>
  <c r="K23" i="9"/>
  <c r="K58" i="13" s="1"/>
  <c r="J23" i="9"/>
  <c r="J58" i="13" s="1"/>
  <c r="I23" i="9"/>
  <c r="I58" i="13" s="1"/>
  <c r="H23" i="9"/>
  <c r="H58" i="13" s="1"/>
  <c r="G23" i="9"/>
  <c r="G58" i="13" s="1"/>
  <c r="F23" i="9"/>
  <c r="F58" i="13" s="1"/>
  <c r="E23" i="9"/>
  <c r="E58" i="13" s="1"/>
  <c r="D23" i="9"/>
  <c r="D58" i="13" s="1"/>
  <c r="M28" i="9"/>
  <c r="M27" i="9"/>
  <c r="M26" i="9"/>
  <c r="M25" i="9"/>
  <c r="M24" i="9"/>
  <c r="M20" i="9"/>
  <c r="M16" i="9"/>
  <c r="M12" i="9"/>
  <c r="P45" i="13"/>
  <c r="O45" i="13"/>
  <c r="C7" i="13" l="1"/>
  <c r="R20" i="9"/>
  <c r="R55" i="13" s="1"/>
  <c r="M55" i="13"/>
  <c r="M61" i="13"/>
  <c r="R26" i="9"/>
  <c r="R61" i="13" s="1"/>
  <c r="R27" i="9"/>
  <c r="R62" i="13" s="1"/>
  <c r="M62" i="13"/>
  <c r="M60" i="13"/>
  <c r="R25" i="9"/>
  <c r="R60" i="13" s="1"/>
  <c r="M59" i="13"/>
  <c r="R24" i="9"/>
  <c r="R59" i="13" s="1"/>
  <c r="R12" i="9"/>
  <c r="R47" i="13" s="1"/>
  <c r="M47" i="13"/>
  <c r="R28" i="9"/>
  <c r="R63" i="13" s="1"/>
  <c r="M63" i="13"/>
  <c r="M23" i="13"/>
  <c r="O26" i="13"/>
  <c r="N19" i="9"/>
  <c r="N54" i="13" s="1"/>
  <c r="O17" i="13"/>
  <c r="P17" i="13"/>
  <c r="K26" i="13"/>
  <c r="E26" i="13"/>
  <c r="F26" i="13"/>
  <c r="D26" i="13"/>
  <c r="P19" i="9"/>
  <c r="L26" i="13"/>
  <c r="H26" i="13"/>
  <c r="G26" i="13"/>
  <c r="I26" i="13"/>
  <c r="J26" i="13"/>
  <c r="P13" i="13"/>
  <c r="P6" i="9"/>
  <c r="P41" i="13" s="1"/>
  <c r="O13" i="13"/>
  <c r="O6" i="9"/>
  <c r="O41" i="13" s="1"/>
  <c r="O19" i="9"/>
  <c r="O54" i="13" s="1"/>
  <c r="E21" i="12"/>
  <c r="D21" i="12"/>
  <c r="C21" i="12"/>
  <c r="B21" i="12"/>
  <c r="O20" i="13"/>
  <c r="P20" i="13"/>
  <c r="N26" i="13"/>
  <c r="M31" i="13"/>
  <c r="M15" i="13"/>
  <c r="P26" i="13"/>
  <c r="M30" i="13"/>
  <c r="M29" i="13"/>
  <c r="M28" i="13"/>
  <c r="M27" i="13"/>
  <c r="M23" i="9"/>
  <c r="M17" i="9"/>
  <c r="M52" i="13" s="1"/>
  <c r="M13" i="9"/>
  <c r="M48" i="13" s="1"/>
  <c r="R23" i="9" l="1"/>
  <c r="R58" i="13" s="1"/>
  <c r="M58" i="13"/>
  <c r="P54" i="13"/>
  <c r="R13" i="9"/>
  <c r="R48" i="13" s="1"/>
  <c r="R17" i="9"/>
  <c r="R52" i="13" s="1"/>
  <c r="R30" i="13"/>
  <c r="R29" i="13"/>
  <c r="R15" i="13"/>
  <c r="R27" i="13"/>
  <c r="R28" i="13"/>
  <c r="R23" i="13"/>
  <c r="O22" i="13"/>
  <c r="N22" i="13"/>
  <c r="M26" i="13"/>
  <c r="P22" i="13"/>
  <c r="R31" i="13"/>
  <c r="O5" i="9"/>
  <c r="O39" i="13" s="1"/>
  <c r="O40" i="13" s="1"/>
  <c r="O9" i="13"/>
  <c r="M20" i="13"/>
  <c r="M16" i="13"/>
  <c r="P5" i="9"/>
  <c r="P9" i="13"/>
  <c r="P7" i="13" s="1"/>
  <c r="P5" i="13" l="1"/>
  <c r="P6" i="13" s="1"/>
  <c r="P39" i="13"/>
  <c r="P40" i="13" s="1"/>
  <c r="O5" i="13"/>
  <c r="O6" i="13" s="1"/>
  <c r="R26" i="13"/>
  <c r="R16" i="13"/>
  <c r="R20" i="13"/>
  <c r="F23" i="10"/>
  <c r="F22" i="10"/>
  <c r="F21" i="10"/>
  <c r="F20" i="10"/>
  <c r="F19" i="10"/>
  <c r="N8" i="9" l="1"/>
  <c r="N43" i="13" s="1"/>
  <c r="N11" i="13" l="1"/>
  <c r="N7" i="9"/>
  <c r="N42" i="13" l="1"/>
  <c r="N10" i="9"/>
  <c r="N10" i="13"/>
  <c r="N45" i="13"/>
  <c r="L15" i="11"/>
  <c r="K15" i="11"/>
  <c r="H15" i="11"/>
  <c r="G15" i="11"/>
  <c r="D15" i="11"/>
  <c r="C15" i="11"/>
  <c r="C13" i="1"/>
  <c r="D13" i="1"/>
  <c r="E13" i="1"/>
  <c r="F13" i="1"/>
  <c r="G13" i="1"/>
  <c r="H13" i="1"/>
  <c r="I13" i="1"/>
  <c r="J13" i="1"/>
  <c r="K13" i="1"/>
  <c r="L13" i="1"/>
  <c r="B13" i="1"/>
  <c r="K11" i="4"/>
  <c r="L11" i="4"/>
  <c r="J11" i="4"/>
  <c r="J34" i="4" s="1"/>
  <c r="K12" i="4"/>
  <c r="L12" i="4"/>
  <c r="J12" i="4"/>
  <c r="J35" i="4" s="1"/>
  <c r="K13" i="4"/>
  <c r="L13" i="4"/>
  <c r="J13" i="4"/>
  <c r="J36" i="4" s="1"/>
  <c r="L8" i="4"/>
  <c r="AC6" i="8"/>
  <c r="AC26" i="8" s="1"/>
  <c r="AC7" i="8"/>
  <c r="AC27" i="8" s="1"/>
  <c r="AC8" i="8"/>
  <c r="AC28" i="8" s="1"/>
  <c r="AC9" i="8"/>
  <c r="AC29" i="8" s="1"/>
  <c r="AC10" i="8"/>
  <c r="AC30" i="8" s="1"/>
  <c r="AC11" i="8"/>
  <c r="AC31" i="8" s="1"/>
  <c r="AC12" i="8"/>
  <c r="AC32" i="8" s="1"/>
  <c r="AC13" i="8"/>
  <c r="AC33" i="8" s="1"/>
  <c r="AC14" i="8"/>
  <c r="AC34" i="8" s="1"/>
  <c r="Z6" i="8"/>
  <c r="Z7" i="8"/>
  <c r="Z8" i="8"/>
  <c r="Z9" i="8"/>
  <c r="Z10" i="8"/>
  <c r="Z11" i="8"/>
  <c r="Z12" i="8"/>
  <c r="Z32" i="8" s="1"/>
  <c r="Z13" i="8"/>
  <c r="Z14" i="8"/>
  <c r="V12" i="8"/>
  <c r="S12" i="8"/>
  <c r="P12" i="8"/>
  <c r="AX5" i="8"/>
  <c r="AX8" i="8"/>
  <c r="AX9" i="8"/>
  <c r="AX10" i="8"/>
  <c r="AX11" i="8"/>
  <c r="AX12" i="8"/>
  <c r="AW13" i="8"/>
  <c r="C6" i="8"/>
  <c r="C26" i="8" s="1"/>
  <c r="C7" i="8"/>
  <c r="C8" i="8"/>
  <c r="C9" i="8"/>
  <c r="C10" i="8"/>
  <c r="C30" i="8" s="1"/>
  <c r="C11" i="8"/>
  <c r="C12" i="8"/>
  <c r="C13" i="8"/>
  <c r="C14" i="8"/>
  <c r="C34" i="8" s="1"/>
  <c r="AE19" i="8"/>
  <c r="AC19" i="8"/>
  <c r="AA19" i="8"/>
  <c r="X19" i="8"/>
  <c r="U19" i="8"/>
  <c r="R19" i="8"/>
  <c r="AO18" i="8"/>
  <c r="AN18" i="8"/>
  <c r="AN15" i="8"/>
  <c r="AK15" i="8"/>
  <c r="AH15" i="8"/>
  <c r="AG15" i="8"/>
  <c r="AB15" i="8"/>
  <c r="Y15" i="8"/>
  <c r="J10" i="4"/>
  <c r="J33" i="4" s="1"/>
  <c r="L10" i="4"/>
  <c r="K10" i="4"/>
  <c r="J9" i="4"/>
  <c r="J32" i="4" s="1"/>
  <c r="L9" i="4"/>
  <c r="K9" i="4"/>
  <c r="K8" i="4"/>
  <c r="J7" i="4"/>
  <c r="J30" i="4" s="1"/>
  <c r="L7" i="4"/>
  <c r="K7" i="4"/>
  <c r="J6" i="4"/>
  <c r="J29" i="4" s="1"/>
  <c r="L6" i="4"/>
  <c r="K6" i="4"/>
  <c r="J5" i="4"/>
  <c r="J28" i="4" s="1"/>
  <c r="L5" i="4"/>
  <c r="K5" i="4"/>
  <c r="K4" i="4"/>
  <c r="AD25" i="8"/>
  <c r="AC5" i="8"/>
  <c r="AC25" i="8" s="1"/>
  <c r="Z5" i="8"/>
  <c r="C15" i="7"/>
  <c r="D15" i="7"/>
  <c r="B15" i="7"/>
  <c r="E13" i="7"/>
  <c r="D14" i="5" s="1"/>
  <c r="D32" i="5" s="1"/>
  <c r="B13" i="5"/>
  <c r="D12" i="6"/>
  <c r="E12" i="6" s="1"/>
  <c r="F12" i="6" s="1"/>
  <c r="I12" i="6"/>
  <c r="N12" i="6"/>
  <c r="S12" i="6"/>
  <c r="T12" i="6" s="1"/>
  <c r="U12" i="6" s="1"/>
  <c r="D13" i="6"/>
  <c r="I13" i="6"/>
  <c r="N13" i="6"/>
  <c r="S13" i="6"/>
  <c r="T13" i="6" s="1"/>
  <c r="U13" i="6" s="1"/>
  <c r="Q14" i="6"/>
  <c r="M14" i="6"/>
  <c r="L14" i="6"/>
  <c r="H14" i="6"/>
  <c r="G14" i="6"/>
  <c r="B14" i="6"/>
  <c r="S10" i="6"/>
  <c r="N10" i="6"/>
  <c r="I10" i="6"/>
  <c r="D10" i="6"/>
  <c r="S9" i="6"/>
  <c r="N9" i="6"/>
  <c r="O9" i="6" s="1"/>
  <c r="I9" i="6"/>
  <c r="D9" i="6"/>
  <c r="S8" i="6"/>
  <c r="N8" i="6"/>
  <c r="O8" i="6" s="1"/>
  <c r="I8" i="6"/>
  <c r="D8" i="6"/>
  <c r="E8" i="6" s="1"/>
  <c r="S7" i="6"/>
  <c r="N7" i="6"/>
  <c r="O7" i="6" s="1"/>
  <c r="I7" i="6"/>
  <c r="J7" i="6" s="1"/>
  <c r="D7" i="6"/>
  <c r="E7" i="6" s="1"/>
  <c r="S6" i="6"/>
  <c r="N6" i="6"/>
  <c r="O6" i="6" s="1"/>
  <c r="I6" i="6"/>
  <c r="J6" i="6" s="1"/>
  <c r="D6" i="6"/>
  <c r="S5" i="6"/>
  <c r="N5" i="6"/>
  <c r="I5" i="6"/>
  <c r="J5" i="6" s="1"/>
  <c r="D5" i="6"/>
  <c r="E5" i="6" s="1"/>
  <c r="S4" i="6"/>
  <c r="T4" i="6" s="1"/>
  <c r="N4" i="6"/>
  <c r="O4" i="6" s="1"/>
  <c r="I4" i="6"/>
  <c r="J4" i="6" s="1"/>
  <c r="D4" i="6"/>
  <c r="S3" i="6"/>
  <c r="N3" i="6"/>
  <c r="I3" i="6"/>
  <c r="D3" i="6"/>
  <c r="U2" i="6"/>
  <c r="P2" i="6"/>
  <c r="F16" i="5"/>
  <c r="G33" i="5"/>
  <c r="G34" i="5" s="1"/>
  <c r="AE11" i="2"/>
  <c r="AE12" i="2"/>
  <c r="N17" i="3"/>
  <c r="J13" i="3"/>
  <c r="L13" i="3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G14" i="2"/>
  <c r="H14" i="2"/>
  <c r="I14" i="2"/>
  <c r="O11" i="2"/>
  <c r="O29" i="2" s="1"/>
  <c r="O12" i="2"/>
  <c r="O30" i="2" s="1"/>
  <c r="O13" i="2"/>
  <c r="O31" i="2" s="1"/>
  <c r="K5" i="2"/>
  <c r="L5" i="2"/>
  <c r="E7" i="5" s="1"/>
  <c r="M5" i="2"/>
  <c r="M23" i="2" s="1"/>
  <c r="K6" i="2"/>
  <c r="L6" i="2"/>
  <c r="E8" i="5" s="1"/>
  <c r="M6" i="2"/>
  <c r="M24" i="2" s="1"/>
  <c r="K7" i="2"/>
  <c r="L7" i="2"/>
  <c r="E9" i="5" s="1"/>
  <c r="M7" i="2"/>
  <c r="M25" i="2" s="1"/>
  <c r="K8" i="2"/>
  <c r="L8" i="2"/>
  <c r="E10" i="5" s="1"/>
  <c r="M8" i="2"/>
  <c r="M26" i="2" s="1"/>
  <c r="K9" i="2"/>
  <c r="L9" i="2"/>
  <c r="E11" i="5" s="1"/>
  <c r="M9" i="2"/>
  <c r="M27" i="2" s="1"/>
  <c r="K10" i="2"/>
  <c r="L10" i="2"/>
  <c r="E12" i="5" s="1"/>
  <c r="M10" i="2"/>
  <c r="M28" i="2" s="1"/>
  <c r="K11" i="2"/>
  <c r="L11" i="2"/>
  <c r="M11" i="2"/>
  <c r="M29" i="2" s="1"/>
  <c r="K12" i="2"/>
  <c r="L12" i="2"/>
  <c r="M12" i="2"/>
  <c r="M30" i="2" s="1"/>
  <c r="K13" i="2"/>
  <c r="L13" i="2"/>
  <c r="M13" i="2"/>
  <c r="M31" i="2" s="1"/>
  <c r="M4" i="2"/>
  <c r="M22" i="2" s="1"/>
  <c r="L4" i="2"/>
  <c r="E6" i="5" s="1"/>
  <c r="K4" i="2"/>
  <c r="J5" i="2"/>
  <c r="J6" i="2"/>
  <c r="J7" i="2"/>
  <c r="J8" i="2"/>
  <c r="J9" i="2"/>
  <c r="J10" i="2"/>
  <c r="J11" i="2"/>
  <c r="J12" i="2"/>
  <c r="J13" i="2"/>
  <c r="J4" i="2"/>
  <c r="J22" i="2" s="1"/>
  <c r="E5" i="2"/>
  <c r="F5" i="2"/>
  <c r="F23" i="2" s="1"/>
  <c r="E6" i="2"/>
  <c r="F6" i="2"/>
  <c r="F24" i="2" s="1"/>
  <c r="E7" i="2"/>
  <c r="F7" i="2"/>
  <c r="F25" i="2" s="1"/>
  <c r="E8" i="2"/>
  <c r="F8" i="2"/>
  <c r="F26" i="2" s="1"/>
  <c r="E9" i="2"/>
  <c r="F9" i="2"/>
  <c r="F27" i="2" s="1"/>
  <c r="E10" i="2"/>
  <c r="F10" i="2"/>
  <c r="F28" i="2" s="1"/>
  <c r="E11" i="2"/>
  <c r="F11" i="2"/>
  <c r="F29" i="2" s="1"/>
  <c r="E12" i="2"/>
  <c r="F12" i="2"/>
  <c r="E13" i="2"/>
  <c r="F13" i="2"/>
  <c r="F31" i="2" s="1"/>
  <c r="F4" i="2"/>
  <c r="F22" i="2" s="1"/>
  <c r="E4" i="2"/>
  <c r="E22" i="2" s="1"/>
  <c r="D4" i="2"/>
  <c r="C5" i="2"/>
  <c r="C23" i="2" s="1"/>
  <c r="D5" i="2"/>
  <c r="C6" i="2"/>
  <c r="C24" i="2" s="1"/>
  <c r="D6" i="2"/>
  <c r="C7" i="2"/>
  <c r="C25" i="2" s="1"/>
  <c r="D7" i="2"/>
  <c r="C8" i="2"/>
  <c r="C26" i="2" s="1"/>
  <c r="D8" i="2"/>
  <c r="C9" i="2"/>
  <c r="C27" i="2" s="1"/>
  <c r="D9" i="2"/>
  <c r="C10" i="2"/>
  <c r="C28" i="2" s="1"/>
  <c r="D10" i="2"/>
  <c r="C11" i="2"/>
  <c r="C29" i="2" s="1"/>
  <c r="D11" i="2"/>
  <c r="C12" i="2"/>
  <c r="C30" i="2" s="1"/>
  <c r="D12" i="2"/>
  <c r="C13" i="2"/>
  <c r="C31" i="2" s="1"/>
  <c r="D13" i="2"/>
  <c r="B5" i="2"/>
  <c r="B23" i="2" s="1"/>
  <c r="B6" i="2"/>
  <c r="B24" i="2" s="1"/>
  <c r="B7" i="2"/>
  <c r="B25" i="2" s="1"/>
  <c r="B8" i="2"/>
  <c r="B26" i="2" s="1"/>
  <c r="B9" i="2"/>
  <c r="B27" i="2" s="1"/>
  <c r="B10" i="2"/>
  <c r="B28" i="2" s="1"/>
  <c r="B11" i="2"/>
  <c r="B29" i="2" s="1"/>
  <c r="B12" i="2"/>
  <c r="B30" i="2" s="1"/>
  <c r="B13" i="2"/>
  <c r="B31" i="2" s="1"/>
  <c r="C4" i="2"/>
  <c r="C22" i="2" s="1"/>
  <c r="B4" i="2"/>
  <c r="B22" i="2" s="1"/>
  <c r="W14" i="2"/>
  <c r="U21" i="2"/>
  <c r="V21" i="2"/>
  <c r="Q7" i="3" l="1"/>
  <c r="P7" i="3"/>
  <c r="P8" i="3"/>
  <c r="Q8" i="3"/>
  <c r="Q13" i="3"/>
  <c r="P13" i="3"/>
  <c r="P9" i="3"/>
  <c r="Q9" i="3"/>
  <c r="Q10" i="3"/>
  <c r="P10" i="3"/>
  <c r="P11" i="3"/>
  <c r="Q11" i="3"/>
  <c r="P12" i="3"/>
  <c r="Q12" i="3"/>
  <c r="E15" i="5"/>
  <c r="E33" i="5" s="1"/>
  <c r="E14" i="5"/>
  <c r="E32" i="5" s="1"/>
  <c r="AY14" i="2"/>
  <c r="E13" i="5"/>
  <c r="E31" i="5" s="1"/>
  <c r="B8" i="5"/>
  <c r="T6" i="6"/>
  <c r="U6" i="6" s="1"/>
  <c r="B10" i="5"/>
  <c r="B28" i="5" s="1"/>
  <c r="T8" i="6"/>
  <c r="U8" i="6" s="1"/>
  <c r="B12" i="5"/>
  <c r="B30" i="5" s="1"/>
  <c r="T10" i="6"/>
  <c r="U10" i="6" s="1"/>
  <c r="B7" i="5"/>
  <c r="T5" i="6"/>
  <c r="U5" i="6" s="1"/>
  <c r="B9" i="5"/>
  <c r="B27" i="5" s="1"/>
  <c r="T7" i="6"/>
  <c r="U7" i="6" s="1"/>
  <c r="B11" i="5"/>
  <c r="B29" i="5" s="1"/>
  <c r="T9" i="6"/>
  <c r="U9" i="6" s="1"/>
  <c r="N30" i="6"/>
  <c r="O13" i="6"/>
  <c r="N29" i="6"/>
  <c r="O12" i="6"/>
  <c r="V6" i="8"/>
  <c r="O5" i="6"/>
  <c r="V11" i="8"/>
  <c r="O10" i="6"/>
  <c r="I30" i="6"/>
  <c r="J13" i="6"/>
  <c r="S10" i="8"/>
  <c r="J9" i="6"/>
  <c r="I29" i="6"/>
  <c r="J12" i="6"/>
  <c r="S9" i="8"/>
  <c r="J8" i="6"/>
  <c r="J25" i="6" s="1"/>
  <c r="S11" i="8"/>
  <c r="J10" i="6"/>
  <c r="D30" i="6"/>
  <c r="E13" i="6"/>
  <c r="F13" i="6" s="1"/>
  <c r="P10" i="8"/>
  <c r="E9" i="6"/>
  <c r="D21" i="6"/>
  <c r="E4" i="6"/>
  <c r="P7" i="8"/>
  <c r="P27" i="8" s="1"/>
  <c r="E6" i="6"/>
  <c r="P11" i="8"/>
  <c r="E10" i="6"/>
  <c r="N13" i="13"/>
  <c r="V14" i="8"/>
  <c r="J20" i="6"/>
  <c r="I20" i="6"/>
  <c r="S13" i="8"/>
  <c r="O20" i="6"/>
  <c r="N20" i="6"/>
  <c r="O24" i="6"/>
  <c r="N24" i="6"/>
  <c r="O26" i="6"/>
  <c r="N26" i="6"/>
  <c r="P5" i="8"/>
  <c r="V13" i="8"/>
  <c r="J22" i="6"/>
  <c r="I22" i="6"/>
  <c r="J24" i="6"/>
  <c r="I24" i="6"/>
  <c r="T20" i="6"/>
  <c r="S20" i="6"/>
  <c r="P14" i="8"/>
  <c r="P34" i="8" s="1"/>
  <c r="E25" i="6"/>
  <c r="D25" i="6"/>
  <c r="J23" i="6"/>
  <c r="I23" i="6"/>
  <c r="I25" i="6"/>
  <c r="J27" i="6"/>
  <c r="I27" i="6"/>
  <c r="S8" i="8"/>
  <c r="S28" i="8" s="1"/>
  <c r="V10" i="8"/>
  <c r="O21" i="6"/>
  <c r="N21" i="6"/>
  <c r="O23" i="6"/>
  <c r="N23" i="6"/>
  <c r="O25" i="6"/>
  <c r="N25" i="6"/>
  <c r="O27" i="6"/>
  <c r="N27" i="6"/>
  <c r="S7" i="8"/>
  <c r="S27" i="8" s="1"/>
  <c r="V9" i="8"/>
  <c r="P9" i="8"/>
  <c r="S6" i="8"/>
  <c r="S26" i="8" s="1"/>
  <c r="V8" i="8"/>
  <c r="V28" i="8" s="1"/>
  <c r="E27" i="6"/>
  <c r="D27" i="6"/>
  <c r="E20" i="6"/>
  <c r="D20" i="6"/>
  <c r="E26" i="6"/>
  <c r="D26" i="6"/>
  <c r="S14" i="8"/>
  <c r="S34" i="8" s="1"/>
  <c r="V5" i="8"/>
  <c r="V7" i="8"/>
  <c r="C32" i="2"/>
  <c r="D28" i="2"/>
  <c r="D24" i="2"/>
  <c r="AK13" i="2"/>
  <c r="E31" i="2"/>
  <c r="AK9" i="2"/>
  <c r="E27" i="2"/>
  <c r="AK5" i="2"/>
  <c r="E23" i="2"/>
  <c r="AJ7" i="2"/>
  <c r="J25" i="2"/>
  <c r="D13" i="12"/>
  <c r="K31" i="2"/>
  <c r="E30" i="5"/>
  <c r="L28" i="2"/>
  <c r="K23" i="2"/>
  <c r="AJ6" i="2"/>
  <c r="J24" i="2"/>
  <c r="K28" i="2"/>
  <c r="E27" i="5"/>
  <c r="L25" i="2"/>
  <c r="B13" i="12"/>
  <c r="B31" i="12" s="1"/>
  <c r="D31" i="2"/>
  <c r="D27" i="2"/>
  <c r="D23" i="2"/>
  <c r="AK12" i="2"/>
  <c r="E30" i="2"/>
  <c r="AK8" i="2"/>
  <c r="E26" i="2"/>
  <c r="AJ13" i="2"/>
  <c r="J31" i="2"/>
  <c r="AJ5" i="2"/>
  <c r="J23" i="2"/>
  <c r="L30" i="2"/>
  <c r="K25" i="2"/>
  <c r="D29" i="2"/>
  <c r="AK6" i="2"/>
  <c r="E24" i="2"/>
  <c r="E28" i="5"/>
  <c r="L26" i="2"/>
  <c r="AJ12" i="2"/>
  <c r="J30" i="2"/>
  <c r="D4" i="12"/>
  <c r="E4" i="12" s="1"/>
  <c r="K22" i="2"/>
  <c r="D12" i="12"/>
  <c r="E12" i="12" s="1"/>
  <c r="K30" i="2"/>
  <c r="E29" i="5"/>
  <c r="L27" i="2"/>
  <c r="D11" i="12"/>
  <c r="E11" i="12" s="1"/>
  <c r="K29" i="2"/>
  <c r="T12" i="2"/>
  <c r="T30" i="2" s="1"/>
  <c r="F30" i="2"/>
  <c r="F32" i="2" s="1"/>
  <c r="B12" i="12"/>
  <c r="D30" i="2"/>
  <c r="D26" i="2"/>
  <c r="D22" i="2"/>
  <c r="AK11" i="2"/>
  <c r="E29" i="2"/>
  <c r="AK7" i="2"/>
  <c r="E25" i="2"/>
  <c r="AJ11" i="2"/>
  <c r="J29" i="2"/>
  <c r="E24" i="5"/>
  <c r="L22" i="2"/>
  <c r="K27" i="2"/>
  <c r="E26" i="5"/>
  <c r="L24" i="2"/>
  <c r="D25" i="2"/>
  <c r="AJ10" i="2"/>
  <c r="J28" i="2"/>
  <c r="M32" i="2"/>
  <c r="L29" i="2"/>
  <c r="K24" i="2"/>
  <c r="AJ9" i="2"/>
  <c r="J27" i="2"/>
  <c r="AK10" i="2"/>
  <c r="E28" i="2"/>
  <c r="B32" i="2"/>
  <c r="AJ8" i="2"/>
  <c r="J26" i="2"/>
  <c r="L31" i="2"/>
  <c r="K26" i="2"/>
  <c r="E25" i="5"/>
  <c r="L23" i="2"/>
  <c r="B26" i="5"/>
  <c r="T24" i="6"/>
  <c r="S24" i="6"/>
  <c r="S22" i="6"/>
  <c r="T26" i="6"/>
  <c r="S26" i="6"/>
  <c r="T21" i="6"/>
  <c r="S21" i="6"/>
  <c r="T23" i="6"/>
  <c r="S23" i="6"/>
  <c r="T25" i="6"/>
  <c r="S25" i="6"/>
  <c r="S27" i="6"/>
  <c r="B6" i="5"/>
  <c r="T29" i="6"/>
  <c r="S29" i="6"/>
  <c r="U30" i="6"/>
  <c r="S30" i="6"/>
  <c r="E29" i="6"/>
  <c r="D29" i="6"/>
  <c r="P13" i="8"/>
  <c r="Q13" i="8" s="1"/>
  <c r="R13" i="8" s="1"/>
  <c r="O22" i="6"/>
  <c r="N22" i="6"/>
  <c r="J26" i="6"/>
  <c r="I26" i="6"/>
  <c r="J21" i="6"/>
  <c r="I21" i="6"/>
  <c r="S5" i="8"/>
  <c r="S25" i="8" s="1"/>
  <c r="E24" i="6"/>
  <c r="D24" i="6"/>
  <c r="P8" i="8"/>
  <c r="Q8" i="8" s="1"/>
  <c r="R8" i="8" s="1"/>
  <c r="E23" i="6"/>
  <c r="D23" i="6"/>
  <c r="E22" i="6"/>
  <c r="D22" i="6"/>
  <c r="P6" i="8"/>
  <c r="Q6" i="8" s="1"/>
  <c r="R6" i="8" s="1"/>
  <c r="AC35" i="8"/>
  <c r="P12" i="6"/>
  <c r="P29" i="6" s="1"/>
  <c r="O29" i="6"/>
  <c r="F30" i="6"/>
  <c r="E30" i="6"/>
  <c r="K12" i="6"/>
  <c r="K29" i="6" s="1"/>
  <c r="J29" i="6"/>
  <c r="P13" i="6"/>
  <c r="P30" i="6" s="1"/>
  <c r="O30" i="6"/>
  <c r="K13" i="6"/>
  <c r="K30" i="6" s="1"/>
  <c r="J30" i="6"/>
  <c r="B28" i="12"/>
  <c r="B24" i="12"/>
  <c r="D28" i="12"/>
  <c r="C31" i="12"/>
  <c r="B27" i="12"/>
  <c r="D25" i="12"/>
  <c r="E22" i="12"/>
  <c r="D22" i="12"/>
  <c r="B22" i="12"/>
  <c r="D27" i="12"/>
  <c r="D24" i="12"/>
  <c r="D26" i="12"/>
  <c r="B31" i="5"/>
  <c r="K8" i="8"/>
  <c r="C28" i="8"/>
  <c r="Q12" i="8"/>
  <c r="R12" i="8" s="1"/>
  <c r="P32" i="8"/>
  <c r="Q7" i="8"/>
  <c r="R7" i="8" s="1"/>
  <c r="W13" i="8"/>
  <c r="X13" i="8" s="1"/>
  <c r="V33" i="8"/>
  <c r="W8" i="8"/>
  <c r="X8" i="8" s="1"/>
  <c r="AA28" i="8"/>
  <c r="Z28" i="8"/>
  <c r="D27" i="8"/>
  <c r="C27" i="8"/>
  <c r="K14" i="8"/>
  <c r="Q11" i="8"/>
  <c r="R11" i="8" s="1"/>
  <c r="P31" i="8"/>
  <c r="W12" i="8"/>
  <c r="V32" i="8"/>
  <c r="AA34" i="8"/>
  <c r="Z34" i="8"/>
  <c r="AA27" i="8"/>
  <c r="Z27" i="8"/>
  <c r="AD29" i="8"/>
  <c r="AD35" i="8" s="1"/>
  <c r="K10" i="8"/>
  <c r="Q10" i="8"/>
  <c r="R10" i="8" s="1"/>
  <c r="P30" i="8"/>
  <c r="T6" i="8"/>
  <c r="U6" i="8" s="1"/>
  <c r="W11" i="8"/>
  <c r="X11" i="8" s="1"/>
  <c r="V31" i="8"/>
  <c r="AA33" i="8"/>
  <c r="Z33" i="8"/>
  <c r="AA26" i="8"/>
  <c r="Z26" i="8"/>
  <c r="K13" i="8"/>
  <c r="C33" i="8"/>
  <c r="D34" i="8"/>
  <c r="K6" i="8"/>
  <c r="Q9" i="8"/>
  <c r="R9" i="8" s="1"/>
  <c r="P29" i="8"/>
  <c r="S33" i="8"/>
  <c r="W10" i="8"/>
  <c r="X10" i="8" s="1"/>
  <c r="V30" i="8"/>
  <c r="AA32" i="8"/>
  <c r="K12" i="8"/>
  <c r="C32" i="8"/>
  <c r="D30" i="8"/>
  <c r="T12" i="8"/>
  <c r="S32" i="8"/>
  <c r="T8" i="8"/>
  <c r="U8" i="8" s="1"/>
  <c r="W9" i="8"/>
  <c r="X9" i="8" s="1"/>
  <c r="V29" i="8"/>
  <c r="AA25" i="8"/>
  <c r="Z25" i="8"/>
  <c r="D31" i="8"/>
  <c r="C31" i="8"/>
  <c r="D26" i="8"/>
  <c r="T11" i="8"/>
  <c r="U11" i="8" s="1"/>
  <c r="S31" i="8"/>
  <c r="AA31" i="8"/>
  <c r="Z31" i="8"/>
  <c r="T10" i="8"/>
  <c r="U10" i="8" s="1"/>
  <c r="S30" i="8"/>
  <c r="W7" i="8"/>
  <c r="X7" i="8" s="1"/>
  <c r="V27" i="8"/>
  <c r="AA30" i="8"/>
  <c r="Z30" i="8"/>
  <c r="D29" i="8"/>
  <c r="C29" i="8"/>
  <c r="Q14" i="8"/>
  <c r="R14" i="8" s="1"/>
  <c r="T9" i="8"/>
  <c r="U9" i="8" s="1"/>
  <c r="S29" i="8"/>
  <c r="W14" i="8"/>
  <c r="X14" i="8" s="1"/>
  <c r="V34" i="8"/>
  <c r="W6" i="8"/>
  <c r="X6" i="8" s="1"/>
  <c r="V26" i="8"/>
  <c r="AA29" i="8"/>
  <c r="Z29" i="8"/>
  <c r="O6" i="2"/>
  <c r="O24" i="2" s="1"/>
  <c r="U9" i="2"/>
  <c r="U43" i="2"/>
  <c r="U42" i="2"/>
  <c r="U41" i="2"/>
  <c r="U40" i="2"/>
  <c r="U39" i="2"/>
  <c r="U38" i="2"/>
  <c r="U44" i="2"/>
  <c r="U45" i="2"/>
  <c r="D21" i="9"/>
  <c r="D56" i="13" s="1"/>
  <c r="E6" i="7"/>
  <c r="D7" i="5" s="1"/>
  <c r="D25" i="5" s="1"/>
  <c r="E7" i="7"/>
  <c r="D8" i="5" s="1"/>
  <c r="D26" i="5" s="1"/>
  <c r="O7" i="2"/>
  <c r="O10" i="2"/>
  <c r="J8" i="8"/>
  <c r="K11" i="8"/>
  <c r="K9" i="8"/>
  <c r="V15" i="8"/>
  <c r="D32" i="8"/>
  <c r="T13" i="8"/>
  <c r="U13" i="8" s="1"/>
  <c r="D33" i="8"/>
  <c r="AU6" i="8"/>
  <c r="AX6" i="8" s="1"/>
  <c r="K7" i="8"/>
  <c r="B14" i="5"/>
  <c r="B15" i="5"/>
  <c r="AU13" i="8"/>
  <c r="AX13" i="8" s="1"/>
  <c r="AX7" i="8"/>
  <c r="J8" i="4"/>
  <c r="J31" i="4" s="1"/>
  <c r="AO15" i="8"/>
  <c r="AD15" i="8"/>
  <c r="F15" i="8"/>
  <c r="E15" i="8"/>
  <c r="Z15" i="8"/>
  <c r="AP15" i="8"/>
  <c r="AC15" i="8"/>
  <c r="B15" i="8"/>
  <c r="L4" i="4"/>
  <c r="L14" i="4" s="1"/>
  <c r="J4" i="4"/>
  <c r="J27" i="4" s="1"/>
  <c r="E5" i="7"/>
  <c r="D6" i="5" s="1"/>
  <c r="D24" i="5" s="1"/>
  <c r="E8" i="7"/>
  <c r="D9" i="5" s="1"/>
  <c r="D27" i="5" s="1"/>
  <c r="E9" i="7"/>
  <c r="D10" i="5" s="1"/>
  <c r="D28" i="5" s="1"/>
  <c r="E10" i="7"/>
  <c r="D11" i="5" s="1"/>
  <c r="D29" i="5" s="1"/>
  <c r="E11" i="7"/>
  <c r="D12" i="5" s="1"/>
  <c r="D30" i="5" s="1"/>
  <c r="E14" i="7"/>
  <c r="D15" i="5" s="1"/>
  <c r="D33" i="5" s="1"/>
  <c r="E12" i="7"/>
  <c r="D13" i="5" s="1"/>
  <c r="D31" i="5" s="1"/>
  <c r="N14" i="6"/>
  <c r="I14" i="6"/>
  <c r="E21" i="6"/>
  <c r="S14" i="6"/>
  <c r="D14" i="6"/>
  <c r="G16" i="5"/>
  <c r="K14" i="4"/>
  <c r="O9" i="2"/>
  <c r="O4" i="2"/>
  <c r="T13" i="2"/>
  <c r="T31" i="2" s="1"/>
  <c r="T11" i="2"/>
  <c r="T29" i="2" s="1"/>
  <c r="O8" i="2"/>
  <c r="O5" i="2"/>
  <c r="U11" i="2"/>
  <c r="O17" i="3"/>
  <c r="U7" i="2"/>
  <c r="U10" i="2"/>
  <c r="P14" i="2"/>
  <c r="B14" i="2"/>
  <c r="J14" i="2"/>
  <c r="R14" i="2"/>
  <c r="E14" i="2"/>
  <c r="M14" i="2"/>
  <c r="U8" i="2"/>
  <c r="F14" i="2"/>
  <c r="N14" i="2"/>
  <c r="Q14" i="2"/>
  <c r="C14" i="2"/>
  <c r="K14" i="2"/>
  <c r="D14" i="2"/>
  <c r="L14" i="2"/>
  <c r="U4" i="2"/>
  <c r="U5" i="2"/>
  <c r="U6" i="2"/>
  <c r="U22" i="2" l="1"/>
  <c r="D29" i="12"/>
  <c r="D30" i="12"/>
  <c r="E13" i="12"/>
  <c r="E31" i="12" s="1"/>
  <c r="T22" i="6"/>
  <c r="B25" i="5"/>
  <c r="B24" i="5"/>
  <c r="C6" i="5"/>
  <c r="C7" i="5" s="1"/>
  <c r="T27" i="6"/>
  <c r="P33" i="8"/>
  <c r="P15" i="8"/>
  <c r="D31" i="12"/>
  <c r="D14" i="12"/>
  <c r="T7" i="8"/>
  <c r="B29" i="12"/>
  <c r="B23" i="12"/>
  <c r="D23" i="12"/>
  <c r="P25" i="8"/>
  <c r="Q5" i="8"/>
  <c r="D31" i="6"/>
  <c r="T14" i="8"/>
  <c r="U14" i="8" s="1"/>
  <c r="U34" i="8" s="1"/>
  <c r="N31" i="6"/>
  <c r="V25" i="8"/>
  <c r="V35" i="8" s="1"/>
  <c r="W5" i="8"/>
  <c r="J37" i="4"/>
  <c r="J14" i="4"/>
  <c r="U29" i="2"/>
  <c r="E32" i="2"/>
  <c r="J32" i="2"/>
  <c r="E34" i="5"/>
  <c r="B25" i="12"/>
  <c r="B26" i="12"/>
  <c r="C30" i="12"/>
  <c r="L22" i="9"/>
  <c r="E16" i="5"/>
  <c r="I8" i="5"/>
  <c r="K8" i="5" s="1"/>
  <c r="AK24" i="2"/>
  <c r="H7" i="5"/>
  <c r="J7" i="5" s="1"/>
  <c r="AJ23" i="2"/>
  <c r="I12" i="5"/>
  <c r="K12" i="5" s="1"/>
  <c r="AK28" i="2"/>
  <c r="I13" i="5"/>
  <c r="K13" i="5" s="1"/>
  <c r="AK29" i="2"/>
  <c r="K32" i="2"/>
  <c r="I15" i="5"/>
  <c r="AK31" i="2"/>
  <c r="I11" i="5"/>
  <c r="K11" i="5" s="1"/>
  <c r="AK27" i="2"/>
  <c r="B14" i="12"/>
  <c r="B30" i="12"/>
  <c r="H12" i="5"/>
  <c r="J12" i="5" s="1"/>
  <c r="AJ28" i="2"/>
  <c r="L32" i="2"/>
  <c r="D32" i="2"/>
  <c r="H15" i="5"/>
  <c r="J15" i="5" s="1"/>
  <c r="AJ31" i="2"/>
  <c r="H8" i="5"/>
  <c r="J8" i="5" s="1"/>
  <c r="AJ24" i="2"/>
  <c r="H11" i="5"/>
  <c r="J11" i="5" s="1"/>
  <c r="AJ27" i="2"/>
  <c r="H9" i="5"/>
  <c r="J9" i="5" s="1"/>
  <c r="AJ25" i="2"/>
  <c r="H14" i="5"/>
  <c r="J14" i="5" s="1"/>
  <c r="AJ30" i="2"/>
  <c r="I10" i="5"/>
  <c r="K10" i="5" s="1"/>
  <c r="AK26" i="2"/>
  <c r="H13" i="5"/>
  <c r="J13" i="5" s="1"/>
  <c r="AJ29" i="2"/>
  <c r="I7" i="5"/>
  <c r="K7" i="5" s="1"/>
  <c r="AK23" i="2"/>
  <c r="I9" i="5"/>
  <c r="K9" i="5" s="1"/>
  <c r="AK25" i="2"/>
  <c r="H10" i="5"/>
  <c r="J10" i="5" s="1"/>
  <c r="AJ26" i="2"/>
  <c r="I14" i="5"/>
  <c r="K14" i="5" s="1"/>
  <c r="AK30" i="2"/>
  <c r="U24" i="2"/>
  <c r="U23" i="2"/>
  <c r="U26" i="2"/>
  <c r="U27" i="2"/>
  <c r="J9" i="8"/>
  <c r="J12" i="8"/>
  <c r="J13" i="8"/>
  <c r="J11" i="8"/>
  <c r="L11" i="8" s="1"/>
  <c r="J6" i="8"/>
  <c r="J7" i="8"/>
  <c r="J14" i="8"/>
  <c r="T14" i="6"/>
  <c r="T30" i="6"/>
  <c r="U29" i="6"/>
  <c r="S31" i="6"/>
  <c r="F29" i="6"/>
  <c r="O31" i="6"/>
  <c r="O14" i="6"/>
  <c r="I31" i="6"/>
  <c r="J14" i="6"/>
  <c r="T5" i="8"/>
  <c r="S15" i="8"/>
  <c r="J31" i="6"/>
  <c r="P26" i="8"/>
  <c r="P28" i="8"/>
  <c r="P35" i="8" s="1"/>
  <c r="Q15" i="8"/>
  <c r="N14" i="3"/>
  <c r="Y12" i="2" s="1"/>
  <c r="O14" i="3"/>
  <c r="Z12" i="2" s="1"/>
  <c r="T5" i="2"/>
  <c r="T23" i="2" s="1"/>
  <c r="O23" i="2"/>
  <c r="T7" i="2"/>
  <c r="T25" i="2" s="1"/>
  <c r="O25" i="2"/>
  <c r="T8" i="2"/>
  <c r="T26" i="2" s="1"/>
  <c r="O26" i="2"/>
  <c r="U28" i="2"/>
  <c r="T10" i="2"/>
  <c r="T28" i="2" s="1"/>
  <c r="O28" i="2"/>
  <c r="T4" i="2"/>
  <c r="T22" i="2" s="1"/>
  <c r="O22" i="2"/>
  <c r="U25" i="2"/>
  <c r="T6" i="2"/>
  <c r="T24" i="2" s="1"/>
  <c r="T9" i="2"/>
  <c r="T27" i="2" s="1"/>
  <c r="O27" i="2"/>
  <c r="E31" i="6"/>
  <c r="L21" i="9"/>
  <c r="L56" i="13" s="1"/>
  <c r="E30" i="12"/>
  <c r="K21" i="9"/>
  <c r="K56" i="13" s="1"/>
  <c r="E29" i="12"/>
  <c r="D34" i="5"/>
  <c r="B32" i="5"/>
  <c r="B33" i="5"/>
  <c r="R34" i="8"/>
  <c r="Q34" i="8"/>
  <c r="Z35" i="8"/>
  <c r="R28" i="8"/>
  <c r="Q28" i="8"/>
  <c r="X30" i="8"/>
  <c r="W30" i="8"/>
  <c r="AE29" i="8"/>
  <c r="X28" i="8"/>
  <c r="W28" i="8"/>
  <c r="X27" i="8"/>
  <c r="W27" i="8"/>
  <c r="AA35" i="8"/>
  <c r="X31" i="8"/>
  <c r="W31" i="8"/>
  <c r="AE15" i="8"/>
  <c r="AE25" i="8"/>
  <c r="U33" i="8"/>
  <c r="T33" i="8"/>
  <c r="AA15" i="8"/>
  <c r="R33" i="8"/>
  <c r="Q33" i="8"/>
  <c r="R31" i="8"/>
  <c r="Q31" i="8"/>
  <c r="X33" i="8"/>
  <c r="W33" i="8"/>
  <c r="D28" i="8"/>
  <c r="W26" i="8"/>
  <c r="U31" i="8"/>
  <c r="T31" i="8"/>
  <c r="X29" i="8"/>
  <c r="W29" i="8"/>
  <c r="U26" i="8"/>
  <c r="T26" i="8"/>
  <c r="R27" i="8"/>
  <c r="Q27" i="8"/>
  <c r="U30" i="8"/>
  <c r="T30" i="8"/>
  <c r="U28" i="8"/>
  <c r="T28" i="8"/>
  <c r="W34" i="8"/>
  <c r="R29" i="8"/>
  <c r="Q29" i="8"/>
  <c r="R30" i="8"/>
  <c r="Q30" i="8"/>
  <c r="R32" i="8"/>
  <c r="Q32" i="8"/>
  <c r="AQ15" i="8"/>
  <c r="Q26" i="8"/>
  <c r="U32" i="8"/>
  <c r="T32" i="8"/>
  <c r="X32" i="8"/>
  <c r="W32" i="8"/>
  <c r="U29" i="8"/>
  <c r="T29" i="8"/>
  <c r="S35" i="8"/>
  <c r="U48" i="2"/>
  <c r="D24" i="13"/>
  <c r="D16" i="5"/>
  <c r="E15" i="7"/>
  <c r="O14" i="2"/>
  <c r="B16" i="5"/>
  <c r="AR15" i="8"/>
  <c r="C5" i="8"/>
  <c r="C25" i="8" s="1"/>
  <c r="C35" i="8" s="1"/>
  <c r="B19" i="7"/>
  <c r="B20" i="7" s="1"/>
  <c r="K3" i="6"/>
  <c r="K20" i="6" s="1"/>
  <c r="K10" i="6"/>
  <c r="K27" i="6" s="1"/>
  <c r="K5" i="6"/>
  <c r="K22" i="6" s="1"/>
  <c r="K4" i="6"/>
  <c r="K21" i="6" s="1"/>
  <c r="K6" i="6"/>
  <c r="K23" i="6" s="1"/>
  <c r="K8" i="6"/>
  <c r="K25" i="6" s="1"/>
  <c r="K9" i="6"/>
  <c r="K26" i="6" s="1"/>
  <c r="K7" i="6"/>
  <c r="K24" i="6" s="1"/>
  <c r="P10" i="6"/>
  <c r="P27" i="6" s="1"/>
  <c r="P8" i="6"/>
  <c r="P25" i="6" s="1"/>
  <c r="P6" i="6"/>
  <c r="P23" i="6" s="1"/>
  <c r="P4" i="6"/>
  <c r="P21" i="6" s="1"/>
  <c r="P5" i="6"/>
  <c r="P22" i="6" s="1"/>
  <c r="P7" i="6"/>
  <c r="P24" i="6" s="1"/>
  <c r="P9" i="6"/>
  <c r="P26" i="6" s="1"/>
  <c r="P3" i="6"/>
  <c r="P20" i="6" s="1"/>
  <c r="E14" i="6"/>
  <c r="F4" i="6" s="1"/>
  <c r="F21" i="6" s="1"/>
  <c r="O6" i="3"/>
  <c r="Z4" i="2" s="1"/>
  <c r="N6" i="3"/>
  <c r="Y4" i="2" s="1"/>
  <c r="O5" i="3"/>
  <c r="N5" i="3"/>
  <c r="AA14" i="2"/>
  <c r="AJ4" i="2"/>
  <c r="AK4" i="2"/>
  <c r="U14" i="2"/>
  <c r="D32" i="12" l="1"/>
  <c r="E8" i="12"/>
  <c r="E9" i="12"/>
  <c r="E7" i="12"/>
  <c r="E6" i="12"/>
  <c r="E5" i="12"/>
  <c r="E21" i="9" s="1"/>
  <c r="E56" i="13" s="1"/>
  <c r="E10" i="12"/>
  <c r="T31" i="6"/>
  <c r="C8" i="5"/>
  <c r="C25" i="5"/>
  <c r="W25" i="8"/>
  <c r="X5" i="8"/>
  <c r="X25" i="8" s="1"/>
  <c r="T25" i="8"/>
  <c r="U5" i="8"/>
  <c r="U25" i="8" s="1"/>
  <c r="T27" i="8"/>
  <c r="T35" i="8" s="1"/>
  <c r="U7" i="8"/>
  <c r="U27" i="8" s="1"/>
  <c r="T34" i="8"/>
  <c r="Q25" i="8"/>
  <c r="R5" i="8"/>
  <c r="R25" i="8" s="1"/>
  <c r="B32" i="12"/>
  <c r="C4" i="12"/>
  <c r="C11" i="12"/>
  <c r="C29" i="12" s="1"/>
  <c r="C10" i="12"/>
  <c r="C9" i="12"/>
  <c r="C8" i="12"/>
  <c r="C7" i="12"/>
  <c r="C6" i="12"/>
  <c r="C5" i="12"/>
  <c r="L24" i="13"/>
  <c r="L25" i="13"/>
  <c r="E24" i="13"/>
  <c r="K24" i="13"/>
  <c r="T15" i="8"/>
  <c r="W15" i="8"/>
  <c r="AG12" i="2"/>
  <c r="AF12" i="2"/>
  <c r="AF4" i="2"/>
  <c r="E23" i="12"/>
  <c r="C24" i="5"/>
  <c r="I30" i="5"/>
  <c r="I27" i="5"/>
  <c r="H32" i="5"/>
  <c r="H33" i="5"/>
  <c r="J33" i="5"/>
  <c r="I29" i="5"/>
  <c r="U32" i="2"/>
  <c r="J25" i="5"/>
  <c r="J32" i="5" s="1"/>
  <c r="H25" i="5"/>
  <c r="I25" i="5"/>
  <c r="H27" i="5"/>
  <c r="J27" i="5"/>
  <c r="I33" i="5"/>
  <c r="I26" i="5"/>
  <c r="H6" i="5"/>
  <c r="AJ22" i="2"/>
  <c r="AJ32" i="2" s="1"/>
  <c r="I32" i="5"/>
  <c r="J29" i="5"/>
  <c r="H29" i="5"/>
  <c r="J30" i="5"/>
  <c r="H30" i="5"/>
  <c r="I6" i="5"/>
  <c r="AK22" i="2"/>
  <c r="AK32" i="2" s="1"/>
  <c r="I31" i="5"/>
  <c r="J31" i="5"/>
  <c r="H31" i="5"/>
  <c r="J28" i="5"/>
  <c r="H28" i="5"/>
  <c r="I28" i="5"/>
  <c r="J26" i="5"/>
  <c r="H26" i="5"/>
  <c r="O15" i="3"/>
  <c r="Z13" i="2" s="1"/>
  <c r="AG13" i="2" s="1"/>
  <c r="N15" i="3"/>
  <c r="Y13" i="2" s="1"/>
  <c r="AF13" i="2" s="1"/>
  <c r="P31" i="6"/>
  <c r="L19" i="9"/>
  <c r="L54" i="13" s="1"/>
  <c r="O32" i="2"/>
  <c r="K31" i="6"/>
  <c r="T14" i="2"/>
  <c r="V8" i="2" s="1"/>
  <c r="T32" i="2"/>
  <c r="B34" i="5"/>
  <c r="U35" i="8"/>
  <c r="W35" i="8"/>
  <c r="Q35" i="8"/>
  <c r="AF10" i="8"/>
  <c r="AF30" i="8" s="1"/>
  <c r="AF8" i="8"/>
  <c r="AF28" i="8" s="1"/>
  <c r="AF7" i="8"/>
  <c r="AF27" i="8" s="1"/>
  <c r="AF6" i="8"/>
  <c r="AF26" i="8" s="1"/>
  <c r="AF14" i="8"/>
  <c r="AF34" i="8" s="1"/>
  <c r="AF13" i="8"/>
  <c r="AF33" i="8" s="1"/>
  <c r="AF12" i="8"/>
  <c r="AF32" i="8" s="1"/>
  <c r="AF11" i="8"/>
  <c r="AF31" i="8" s="1"/>
  <c r="X34" i="8"/>
  <c r="AF5" i="8"/>
  <c r="AF25" i="8" s="1"/>
  <c r="AF9" i="8"/>
  <c r="AF29" i="8" s="1"/>
  <c r="R26" i="8"/>
  <c r="R35" i="8" s="1"/>
  <c r="R15" i="8"/>
  <c r="X26" i="8"/>
  <c r="X15" i="8"/>
  <c r="AE35" i="8"/>
  <c r="C15" i="8"/>
  <c r="J5" i="8"/>
  <c r="D25" i="8"/>
  <c r="D35" i="8" s="1"/>
  <c r="K14" i="6"/>
  <c r="P14" i="6"/>
  <c r="F7" i="6"/>
  <c r="F24" i="6" s="1"/>
  <c r="F10" i="6"/>
  <c r="F27" i="6" s="1"/>
  <c r="F5" i="6"/>
  <c r="F22" i="6" s="1"/>
  <c r="F8" i="6"/>
  <c r="F25" i="6" s="1"/>
  <c r="F6" i="6"/>
  <c r="F23" i="6" s="1"/>
  <c r="F9" i="6"/>
  <c r="F26" i="6" s="1"/>
  <c r="F3" i="6"/>
  <c r="F20" i="6" s="1"/>
  <c r="U25" i="6"/>
  <c r="U3" i="6"/>
  <c r="U20" i="6" s="1"/>
  <c r="U24" i="6"/>
  <c r="U23" i="6"/>
  <c r="U4" i="6"/>
  <c r="U21" i="6" s="1"/>
  <c r="U22" i="6"/>
  <c r="U26" i="6"/>
  <c r="U27" i="6"/>
  <c r="N8" i="3"/>
  <c r="Y6" i="2" s="1"/>
  <c r="O8" i="3"/>
  <c r="Z6" i="2" s="1"/>
  <c r="N12" i="3"/>
  <c r="Y10" i="2" s="1"/>
  <c r="O12" i="3"/>
  <c r="Z10" i="2" s="1"/>
  <c r="O13" i="3"/>
  <c r="Z11" i="2" s="1"/>
  <c r="N13" i="3"/>
  <c r="Y11" i="2" s="1"/>
  <c r="O16" i="3"/>
  <c r="N16" i="3"/>
  <c r="O7" i="3"/>
  <c r="Z5" i="2" s="1"/>
  <c r="N7" i="3"/>
  <c r="Y5" i="2" s="1"/>
  <c r="O10" i="3"/>
  <c r="Z8" i="2" s="1"/>
  <c r="N10" i="3"/>
  <c r="Y8" i="2" s="1"/>
  <c r="O11" i="3"/>
  <c r="Z9" i="2" s="1"/>
  <c r="N11" i="3"/>
  <c r="Y9" i="2" s="1"/>
  <c r="O9" i="3"/>
  <c r="Z7" i="2" s="1"/>
  <c r="N9" i="3"/>
  <c r="Y7" i="2" s="1"/>
  <c r="AJ14" i="2"/>
  <c r="AG4" i="2"/>
  <c r="AK14" i="2"/>
  <c r="AE7" i="2"/>
  <c r="AE6" i="2"/>
  <c r="AE8" i="2"/>
  <c r="AE4" i="2"/>
  <c r="AE10" i="2"/>
  <c r="AE9" i="2"/>
  <c r="AE13" i="2"/>
  <c r="AE5" i="2"/>
  <c r="E14" i="12" l="1"/>
  <c r="H24" i="5"/>
  <c r="J6" i="5"/>
  <c r="I24" i="5"/>
  <c r="I34" i="5" s="1"/>
  <c r="K6" i="5"/>
  <c r="K24" i="5" s="1"/>
  <c r="H21" i="9"/>
  <c r="E28" i="12"/>
  <c r="F21" i="9"/>
  <c r="E24" i="12"/>
  <c r="E25" i="12"/>
  <c r="G21" i="9"/>
  <c r="I16" i="5"/>
  <c r="K22" i="9"/>
  <c r="K57" i="13" s="1"/>
  <c r="E27" i="12"/>
  <c r="J21" i="9"/>
  <c r="I21" i="9"/>
  <c r="E26" i="12"/>
  <c r="C9" i="5"/>
  <c r="C26" i="5"/>
  <c r="U15" i="8"/>
  <c r="F22" i="9"/>
  <c r="C24" i="12"/>
  <c r="I22" i="9"/>
  <c r="C26" i="12"/>
  <c r="J22" i="9"/>
  <c r="C27" i="12"/>
  <c r="G22" i="9"/>
  <c r="C25" i="12"/>
  <c r="H22" i="9"/>
  <c r="C28" i="12"/>
  <c r="E22" i="9"/>
  <c r="C23" i="12"/>
  <c r="K25" i="13"/>
  <c r="L22" i="13"/>
  <c r="H16" i="5"/>
  <c r="V12" i="2"/>
  <c r="AD12" i="2" s="1"/>
  <c r="K19" i="9"/>
  <c r="K54" i="13" s="1"/>
  <c r="AF8" i="2"/>
  <c r="AG8" i="2"/>
  <c r="AF10" i="2"/>
  <c r="AG11" i="2"/>
  <c r="AG10" i="2"/>
  <c r="AF6" i="2"/>
  <c r="AG7" i="2"/>
  <c r="AG9" i="2"/>
  <c r="AG6" i="2"/>
  <c r="AF7" i="2"/>
  <c r="AF9" i="2"/>
  <c r="AF11" i="2"/>
  <c r="V4" i="2"/>
  <c r="V22" i="2" s="1"/>
  <c r="V6" i="2"/>
  <c r="V24" i="2" s="1"/>
  <c r="V13" i="2"/>
  <c r="AD13" i="2" s="1"/>
  <c r="AD31" i="2" s="1"/>
  <c r="K31" i="5"/>
  <c r="L13" i="5"/>
  <c r="K32" i="5"/>
  <c r="L14" i="5"/>
  <c r="K28" i="5"/>
  <c r="L10" i="5"/>
  <c r="H34" i="5"/>
  <c r="K25" i="5"/>
  <c r="L7" i="5"/>
  <c r="M7" i="5" s="1"/>
  <c r="K26" i="5"/>
  <c r="L8" i="5"/>
  <c r="M8" i="5" s="1"/>
  <c r="K27" i="5"/>
  <c r="L9" i="5"/>
  <c r="K33" i="5"/>
  <c r="L15" i="5"/>
  <c r="K30" i="5"/>
  <c r="L12" i="5"/>
  <c r="K29" i="5"/>
  <c r="L11" i="5"/>
  <c r="J16" i="8"/>
  <c r="L5" i="8" s="1"/>
  <c r="F31" i="6"/>
  <c r="AD8" i="2"/>
  <c r="V26" i="2"/>
  <c r="V7" i="2"/>
  <c r="V31" i="2"/>
  <c r="V11" i="2"/>
  <c r="U31" i="6"/>
  <c r="V5" i="2"/>
  <c r="V9" i="2"/>
  <c r="V10" i="2"/>
  <c r="J16" i="5"/>
  <c r="J24" i="5"/>
  <c r="J34" i="5" s="1"/>
  <c r="X35" i="8"/>
  <c r="M11" i="8"/>
  <c r="AF35" i="8"/>
  <c r="AF15" i="8"/>
  <c r="V48" i="2"/>
  <c r="L6" i="5"/>
  <c r="K16" i="5"/>
  <c r="D15" i="8"/>
  <c r="D19" i="8" s="1"/>
  <c r="K5" i="8"/>
  <c r="H15" i="8"/>
  <c r="F14" i="6"/>
  <c r="U14" i="6"/>
  <c r="AE14" i="2"/>
  <c r="AD26" i="2" l="1"/>
  <c r="E32" i="12"/>
  <c r="I56" i="13"/>
  <c r="I24" i="13"/>
  <c r="F56" i="13"/>
  <c r="F24" i="13"/>
  <c r="M21" i="9"/>
  <c r="J56" i="13"/>
  <c r="J24" i="13"/>
  <c r="H56" i="13"/>
  <c r="H24" i="13"/>
  <c r="G56" i="13"/>
  <c r="G24" i="13"/>
  <c r="AD4" i="2"/>
  <c r="V30" i="2"/>
  <c r="M9" i="5"/>
  <c r="C10" i="5"/>
  <c r="C27" i="5"/>
  <c r="G57" i="13"/>
  <c r="G19" i="9"/>
  <c r="G25" i="13"/>
  <c r="J57" i="13"/>
  <c r="J25" i="13"/>
  <c r="J19" i="9"/>
  <c r="E57" i="13"/>
  <c r="E25" i="13"/>
  <c r="E19" i="9"/>
  <c r="I57" i="13"/>
  <c r="I19" i="9"/>
  <c r="I25" i="13"/>
  <c r="H57" i="13"/>
  <c r="H19" i="9"/>
  <c r="H25" i="13"/>
  <c r="F57" i="13"/>
  <c r="F25" i="13"/>
  <c r="F19" i="9"/>
  <c r="K22" i="13"/>
  <c r="AC14" i="2"/>
  <c r="AG5" i="2"/>
  <c r="AG14" i="2" s="1"/>
  <c r="AB14" i="2"/>
  <c r="AD6" i="2"/>
  <c r="AD24" i="2" s="1"/>
  <c r="AF5" i="2"/>
  <c r="AF14" i="2" s="1"/>
  <c r="L24" i="5"/>
  <c r="M6" i="5"/>
  <c r="AH8" i="2"/>
  <c r="AI8" i="2" s="1"/>
  <c r="C8" i="4" s="1"/>
  <c r="D8" i="4" s="1"/>
  <c r="K34" i="5"/>
  <c r="L27" i="5"/>
  <c r="L28" i="5"/>
  <c r="L33" i="5"/>
  <c r="L29" i="5"/>
  <c r="L26" i="5"/>
  <c r="L32" i="5"/>
  <c r="L30" i="5"/>
  <c r="L25" i="5"/>
  <c r="L31" i="5"/>
  <c r="AH13" i="2"/>
  <c r="AI13" i="2" s="1"/>
  <c r="C13" i="4" s="1"/>
  <c r="L8" i="8"/>
  <c r="M8" i="8" s="1"/>
  <c r="N8" i="8" s="1"/>
  <c r="O8" i="8" s="1"/>
  <c r="AJ8" i="8" s="1"/>
  <c r="L6" i="8"/>
  <c r="M6" i="8" s="1"/>
  <c r="N6" i="8" s="1"/>
  <c r="O6" i="8" s="1"/>
  <c r="AJ6" i="8" s="1"/>
  <c r="L13" i="8"/>
  <c r="M13" i="8" s="1"/>
  <c r="N13" i="8" s="1"/>
  <c r="L12" i="8"/>
  <c r="M12" i="8" s="1"/>
  <c r="N12" i="8" s="1"/>
  <c r="L7" i="8"/>
  <c r="M7" i="8" s="1"/>
  <c r="N7" i="8" s="1"/>
  <c r="L9" i="8"/>
  <c r="M9" i="8" s="1"/>
  <c r="N9" i="8" s="1"/>
  <c r="L14" i="8"/>
  <c r="M14" i="8" s="1"/>
  <c r="N14" i="8" s="1"/>
  <c r="O14" i="8" s="1"/>
  <c r="AJ14" i="8" s="1"/>
  <c r="AD11" i="2"/>
  <c r="V29" i="2"/>
  <c r="AD10" i="2"/>
  <c r="V28" i="2"/>
  <c r="V14" i="2"/>
  <c r="AD9" i="2"/>
  <c r="V27" i="2"/>
  <c r="AH4" i="2"/>
  <c r="AI4" i="2" s="1"/>
  <c r="C4" i="4" s="1"/>
  <c r="D4" i="4" s="1"/>
  <c r="AD22" i="2"/>
  <c r="AD5" i="2"/>
  <c r="V23" i="2"/>
  <c r="AD7" i="2"/>
  <c r="V25" i="2"/>
  <c r="AH12" i="2"/>
  <c r="AI12" i="2" s="1"/>
  <c r="AD30" i="2"/>
  <c r="N11" i="8"/>
  <c r="AD48" i="2"/>
  <c r="L16" i="5"/>
  <c r="G15" i="8"/>
  <c r="D27" i="4" l="1"/>
  <c r="F4" i="4"/>
  <c r="D31" i="4"/>
  <c r="F8" i="4"/>
  <c r="M24" i="13"/>
  <c r="R21" i="9"/>
  <c r="M56" i="13"/>
  <c r="C11" i="5"/>
  <c r="C28" i="5"/>
  <c r="M10" i="5"/>
  <c r="M28" i="5" s="1"/>
  <c r="H54" i="13"/>
  <c r="H22" i="13"/>
  <c r="J54" i="13"/>
  <c r="J22" i="13"/>
  <c r="I54" i="13"/>
  <c r="I22" i="13"/>
  <c r="F54" i="13"/>
  <c r="F22" i="13"/>
  <c r="G54" i="13"/>
  <c r="G22" i="13"/>
  <c r="E54" i="13"/>
  <c r="E22" i="13"/>
  <c r="AH6" i="2"/>
  <c r="AI6" i="2" s="1"/>
  <c r="AI24" i="2" s="1"/>
  <c r="C36" i="4"/>
  <c r="C31" i="4"/>
  <c r="AI26" i="2"/>
  <c r="L34" i="5"/>
  <c r="M26" i="5"/>
  <c r="F7" i="11"/>
  <c r="F24" i="11" s="1"/>
  <c r="M27" i="5"/>
  <c r="F8" i="11"/>
  <c r="F25" i="11" s="1"/>
  <c r="M25" i="5"/>
  <c r="F6" i="11"/>
  <c r="F23" i="11" s="1"/>
  <c r="AI31" i="2"/>
  <c r="O34" i="8"/>
  <c r="AI22" i="2"/>
  <c r="AD23" i="2"/>
  <c r="AH5" i="2"/>
  <c r="C12" i="4"/>
  <c r="AI30" i="2"/>
  <c r="AD27" i="2"/>
  <c r="AH9" i="2"/>
  <c r="AI9" i="2" s="1"/>
  <c r="AD25" i="2"/>
  <c r="AH7" i="2"/>
  <c r="AI7" i="2" s="1"/>
  <c r="AD14" i="2"/>
  <c r="AD28" i="2"/>
  <c r="AH10" i="2"/>
  <c r="AI10" i="2" s="1"/>
  <c r="V32" i="2"/>
  <c r="AH11" i="2"/>
  <c r="AI11" i="2" s="1"/>
  <c r="AD29" i="2"/>
  <c r="M24" i="5"/>
  <c r="O12" i="8"/>
  <c r="AJ12" i="8" s="1"/>
  <c r="O13" i="8"/>
  <c r="AJ13" i="8" s="1"/>
  <c r="O9" i="8"/>
  <c r="AJ9" i="8" s="1"/>
  <c r="O11" i="8"/>
  <c r="AJ11" i="8" s="1"/>
  <c r="O26" i="8"/>
  <c r="O28" i="8"/>
  <c r="O7" i="8"/>
  <c r="AJ7" i="8" s="1"/>
  <c r="M49" i="4"/>
  <c r="N49" i="4" s="1"/>
  <c r="O49" i="4" s="1"/>
  <c r="M45" i="4"/>
  <c r="N45" i="4" s="1"/>
  <c r="O45" i="4" s="1"/>
  <c r="M50" i="4"/>
  <c r="N50" i="4" s="1"/>
  <c r="O50" i="4" s="1"/>
  <c r="M48" i="4"/>
  <c r="N48" i="4" s="1"/>
  <c r="O48" i="4" s="1"/>
  <c r="M44" i="4"/>
  <c r="N44" i="4" s="1"/>
  <c r="O44" i="4" s="1"/>
  <c r="F5" i="11"/>
  <c r="F22" i="11" s="1"/>
  <c r="M5" i="8"/>
  <c r="R56" i="13" l="1"/>
  <c r="R24" i="13"/>
  <c r="F9" i="11"/>
  <c r="F26" i="11" s="1"/>
  <c r="C12" i="5"/>
  <c r="C29" i="5"/>
  <c r="M11" i="5"/>
  <c r="C6" i="4"/>
  <c r="D6" i="4" s="1"/>
  <c r="C35" i="4"/>
  <c r="AI14" i="8"/>
  <c r="AI34" i="8" s="1"/>
  <c r="AM14" i="8"/>
  <c r="AM34" i="8" s="1"/>
  <c r="AL14" i="8"/>
  <c r="J14" i="11" s="1"/>
  <c r="J31" i="11" s="1"/>
  <c r="AJ34" i="8"/>
  <c r="C11" i="4"/>
  <c r="D11" i="4" s="1"/>
  <c r="AI29" i="2"/>
  <c r="C10" i="4"/>
  <c r="D10" i="4" s="1"/>
  <c r="AI28" i="2"/>
  <c r="AI5" i="2"/>
  <c r="AH14" i="2"/>
  <c r="C7" i="4"/>
  <c r="D7" i="4" s="1"/>
  <c r="AI25" i="2"/>
  <c r="C9" i="4"/>
  <c r="D9" i="4" s="1"/>
  <c r="AI27" i="2"/>
  <c r="C27" i="4"/>
  <c r="AM8" i="8"/>
  <c r="AM28" i="8" s="1"/>
  <c r="AJ28" i="8"/>
  <c r="AI8" i="8"/>
  <c r="AI28" i="8" s="1"/>
  <c r="AL8" i="8"/>
  <c r="J8" i="11" s="1"/>
  <c r="J25" i="11" s="1"/>
  <c r="O29" i="8"/>
  <c r="AM6" i="8"/>
  <c r="AM26" i="8" s="1"/>
  <c r="AJ26" i="8"/>
  <c r="AL6" i="8"/>
  <c r="J6" i="11" s="1"/>
  <c r="J23" i="11" s="1"/>
  <c r="AI6" i="8"/>
  <c r="AI26" i="8" s="1"/>
  <c r="O33" i="8"/>
  <c r="O27" i="8"/>
  <c r="O31" i="8"/>
  <c r="O32" i="8"/>
  <c r="M46" i="4"/>
  <c r="N46" i="4" s="1"/>
  <c r="O46" i="4" s="1"/>
  <c r="M47" i="4"/>
  <c r="N47" i="4" s="1"/>
  <c r="O47" i="4" s="1"/>
  <c r="M52" i="4"/>
  <c r="N52" i="4" s="1"/>
  <c r="O52" i="4" s="1"/>
  <c r="M51" i="4"/>
  <c r="N51" i="4" s="1"/>
  <c r="O51" i="4" s="1"/>
  <c r="N5" i="8"/>
  <c r="D34" i="4" l="1"/>
  <c r="F11" i="4"/>
  <c r="D29" i="4"/>
  <c r="F6" i="4"/>
  <c r="D32" i="4"/>
  <c r="F9" i="4"/>
  <c r="D33" i="4"/>
  <c r="F10" i="4"/>
  <c r="D30" i="4"/>
  <c r="F7" i="4"/>
  <c r="C29" i="4"/>
  <c r="M29" i="5"/>
  <c r="F10" i="11"/>
  <c r="F27" i="11" s="1"/>
  <c r="C13" i="5"/>
  <c r="C30" i="5"/>
  <c r="M12" i="5"/>
  <c r="AL34" i="8"/>
  <c r="C30" i="4"/>
  <c r="C33" i="4"/>
  <c r="C32" i="4"/>
  <c r="C5" i="4"/>
  <c r="D5" i="4" s="1"/>
  <c r="AI23" i="2"/>
  <c r="AI32" i="2" s="1"/>
  <c r="AI14" i="2"/>
  <c r="C34" i="4"/>
  <c r="AM12" i="8"/>
  <c r="AM32" i="8" s="1"/>
  <c r="AJ32" i="8"/>
  <c r="AI12" i="8"/>
  <c r="AI32" i="8" s="1"/>
  <c r="AL12" i="8"/>
  <c r="J12" i="11" s="1"/>
  <c r="J29" i="11" s="1"/>
  <c r="AJ29" i="8"/>
  <c r="AM9" i="8"/>
  <c r="AM29" i="8" s="1"/>
  <c r="AL9" i="8"/>
  <c r="J9" i="11" s="1"/>
  <c r="J26" i="11" s="1"/>
  <c r="AI9" i="8"/>
  <c r="AI29" i="8" s="1"/>
  <c r="AL28" i="8"/>
  <c r="AL26" i="8"/>
  <c r="AM11" i="8"/>
  <c r="AM31" i="8" s="1"/>
  <c r="AJ31" i="8"/>
  <c r="AL11" i="8"/>
  <c r="J11" i="11" s="1"/>
  <c r="J28" i="11" s="1"/>
  <c r="AI11" i="8"/>
  <c r="AI31" i="8" s="1"/>
  <c r="AM13" i="8"/>
  <c r="AM33" i="8" s="1"/>
  <c r="AJ33" i="8"/>
  <c r="AI13" i="8"/>
  <c r="AI33" i="8" s="1"/>
  <c r="AL13" i="8"/>
  <c r="J13" i="11" s="1"/>
  <c r="J30" i="11" s="1"/>
  <c r="AM7" i="8"/>
  <c r="AM27" i="8" s="1"/>
  <c r="AJ27" i="8"/>
  <c r="AL7" i="8"/>
  <c r="J7" i="11" s="1"/>
  <c r="J24" i="11" s="1"/>
  <c r="AI7" i="8"/>
  <c r="AI27" i="8" s="1"/>
  <c r="M43" i="4"/>
  <c r="O5" i="8"/>
  <c r="D28" i="4" l="1"/>
  <c r="D37" i="4" s="1"/>
  <c r="F5" i="4"/>
  <c r="M30" i="5"/>
  <c r="F11" i="11"/>
  <c r="F28" i="11" s="1"/>
  <c r="C14" i="5"/>
  <c r="C31" i="5"/>
  <c r="M13" i="5"/>
  <c r="O25" i="8"/>
  <c r="AJ5" i="8"/>
  <c r="C28" i="4"/>
  <c r="C37" i="4" s="1"/>
  <c r="C14" i="4"/>
  <c r="AL31" i="8"/>
  <c r="AL29" i="8"/>
  <c r="AL32" i="8"/>
  <c r="AL33" i="8"/>
  <c r="AL27" i="8"/>
  <c r="N43" i="4"/>
  <c r="M53" i="4"/>
  <c r="F12" i="11" l="1"/>
  <c r="F29" i="11" s="1"/>
  <c r="M31" i="5"/>
  <c r="C15" i="5"/>
  <c r="C32" i="5"/>
  <c r="M14" i="5"/>
  <c r="C16" i="5"/>
  <c r="H5" i="4"/>
  <c r="I5" i="4" s="1"/>
  <c r="G13" i="4"/>
  <c r="G8" i="4"/>
  <c r="E13" i="4"/>
  <c r="G6" i="4"/>
  <c r="G4" i="4"/>
  <c r="G12" i="4"/>
  <c r="E12" i="4"/>
  <c r="G11" i="4"/>
  <c r="G9" i="4"/>
  <c r="G10" i="4"/>
  <c r="G7" i="4"/>
  <c r="G5" i="4"/>
  <c r="H4" i="4"/>
  <c r="H6" i="4"/>
  <c r="H13" i="4"/>
  <c r="H12" i="4"/>
  <c r="H8" i="4"/>
  <c r="H10" i="4"/>
  <c r="H7" i="4"/>
  <c r="I7" i="4" s="1"/>
  <c r="M7" i="4" s="1"/>
  <c r="H11" i="4"/>
  <c r="I11" i="4" s="1"/>
  <c r="H9" i="4"/>
  <c r="AM5" i="8"/>
  <c r="AJ25" i="8"/>
  <c r="O43" i="4"/>
  <c r="O53" i="4" s="1"/>
  <c r="N53" i="4"/>
  <c r="AL5" i="8"/>
  <c r="AI5" i="8"/>
  <c r="F13" i="11" l="1"/>
  <c r="F30" i="11" s="1"/>
  <c r="F33" i="11" s="1"/>
  <c r="M32" i="5"/>
  <c r="C33" i="5"/>
  <c r="C34" i="5" s="1"/>
  <c r="M15" i="5"/>
  <c r="AL25" i="8"/>
  <c r="J5" i="11"/>
  <c r="J22" i="11" s="1"/>
  <c r="M5" i="4"/>
  <c r="N5" i="4" s="1"/>
  <c r="I6" i="4"/>
  <c r="M6" i="4" s="1"/>
  <c r="M29" i="4" s="1"/>
  <c r="I13" i="4"/>
  <c r="I8" i="4"/>
  <c r="G14" i="4"/>
  <c r="N7" i="4"/>
  <c r="M30" i="4"/>
  <c r="E14" i="4"/>
  <c r="I4" i="4"/>
  <c r="M4" i="4" s="1"/>
  <c r="D14" i="4"/>
  <c r="I10" i="4"/>
  <c r="M10" i="4" s="1"/>
  <c r="I9" i="4"/>
  <c r="M9" i="4" s="1"/>
  <c r="I12" i="4"/>
  <c r="M12" i="4" s="1"/>
  <c r="H14" i="4"/>
  <c r="AI25" i="8"/>
  <c r="AM25" i="8"/>
  <c r="M33" i="5" l="1"/>
  <c r="F14" i="11"/>
  <c r="F31" i="11" s="1"/>
  <c r="F32" i="11" s="1"/>
  <c r="M34" i="5"/>
  <c r="M16" i="5"/>
  <c r="M28" i="4"/>
  <c r="N6" i="4"/>
  <c r="O6" i="4" s="1"/>
  <c r="O29" i="4" s="1"/>
  <c r="N28" i="4"/>
  <c r="B6" i="11"/>
  <c r="B23" i="11" s="1"/>
  <c r="O5" i="4"/>
  <c r="O28" i="4" s="1"/>
  <c r="M11" i="4"/>
  <c r="M34" i="4" s="1"/>
  <c r="M13" i="4"/>
  <c r="N13" i="4" s="1"/>
  <c r="N36" i="4" s="1"/>
  <c r="M8" i="4"/>
  <c r="N8" i="4" s="1"/>
  <c r="N31" i="4" s="1"/>
  <c r="N12" i="4"/>
  <c r="M35" i="4"/>
  <c r="M32" i="4"/>
  <c r="N9" i="4"/>
  <c r="I14" i="4"/>
  <c r="N10" i="4"/>
  <c r="M33" i="4"/>
  <c r="N30" i="4"/>
  <c r="O7" i="4"/>
  <c r="O30" i="4" s="1"/>
  <c r="B8" i="11"/>
  <c r="B25" i="11" s="1"/>
  <c r="F16" i="11" l="1"/>
  <c r="F15" i="11"/>
  <c r="N11" i="5"/>
  <c r="N29" i="5" s="1"/>
  <c r="N10" i="5"/>
  <c r="N28" i="5" s="1"/>
  <c r="N6" i="5"/>
  <c r="N7" i="5"/>
  <c r="N25" i="5" s="1"/>
  <c r="N8" i="5"/>
  <c r="N26" i="5" s="1"/>
  <c r="N9" i="5"/>
  <c r="N27" i="5" s="1"/>
  <c r="N17" i="5"/>
  <c r="N12" i="5"/>
  <c r="N30" i="5" s="1"/>
  <c r="N13" i="5"/>
  <c r="N31" i="5" s="1"/>
  <c r="N14" i="5"/>
  <c r="N32" i="5" s="1"/>
  <c r="N15" i="5"/>
  <c r="N33" i="5" s="1"/>
  <c r="N29" i="4"/>
  <c r="B7" i="11"/>
  <c r="B24" i="11" s="1"/>
  <c r="M31" i="4"/>
  <c r="M36" i="4"/>
  <c r="N11" i="4"/>
  <c r="B9" i="11"/>
  <c r="B26" i="11" s="1"/>
  <c r="O8" i="4"/>
  <c r="O31" i="4" s="1"/>
  <c r="O13" i="4"/>
  <c r="O36" i="4" s="1"/>
  <c r="B14" i="11"/>
  <c r="B31" i="11" s="1"/>
  <c r="E31" i="11" s="1"/>
  <c r="M27" i="4"/>
  <c r="N4" i="4"/>
  <c r="M14" i="4"/>
  <c r="O9" i="4"/>
  <c r="O32" i="4" s="1"/>
  <c r="N32" i="4"/>
  <c r="B10" i="11"/>
  <c r="B27" i="11" s="1"/>
  <c r="B11" i="11"/>
  <c r="B28" i="11" s="1"/>
  <c r="O10" i="4"/>
  <c r="O33" i="4" s="1"/>
  <c r="N33" i="4"/>
  <c r="N35" i="4"/>
  <c r="O12" i="4"/>
  <c r="O35" i="4" s="1"/>
  <c r="B13" i="11"/>
  <c r="B30" i="11" s="1"/>
  <c r="I14" i="11" l="1"/>
  <c r="I6" i="11"/>
  <c r="I5" i="11"/>
  <c r="I22" i="11" s="1"/>
  <c r="I9" i="11"/>
  <c r="I10" i="11"/>
  <c r="I7" i="11"/>
  <c r="I8" i="11"/>
  <c r="I11" i="11"/>
  <c r="I12" i="11"/>
  <c r="I13" i="11"/>
  <c r="M37" i="4"/>
  <c r="B12" i="11"/>
  <c r="B29" i="11" s="1"/>
  <c r="N34" i="4"/>
  <c r="O11" i="4"/>
  <c r="O34" i="4" s="1"/>
  <c r="B5" i="11"/>
  <c r="B22" i="11" s="1"/>
  <c r="N27" i="4"/>
  <c r="O4" i="4"/>
  <c r="N14" i="4"/>
  <c r="H11" i="9" l="1"/>
  <c r="H14" i="13" s="1"/>
  <c r="I28" i="11"/>
  <c r="F11" i="9"/>
  <c r="F46" i="13" s="1"/>
  <c r="I24" i="11"/>
  <c r="G11" i="9"/>
  <c r="G46" i="13" s="1"/>
  <c r="I25" i="11"/>
  <c r="I11" i="9"/>
  <c r="I46" i="13" s="1"/>
  <c r="I26" i="11"/>
  <c r="B32" i="11"/>
  <c r="B33" i="11"/>
  <c r="J11" i="9"/>
  <c r="J14" i="13" s="1"/>
  <c r="I27" i="11"/>
  <c r="E11" i="9"/>
  <c r="E46" i="13" s="1"/>
  <c r="I23" i="11"/>
  <c r="L11" i="9"/>
  <c r="L14" i="13" s="1"/>
  <c r="I30" i="11"/>
  <c r="K11" i="9"/>
  <c r="K46" i="13" s="1"/>
  <c r="I29" i="11"/>
  <c r="N11" i="9"/>
  <c r="N6" i="9" s="1"/>
  <c r="I31" i="11"/>
  <c r="H46" i="13"/>
  <c r="F14" i="13"/>
  <c r="D11" i="9"/>
  <c r="I15" i="11"/>
  <c r="I32" i="11" s="1"/>
  <c r="I16" i="11"/>
  <c r="I33" i="11" s="1"/>
  <c r="N37" i="4"/>
  <c r="B16" i="11"/>
  <c r="O14" i="4"/>
  <c r="O27" i="4"/>
  <c r="O37" i="4" s="1"/>
  <c r="B15" i="11"/>
  <c r="K14" i="13" l="1"/>
  <c r="N14" i="13"/>
  <c r="N46" i="13"/>
  <c r="L46" i="13"/>
  <c r="J46" i="13"/>
  <c r="I14" i="13"/>
  <c r="E14" i="13"/>
  <c r="E5" i="11"/>
  <c r="E22" i="11" s="1"/>
  <c r="N41" i="13"/>
  <c r="N9" i="13"/>
  <c r="D46" i="13"/>
  <c r="D14" i="13"/>
  <c r="M11" i="9"/>
  <c r="E8" i="11"/>
  <c r="E7" i="11"/>
  <c r="E6" i="11"/>
  <c r="E9" i="11"/>
  <c r="E10" i="11"/>
  <c r="E11" i="11"/>
  <c r="E13" i="11"/>
  <c r="E12" i="11"/>
  <c r="D6" i="3"/>
  <c r="L6" i="3" s="1"/>
  <c r="Q6" i="3" l="1"/>
  <c r="P6" i="3"/>
  <c r="K8" i="9"/>
  <c r="K43" i="13" s="1"/>
  <c r="E29" i="11"/>
  <c r="J8" i="9"/>
  <c r="J43" i="13" s="1"/>
  <c r="E27" i="11"/>
  <c r="E8" i="9"/>
  <c r="E43" i="13" s="1"/>
  <c r="E23" i="11"/>
  <c r="I8" i="9"/>
  <c r="I43" i="13" s="1"/>
  <c r="E26" i="11"/>
  <c r="F8" i="9"/>
  <c r="F43" i="13" s="1"/>
  <c r="E24" i="11"/>
  <c r="L8" i="9"/>
  <c r="L43" i="13" s="1"/>
  <c r="E30" i="11"/>
  <c r="H8" i="9"/>
  <c r="H43" i="13" s="1"/>
  <c r="E28" i="11"/>
  <c r="G8" i="9"/>
  <c r="G43" i="13" s="1"/>
  <c r="E25" i="11"/>
  <c r="M46" i="13"/>
  <c r="R11" i="9"/>
  <c r="R46" i="13" s="1"/>
  <c r="E16" i="11"/>
  <c r="E33" i="11" s="1"/>
  <c r="D8" i="9"/>
  <c r="D43" i="13" s="1"/>
  <c r="E15" i="11"/>
  <c r="E32" i="11" s="1"/>
  <c r="L16" i="3"/>
  <c r="I11" i="13" l="1"/>
  <c r="J11" i="13"/>
  <c r="K11" i="13"/>
  <c r="F11" i="13"/>
  <c r="F7" i="9"/>
  <c r="K7" i="9"/>
  <c r="L11" i="13"/>
  <c r="L7" i="9"/>
  <c r="H7" i="9"/>
  <c r="E7" i="9"/>
  <c r="E11" i="13"/>
  <c r="J7" i="9"/>
  <c r="Q16" i="3"/>
  <c r="P16" i="3"/>
  <c r="G7" i="9"/>
  <c r="G11" i="13"/>
  <c r="I7" i="9"/>
  <c r="M8" i="9"/>
  <c r="D11" i="13"/>
  <c r="D7" i="9"/>
  <c r="G42" i="13" l="1"/>
  <c r="G10" i="9"/>
  <c r="F42" i="13"/>
  <c r="F10" i="9"/>
  <c r="F45" i="13" s="1"/>
  <c r="D42" i="13"/>
  <c r="D10" i="9"/>
  <c r="D45" i="13" s="1"/>
  <c r="J42" i="13"/>
  <c r="J10" i="9"/>
  <c r="J45" i="13" s="1"/>
  <c r="L42" i="13"/>
  <c r="L10" i="9"/>
  <c r="K42" i="13"/>
  <c r="K10" i="9"/>
  <c r="K45" i="13" s="1"/>
  <c r="E42" i="13"/>
  <c r="E10" i="9"/>
  <c r="E45" i="13" s="1"/>
  <c r="I42" i="13"/>
  <c r="I10" i="9"/>
  <c r="I45" i="13" s="1"/>
  <c r="H42" i="13"/>
  <c r="H10" i="9"/>
  <c r="J10" i="13"/>
  <c r="F10" i="13"/>
  <c r="L45" i="13"/>
  <c r="L10" i="13"/>
  <c r="K10" i="13"/>
  <c r="E10" i="13"/>
  <c r="G45" i="13"/>
  <c r="I10" i="13"/>
  <c r="G10" i="13"/>
  <c r="H45" i="13"/>
  <c r="R8" i="9"/>
  <c r="R43" i="13" s="1"/>
  <c r="M43" i="13"/>
  <c r="D10" i="13"/>
  <c r="M7" i="9"/>
  <c r="M82" i="13"/>
  <c r="F19" i="13"/>
  <c r="M81" i="13"/>
  <c r="R81" i="13" s="1"/>
  <c r="E19" i="13"/>
  <c r="E80" i="13"/>
  <c r="F80" i="13"/>
  <c r="F71" i="13" s="1"/>
  <c r="K6" i="9" l="1"/>
  <c r="K41" i="13" s="1"/>
  <c r="K13" i="13"/>
  <c r="M10" i="9"/>
  <c r="R10" i="9" s="1"/>
  <c r="L6" i="9"/>
  <c r="L41" i="13" s="1"/>
  <c r="F6" i="9"/>
  <c r="F41" i="13" s="1"/>
  <c r="F13" i="13"/>
  <c r="L13" i="13"/>
  <c r="E13" i="13"/>
  <c r="E6" i="9"/>
  <c r="E41" i="13" s="1"/>
  <c r="I6" i="9"/>
  <c r="I41" i="13" s="1"/>
  <c r="J13" i="13"/>
  <c r="G13" i="13"/>
  <c r="G6" i="9"/>
  <c r="G41" i="13" s="1"/>
  <c r="J6" i="9"/>
  <c r="J41" i="13" s="1"/>
  <c r="I13" i="13"/>
  <c r="H6" i="9"/>
  <c r="H41" i="13" s="1"/>
  <c r="H13" i="13"/>
  <c r="R7" i="9"/>
  <c r="R42" i="13" s="1"/>
  <c r="M42" i="13"/>
  <c r="K9" i="13"/>
  <c r="M45" i="13"/>
  <c r="D13" i="13"/>
  <c r="F9" i="13"/>
  <c r="D6" i="9"/>
  <c r="D41" i="13" s="1"/>
  <c r="M19" i="13"/>
  <c r="R82" i="13"/>
  <c r="R19" i="13" s="1"/>
  <c r="E71" i="13"/>
  <c r="M80" i="13"/>
  <c r="L9" i="13" l="1"/>
  <c r="E9" i="13"/>
  <c r="I9" i="13"/>
  <c r="J9" i="13"/>
  <c r="M6" i="9"/>
  <c r="D9" i="13"/>
  <c r="R45" i="13"/>
  <c r="R80" i="13"/>
  <c r="M41" i="13" l="1"/>
  <c r="R6" i="9"/>
  <c r="M77" i="13"/>
  <c r="R77" i="13" s="1"/>
  <c r="G71" i="13"/>
  <c r="G14" i="13"/>
  <c r="R41" i="13" l="1"/>
  <c r="R14" i="13"/>
  <c r="M14" i="13"/>
  <c r="G9" i="13"/>
  <c r="K22" i="1" l="1"/>
  <c r="K23" i="1"/>
  <c r="K24" i="1"/>
  <c r="K29" i="1" l="1"/>
  <c r="J10" i="8"/>
  <c r="I15" i="8"/>
  <c r="J15" i="8" l="1"/>
  <c r="L10" i="8"/>
  <c r="K15" i="8"/>
  <c r="L15" i="8" l="1"/>
  <c r="M10" i="8"/>
  <c r="N10" i="8" l="1"/>
  <c r="M15" i="8"/>
  <c r="N15" i="8" l="1"/>
  <c r="O10" i="8"/>
  <c r="AJ10" i="8" s="1"/>
  <c r="O15" i="8" l="1"/>
  <c r="O30" i="8"/>
  <c r="O35" i="8" s="1"/>
  <c r="AM10" i="8" l="1"/>
  <c r="AL10" i="8"/>
  <c r="J10" i="11" s="1"/>
  <c r="J27" i="11" s="1"/>
  <c r="AI10" i="8"/>
  <c r="AJ30" i="8"/>
  <c r="AJ35" i="8" s="1"/>
  <c r="AJ15" i="8"/>
  <c r="J33" i="11" l="1"/>
  <c r="J32" i="11"/>
  <c r="J16" i="11"/>
  <c r="AL30" i="8"/>
  <c r="AL35" i="8" s="1"/>
  <c r="AL15" i="8"/>
  <c r="AI15" i="8"/>
  <c r="AI30" i="8"/>
  <c r="AI35" i="8" s="1"/>
  <c r="AM15" i="8"/>
  <c r="AM30" i="8"/>
  <c r="AM35" i="8" s="1"/>
  <c r="M10" i="11" l="1"/>
  <c r="M27" i="11" s="1"/>
  <c r="M5" i="11"/>
  <c r="M22" i="11" s="1"/>
  <c r="M12" i="11"/>
  <c r="M29" i="11" s="1"/>
  <c r="M6" i="11"/>
  <c r="M23" i="11" s="1"/>
  <c r="M7" i="11"/>
  <c r="M24" i="11" s="1"/>
  <c r="M11" i="11"/>
  <c r="M28" i="11" s="1"/>
  <c r="M8" i="11"/>
  <c r="M25" i="11" s="1"/>
  <c r="M14" i="11"/>
  <c r="M31" i="11" s="1"/>
  <c r="M13" i="11"/>
  <c r="M30" i="11" s="1"/>
  <c r="M9" i="11"/>
  <c r="M26" i="11" s="1"/>
  <c r="J15" i="11"/>
  <c r="M16" i="11" l="1"/>
  <c r="M33" i="11" s="1"/>
  <c r="L15" i="9"/>
  <c r="L50" i="13" s="1"/>
  <c r="K15" i="9"/>
  <c r="K50" i="13" s="1"/>
  <c r="G15" i="9"/>
  <c r="G50" i="13" s="1"/>
  <c r="E15" i="9"/>
  <c r="E50" i="13" s="1"/>
  <c r="N15" i="9"/>
  <c r="N50" i="13" s="1"/>
  <c r="I15" i="9"/>
  <c r="I50" i="13" s="1"/>
  <c r="H15" i="9"/>
  <c r="H50" i="13" s="1"/>
  <c r="F15" i="9"/>
  <c r="F50" i="13" s="1"/>
  <c r="J15" i="9"/>
  <c r="J50" i="13" s="1"/>
  <c r="H18" i="13" l="1"/>
  <c r="H14" i="9"/>
  <c r="H49" i="13" s="1"/>
  <c r="E14" i="9"/>
  <c r="E49" i="13" s="1"/>
  <c r="E18" i="13"/>
  <c r="N14" i="9"/>
  <c r="N49" i="13" s="1"/>
  <c r="N18" i="13"/>
  <c r="M15" i="11"/>
  <c r="M32" i="11" s="1"/>
  <c r="D15" i="9"/>
  <c r="D50" i="13" s="1"/>
  <c r="I14" i="9"/>
  <c r="I49" i="13" s="1"/>
  <c r="I18" i="13"/>
  <c r="G14" i="9"/>
  <c r="G49" i="13" s="1"/>
  <c r="G18" i="13"/>
  <c r="J14" i="9"/>
  <c r="J49" i="13" s="1"/>
  <c r="J18" i="13"/>
  <c r="K18" i="13"/>
  <c r="K14" i="9"/>
  <c r="K49" i="13" s="1"/>
  <c r="F14" i="9"/>
  <c r="F49" i="13" s="1"/>
  <c r="F18" i="13"/>
  <c r="L14" i="9"/>
  <c r="L49" i="13" s="1"/>
  <c r="L18" i="13"/>
  <c r="J5" i="9" l="1"/>
  <c r="J39" i="13" s="1"/>
  <c r="J40" i="13" s="1"/>
  <c r="J17" i="13"/>
  <c r="J7" i="13" s="1"/>
  <c r="N5" i="9"/>
  <c r="N17" i="13"/>
  <c r="N7" i="13" s="1"/>
  <c r="E5" i="9"/>
  <c r="E39" i="13" s="1"/>
  <c r="E40" i="13" s="1"/>
  <c r="E17" i="13"/>
  <c r="E7" i="13" s="1"/>
  <c r="F17" i="13"/>
  <c r="F7" i="13" s="1"/>
  <c r="F5" i="9"/>
  <c r="F39" i="13" s="1"/>
  <c r="F40" i="13" s="1"/>
  <c r="I17" i="13"/>
  <c r="I7" i="13" s="1"/>
  <c r="I5" i="9"/>
  <c r="I39" i="13" s="1"/>
  <c r="I40" i="13" s="1"/>
  <c r="H5" i="9"/>
  <c r="H39" i="13" s="1"/>
  <c r="H40" i="13" s="1"/>
  <c r="H17" i="13"/>
  <c r="L5" i="9"/>
  <c r="L39" i="13" s="1"/>
  <c r="L40" i="13" s="1"/>
  <c r="L17" i="13"/>
  <c r="L7" i="13" s="1"/>
  <c r="G17" i="13"/>
  <c r="G7" i="13" s="1"/>
  <c r="G5" i="9"/>
  <c r="G39" i="13" s="1"/>
  <c r="G40" i="13" s="1"/>
  <c r="K5" i="9"/>
  <c r="K39" i="13" s="1"/>
  <c r="K40" i="13" s="1"/>
  <c r="K17" i="13"/>
  <c r="K7" i="13" s="1"/>
  <c r="D18" i="13"/>
  <c r="D14" i="9"/>
  <c r="D49" i="13" s="1"/>
  <c r="M15" i="9"/>
  <c r="M50" i="13" s="1"/>
  <c r="N39" i="13" l="1"/>
  <c r="N40" i="13" s="1"/>
  <c r="C35" i="10"/>
  <c r="R15" i="9"/>
  <c r="R50" i="13" s="1"/>
  <c r="L5" i="13"/>
  <c r="L6" i="13" s="1"/>
  <c r="L8" i="13" s="1"/>
  <c r="F5" i="13"/>
  <c r="F6" i="13" s="1"/>
  <c r="F8" i="13" s="1"/>
  <c r="G5" i="13"/>
  <c r="G6" i="13" s="1"/>
  <c r="G8" i="13" s="1"/>
  <c r="E5" i="13"/>
  <c r="E6" i="13" s="1"/>
  <c r="E8" i="13" s="1"/>
  <c r="D17" i="13"/>
  <c r="D7" i="13" s="1"/>
  <c r="N5" i="13"/>
  <c r="N6" i="13" s="1"/>
  <c r="M18" i="13"/>
  <c r="M14" i="9"/>
  <c r="I5" i="13"/>
  <c r="I6" i="13" s="1"/>
  <c r="I8" i="13" s="1"/>
  <c r="K5" i="13"/>
  <c r="K6" i="13" s="1"/>
  <c r="K8" i="13" s="1"/>
  <c r="J5" i="13"/>
  <c r="J6" i="13" s="1"/>
  <c r="J8" i="13" s="1"/>
  <c r="M49" i="13" l="1"/>
  <c r="C37" i="10"/>
  <c r="C34" i="10"/>
  <c r="E34" i="10" s="1"/>
  <c r="E35" i="10"/>
  <c r="R14" i="9"/>
  <c r="R18" i="13"/>
  <c r="M17" i="13"/>
  <c r="R49" i="13" l="1"/>
  <c r="D37" i="10"/>
  <c r="E37" i="10" s="1"/>
  <c r="R17" i="13"/>
  <c r="N24" i="5"/>
  <c r="N34" i="5" s="1"/>
  <c r="N16" i="5"/>
  <c r="M73" i="13" l="1"/>
  <c r="R73" i="13" s="1"/>
  <c r="H10" i="13"/>
  <c r="H11" i="13"/>
  <c r="R10" i="13" l="1"/>
  <c r="H9" i="13"/>
  <c r="H7" i="13" s="1"/>
  <c r="H71" i="13"/>
  <c r="M76" i="13"/>
  <c r="M74" i="13"/>
  <c r="M10" i="13"/>
  <c r="M72" i="13" l="1"/>
  <c r="M13" i="13"/>
  <c r="R76" i="13"/>
  <c r="M11" i="13"/>
  <c r="R74" i="13"/>
  <c r="H5" i="13"/>
  <c r="H6" i="13" s="1"/>
  <c r="H8" i="13" s="1"/>
  <c r="M71" i="13" l="1"/>
  <c r="C38" i="10" s="1"/>
  <c r="E38" i="10" s="1"/>
  <c r="M9" i="13"/>
  <c r="M7" i="13" s="1"/>
  <c r="R13" i="13"/>
  <c r="R72" i="13"/>
  <c r="R11" i="13"/>
  <c r="R9" i="13" l="1"/>
  <c r="R7" i="13" s="1"/>
  <c r="R71" i="13"/>
  <c r="D22" i="9" l="1"/>
  <c r="D57" i="13" s="1"/>
  <c r="C14" i="12"/>
  <c r="C22" i="12"/>
  <c r="C32" i="12" s="1"/>
  <c r="D19" i="9" l="1"/>
  <c r="D54" i="13" s="1"/>
  <c r="M22" i="9"/>
  <c r="D25" i="13"/>
  <c r="D22" i="13" l="1"/>
  <c r="D5" i="9"/>
  <c r="D39" i="13" s="1"/>
  <c r="D40" i="13" s="1"/>
  <c r="R22" i="9"/>
  <c r="R57" i="13" s="1"/>
  <c r="M57" i="13"/>
  <c r="M19" i="9"/>
  <c r="M54" i="13" s="1"/>
  <c r="M25" i="13"/>
  <c r="R25" i="13"/>
  <c r="D5" i="13" l="1"/>
  <c r="D6" i="13" s="1"/>
  <c r="D8" i="13" s="1"/>
  <c r="M8" i="13" s="1"/>
  <c r="M5" i="9"/>
  <c r="M22" i="13"/>
  <c r="R19" i="9"/>
  <c r="R54" i="13" s="1"/>
  <c r="M39" i="13" l="1"/>
  <c r="M40" i="13" s="1"/>
  <c r="C36" i="10"/>
  <c r="E36" i="10" s="1"/>
  <c r="M5" i="13"/>
  <c r="M6" i="13" s="1"/>
  <c r="R22" i="13"/>
  <c r="R5" i="9"/>
  <c r="R39" i="13" s="1"/>
  <c r="R40" i="13" s="1"/>
  <c r="R5" i="13" l="1"/>
  <c r="R6" i="13" s="1"/>
</calcChain>
</file>

<file path=xl/comments1.xml><?xml version="1.0" encoding="utf-8"?>
<comments xmlns="http://schemas.openxmlformats.org/spreadsheetml/2006/main">
  <authors>
    <author>tc={092E89CC-4E85-4707-9025-D7468C26452A}</author>
  </authors>
  <commentList>
    <comment ref="B74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Aj s valorizáciou</t>
        </r>
      </text>
    </comment>
  </commentList>
</comments>
</file>

<file path=xl/comments2.xml><?xml version="1.0" encoding="utf-8"?>
<comments xmlns="http://schemas.openxmlformats.org/spreadsheetml/2006/main">
  <authors>
    <author>tc={1C51FB37-4E15-4F87-9E88-DF644CC0F23F}</author>
    <author>tc={D1A7577B-FCBD-4D09-9460-71358FFF35D4}</author>
    <author>tc={05A48440-F436-4BC7-BE04-65B93C5A6930}</author>
    <author>tc={FD0C6DA7-D9E0-4875-AAEE-BF86C795318A}</author>
    <author>tc={448FA67C-50DA-40E6-A893-AB935C215EC8}</author>
    <author>tc={A932612E-405C-461A-8607-0C7AC9F71681}</author>
  </authors>
  <commentList>
    <comment ref="C3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"Vyk. dot 2020" v zosite "Mzdy_2020_50,30,20" subor "Priloha_1_RD_2020_V6 (AS) - je to bez odvodov</t>
        </r>
      </text>
    </comment>
    <comment ref="D3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"Dot 2019bez ucel" v zosite "Mzdy_2019_50,30,20" subor "Priloha_1_RD_2019_V4 (AS) - je to bez odvodov</t>
        </r>
      </text>
    </comment>
    <comment ref="G3" authorId="2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"Vysled.SD20" v zosite "TaS_2020_50,30,20" subor "Priloha_1_RD_2020_V6 (AS)</t>
        </r>
      </text>
    </comment>
    <comment ref="H3" authorId="3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"Vysled.SD19" v zosite "TaS_2019_50,30,20" subor "Priloha_1_RD_2019_V4 (AS)</t>
        </r>
      </text>
    </comment>
    <comment ref="K3" authorId="4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 dla" v zosite "077 12 rozpis" subor "Priloha_1_RD_2020_V6 (AS)</t>
        </r>
      </text>
    </comment>
    <comment ref="L3" authorId="5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2019" v zosite "077 12 rozpis" subor "Priloha_1_RD_2019_V4 (AS)</t>
        </r>
      </text>
    </comment>
  </commentList>
</comments>
</file>

<file path=xl/comments3.xml><?xml version="1.0" encoding="utf-8"?>
<comments xmlns="http://schemas.openxmlformats.org/spreadsheetml/2006/main">
  <authors>
    <author>Jana Matejová</author>
  </authors>
  <commentList>
    <comment ref="AI2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4.xml><?xml version="1.0" encoding="utf-8"?>
<comments xmlns="http://schemas.openxmlformats.org/spreadsheetml/2006/main">
  <authors>
    <author>tc={D3C8557A-3356-4D2A-AB22-11A21FB93295}</author>
    <author>tc={DF35DEB7-6526-4E0A-AE10-013848B18932}</author>
  </authors>
  <commentList>
    <comment ref="J27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Zatial nevieme, ale da sa kedykolvek dosadit</t>
        </r>
      </text>
    </comment>
    <comment ref="H28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  </r>
      </text>
    </comment>
  </commentList>
</comments>
</file>

<file path=xl/comments5.xml><?xml version="1.0" encoding="utf-8"?>
<comments xmlns="http://schemas.openxmlformats.org/spreadsheetml/2006/main">
  <authors>
    <author>tc={5575919A-E0FB-4918-A258-F39E13002D10}</author>
    <author>tc={9CB3AF9A-B59A-45B2-91A7-2A1867BB8713}</author>
  </authors>
  <commentList>
    <comment ref="AB3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Podla realnych podielov</t>
        </r>
      </text>
    </comment>
    <comment ref="AL40" authorId="1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+ Valorizacia 1,797,568,-</t>
        </r>
      </text>
    </comment>
  </commentList>
</comments>
</file>

<file path=xl/comments6.xml><?xml version="1.0" encoding="utf-8"?>
<comments xmlns="http://schemas.openxmlformats.org/spreadsheetml/2006/main">
  <authors>
    <author>tc={1F705885-83D1-4BA2-80BC-89F39EFA044A}</author>
  </authors>
  <commentList>
    <comment ref="A49" author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 2017 este nebolo oddelene UVP a UM</t>
        </r>
      </text>
    </comment>
  </commentList>
</comments>
</file>

<file path=xl/sharedStrings.xml><?xml version="1.0" encoding="utf-8"?>
<sst xmlns="http://schemas.openxmlformats.org/spreadsheetml/2006/main" count="1347" uniqueCount="502">
  <si>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</si>
  <si>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</si>
  <si>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</si>
  <si>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</si>
  <si>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</si>
  <si>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</si>
  <si>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</si>
  <si>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</si>
  <si>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</si>
  <si>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</si>
  <si>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</si>
  <si>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</si>
  <si>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</si>
  <si>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</si>
  <si>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</si>
  <si>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</si>
  <si>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</si>
  <si>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</si>
  <si>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</si>
  <si>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</si>
  <si>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</si>
  <si>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</si>
  <si>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</si>
  <si>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</si>
  <si>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</si>
  <si>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</si>
  <si>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</si>
  <si>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</si>
  <si>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</si>
  <si>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</si>
  <si>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</si>
  <si>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</si>
  <si>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</si>
  <si>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</si>
  <si>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</si>
  <si>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</si>
  <si>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</si>
  <si>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</si>
  <si>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</si>
  <si>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</si>
  <si>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</si>
  <si>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</si>
  <si>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</si>
  <si>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</si>
  <si>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</si>
  <si>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</si>
  <si>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</si>
  <si>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</si>
  <si>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</si>
  <si>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</si>
  <si>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</si>
  <si>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</si>
  <si>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</si>
  <si>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</si>
  <si>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</si>
  <si>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</si>
  <si>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</si>
  <si>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</si>
  <si>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</si>
  <si>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</si>
  <si>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</si>
  <si>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</si>
  <si>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</si>
  <si>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</si>
  <si>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</si>
  <si>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</si>
  <si>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</si>
  <si>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</si>
  <si>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</si>
  <si>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</si>
  <si>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</si>
  <si>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rozpis 2019,2018,2017 + výročná správa o stave vš (počet zamestnancov)</t>
  </si>
  <si>
    <t>do rozpisu 2021</t>
  </si>
  <si>
    <t>vaha</t>
  </si>
  <si>
    <t>RD_2019</t>
  </si>
  <si>
    <t>MEDIAN 2017-2019</t>
  </si>
  <si>
    <t>podiel na vede</t>
  </si>
  <si>
    <t>počet akademických zamestnancov</t>
  </si>
  <si>
    <t>podiel</t>
  </si>
  <si>
    <t>KITC (2)</t>
  </si>
  <si>
    <t>KITC (3)</t>
  </si>
  <si>
    <t xml:space="preserve">Akademickí zamestnaneci - (vysokoškolskí učitelia, výskumní a umeleckí pracovníci) za roky 2017 až 2019 </t>
  </si>
  <si>
    <t>Počet zamestnancov vychádza z prepočítaného evidenčného počtu zamestnancov vysokých škôl za daný rok.</t>
  </si>
  <si>
    <t>Celkový súčet SK    oktober 2019</t>
  </si>
  <si>
    <t xml:space="preserve">Akceptované požiadavky na  špecifiká
</t>
  </si>
  <si>
    <t>Objem  odvodený od výkonu podľa  publik. činnosti</t>
  </si>
  <si>
    <t>GmP</t>
  </si>
  <si>
    <t>POD GM</t>
  </si>
  <si>
    <t>KLADNY VPLYV</t>
  </si>
  <si>
    <t>dofinancovanie GM</t>
  </si>
  <si>
    <t>Spolu</t>
  </si>
  <si>
    <t>Pp 077  11:</t>
  </si>
  <si>
    <t>koef_PV</t>
  </si>
  <si>
    <t>koef_VV</t>
  </si>
  <si>
    <t>RD_2020</t>
  </si>
  <si>
    <t>Objem na rozdelenie:</t>
  </si>
  <si>
    <t>podľa výkonu</t>
  </si>
  <si>
    <t>Pedag-  %</t>
  </si>
  <si>
    <t>VÝSKUM  %</t>
  </si>
  <si>
    <t>zníženie</t>
  </si>
  <si>
    <t>špecifiká - rozpísané</t>
  </si>
  <si>
    <t xml:space="preserve">Podiel VŠ na výkone podľa počtu študentov na pedagogickom výkone  (PV) pre výpočet mzdových prostriedkov na Pp 07711
</t>
  </si>
  <si>
    <t>Objem  odvodený od výkonu podľa počtu študentov (PV) pre výpočet mzdových prostriedkov na Pp 07711
pred GM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</si>
  <si>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</si>
  <si>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</si>
  <si>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</si>
  <si>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Rozpis dotácie na mzdy v 07711 na rok 2021 %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</si>
  <si>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</si>
  <si>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</si>
  <si>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</si>
  <si>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</si>
  <si>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</si>
  <si>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</si>
  <si>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</si>
  <si>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</si>
  <si>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</si>
  <si>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</si>
  <si>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Objem ZG ostatné za roky 2018 a 2019 spolu </t>
  </si>
  <si>
    <t xml:space="preserve">Rozpis dotácie na rok 2021 podľa zahraničných grantov
</t>
  </si>
  <si>
    <t>Rozpis dotácie na rok 2021 podľa osobitných kritérií  na mobility</t>
  </si>
  <si>
    <t>Rozpis dotácie na rok 2020 podľa osobitných kritérií  pre VŠO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</si>
  <si>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</si>
  <si>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</si>
  <si>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</si>
  <si>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</si>
  <si>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TaS úmerne </t>
    </r>
    <r>
      <rPr>
        <sz val="11"/>
        <color indexed="10"/>
        <rFont val="Calibri"/>
        <family val="2"/>
        <charset val="238"/>
        <scheme val="minor"/>
      </rPr>
      <t>výkonu vo vzdelávaní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</si>
  <si>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</si>
  <si>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</si>
  <si>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</si>
  <si>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</si>
  <si>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</si>
  <si>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</si>
  <si>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</si>
  <si>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 xml:space="preserve">   </t>
  </si>
  <si>
    <t>k 31.10.2019</t>
  </si>
  <si>
    <t>ak.rok 2018/2019</t>
  </si>
  <si>
    <t>Dotácia na tovary a služby za akademické mobility podľa osobitných kritérií na rok 2021</t>
  </si>
  <si>
    <t>cudzinci</t>
  </si>
  <si>
    <t>vyslaní</t>
  </si>
  <si>
    <t xml:space="preserve">prijatí </t>
  </si>
  <si>
    <t>Objem na rok 2021</t>
  </si>
  <si>
    <t>Rozpísaný objem:</t>
  </si>
  <si>
    <t>Nerozpísaný objem:</t>
  </si>
  <si>
    <t>Rozpis dotácie na TaS na rok 2021 %</t>
  </si>
  <si>
    <t>Dlhé obdobie</t>
  </si>
  <si>
    <t>Krátke obdobie</t>
  </si>
  <si>
    <t>Korekcia na garantované minimum 90%</t>
  </si>
  <si>
    <t>Podiel pre rozpis podľa publikačnej  činnosti a umeleckej tvorbe</t>
  </si>
  <si>
    <t>Podiel pre rozpis na počte patentových prihlášok, prihlášok úžitkových vzorov, prihlášok dizajnov</t>
  </si>
  <si>
    <t xml:space="preserve">Rozpis dotácie na 077 12 01 spolu 
</t>
  </si>
  <si>
    <t>Podiely pre výpočet miezd na Pp 07711 podľa scholarshipu (15%)</t>
  </si>
  <si>
    <t>Kvalita výskumnej činnosti podľa KA</t>
  </si>
  <si>
    <t>Podiel vysokej školy na výkone podľa KA</t>
  </si>
  <si>
    <t>Objem podľa KA</t>
  </si>
  <si>
    <t>Priemerný výkon za 6 rokov</t>
  </si>
  <si>
    <t>objem podľa priemerného výkonu bez GM</t>
  </si>
  <si>
    <t>Garantované minumum - GmV</t>
  </si>
  <si>
    <t>Dotácia bez zmeny metodiky (KA podľa pôvodnej váhy)</t>
  </si>
  <si>
    <t>suma pod GM</t>
  </si>
  <si>
    <t>nad KA pri pôvodnej váhe</t>
  </si>
  <si>
    <t>upravene GM</t>
  </si>
  <si>
    <t>kladná suma nad pôvodnú KA</t>
  </si>
  <si>
    <t>podiel na dofinancovani GM</t>
  </si>
  <si>
    <t>podiel na dofinancovanie GM</t>
  </si>
  <si>
    <t>Do rozpisu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</si>
  <si>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</si>
  <si>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</si>
  <si>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</si>
  <si>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</si>
  <si>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</si>
  <si>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</si>
  <si>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</si>
  <si>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</si>
  <si>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</si>
  <si>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oprava podľa CREUC (25 % z 2019 a 2020)</t>
  </si>
  <si>
    <t xml:space="preserve">Objem podľa patentovej  činnosti </t>
  </si>
  <si>
    <t>Rozpis pre špičkové tímy</t>
  </si>
  <si>
    <t xml:space="preserve">Podiel na publikačnej činnosti
</t>
  </si>
  <si>
    <t xml:space="preserve">Podiel na umeleckej tvorbe
</t>
  </si>
  <si>
    <t xml:space="preserve">Podiel na publikačnej činnosti * váha_pub
</t>
  </si>
  <si>
    <t xml:space="preserve">Podiel na umeleckej tvorbe * váha_um
</t>
  </si>
  <si>
    <t>výk_KA</t>
  </si>
  <si>
    <t>suma: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</si>
  <si>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</si>
  <si>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</si>
  <si>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</si>
  <si>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</si>
  <si>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</si>
  <si>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</si>
  <si>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</si>
  <si>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</si>
  <si>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>Pp_VaV_VVŠ</t>
  </si>
  <si>
    <t>Pp_VaV_rozp</t>
  </si>
  <si>
    <t>VaV_dval</t>
  </si>
  <si>
    <t>Pp_VaV_špič_úč</t>
  </si>
  <si>
    <t>rozdiel 2021-20</t>
  </si>
  <si>
    <t>Priemerný počet doktorandov po dizertačnej skúške  1/2018-12/2018</t>
  </si>
  <si>
    <t xml:space="preserve">Rozpis dotácie podľa výkonu 
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</si>
  <si>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</si>
  <si>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</si>
  <si>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</si>
  <si>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2021 %</t>
    </r>
    <r>
      <rPr>
        <sz val="11"/>
        <rFont val="Calibri"/>
        <family val="2"/>
        <charset val="238"/>
        <scheme val="minor"/>
      </rPr>
      <t xml:space="preserve">
</t>
    </r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</si>
  <si>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</si>
  <si>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</si>
  <si>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</si>
  <si>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</si>
  <si>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</si>
  <si>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</si>
  <si>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</si>
  <si>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</si>
  <si>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>Účel STU</t>
  </si>
  <si>
    <t>zostatok účelovej dotácie 2019</t>
  </si>
  <si>
    <t>odsúhlasená požiadavka útvaru</t>
  </si>
  <si>
    <t>pridelené pôvodne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</si>
  <si>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</si>
  <si>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</si>
  <si>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</si>
  <si>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</si>
  <si>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</si>
  <si>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</si>
  <si>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</si>
  <si>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</si>
  <si>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</si>
  <si>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</si>
  <si>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</si>
  <si>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</si>
  <si>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</si>
  <si>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</si>
  <si>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</si>
  <si>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>rok 2020</t>
  </si>
  <si>
    <t xml:space="preserve">Účel MŠ </t>
  </si>
  <si>
    <t>077 11 -TaS</t>
  </si>
  <si>
    <t>077 11 - odvody z miezd</t>
  </si>
  <si>
    <t>0771201 VaT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</si>
  <si>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</si>
  <si>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</si>
  <si>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</si>
  <si>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</si>
  <si>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</si>
  <si>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</si>
  <si>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</si>
  <si>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</si>
  <si>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</si>
  <si>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</si>
  <si>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</si>
  <si>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</si>
  <si>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</si>
  <si>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</si>
  <si>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</si>
  <si>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</si>
  <si>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</si>
  <si>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</si>
  <si>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</si>
  <si>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</si>
  <si>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um</t>
  </si>
  <si>
    <t>nc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</si>
  <si>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</si>
  <si>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</si>
  <si>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</si>
  <si>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</si>
  <si>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</si>
  <si>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</si>
  <si>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</si>
  <si>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</si>
  <si>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Suma na motivačné štipendiá_základné pre r. 2021</t>
  </si>
  <si>
    <t>Počet študentov pre motivačné štip_odborové</t>
  </si>
  <si>
    <t>Suma na motivačné štipendiá_odborové pre r. 2021</t>
  </si>
  <si>
    <t>Celkom na motivačné štipendiá pre VVŠ</t>
  </si>
  <si>
    <t>077 1503- ŠD - TaS</t>
  </si>
  <si>
    <t>Návrh rozpisu dotácie dotácie STU na rok 2021 - Rozdiel oproti roku 2020</t>
  </si>
  <si>
    <t>rozdiel 2021-2020</t>
  </si>
  <si>
    <t>KKS</t>
  </si>
  <si>
    <t>vykon VS</t>
  </si>
  <si>
    <t>Suma 2020</t>
  </si>
  <si>
    <t>Typ</t>
  </si>
  <si>
    <t>X</t>
  </si>
  <si>
    <t>KA</t>
  </si>
  <si>
    <t>Podiel na publikačnej činnosti VVŠ</t>
  </si>
  <si>
    <t xml:space="preserve"> Podiel na umeleckej tvorbe</t>
  </si>
  <si>
    <t xml:space="preserve">VVŠ </t>
  </si>
  <si>
    <t>Podiel na umeleckej tvorbe pre RD_2021</t>
  </si>
  <si>
    <t>REK</t>
  </si>
  <si>
    <t>077 11</t>
  </si>
  <si>
    <t>077 12</t>
  </si>
  <si>
    <t>077 12 patenty</t>
  </si>
  <si>
    <t>077 12 s patentmi</t>
  </si>
  <si>
    <t>delenie podľa podielov (mb)</t>
  </si>
  <si>
    <t>ministerská metodika (50%/50%)</t>
  </si>
  <si>
    <t>Podiel na dotácií na prevádzku a rozvoj infraštruktúry, výkonová, okrem KA</t>
  </si>
  <si>
    <t>DG</t>
  </si>
  <si>
    <t>Včiš</t>
  </si>
  <si>
    <t>ZG</t>
  </si>
  <si>
    <t>DršPo</t>
  </si>
  <si>
    <t>CREPČ</t>
  </si>
  <si>
    <t>CREUČ</t>
  </si>
  <si>
    <t>priemer</t>
  </si>
  <si>
    <t>Priemer za 
6 rokov</t>
  </si>
  <si>
    <t xml:space="preserve"> Podiel pre rozpis podľa úspešnosti v domácich grantoch  9%</t>
  </si>
  <si>
    <t xml:space="preserve"> Podiel pre rozpis podľa úspešnosti výsk. projektov  v rámci VČiS  3%</t>
  </si>
  <si>
    <t xml:space="preserve"> Podiel pre rozpis podľa úspešnosti výsk.projektov od iných subjektov  3%</t>
  </si>
  <si>
    <t>Súčet DG za roky  2018 a 2019</t>
  </si>
  <si>
    <t>Súčet VČiS  za roky     2018 a 2019</t>
  </si>
  <si>
    <t>Súčet ZG za roky   2018 a 2019</t>
  </si>
  <si>
    <t>DG za rok  2019</t>
  </si>
  <si>
    <t>Súčet DG za roky     2018 a 2019</t>
  </si>
  <si>
    <t>VČiS  za rok  2019</t>
  </si>
  <si>
    <t>ZG za rok  2019</t>
  </si>
  <si>
    <t>Súčet ZG za roky     2018 a 2019</t>
  </si>
  <si>
    <t>ZG ostatné za rok  2019</t>
  </si>
  <si>
    <t>Podiel pre rozpis podľa počtu doktorandov po dizertačnej skúške  10%</t>
  </si>
  <si>
    <t>Podiel pre rozpis podľa úspešnosti v zahraničných grantoch - ostatných 1.2mil. Eur</t>
  </si>
  <si>
    <t>ZG ostatné za rok  2018</t>
  </si>
  <si>
    <t>DG za rok  2018</t>
  </si>
  <si>
    <t>VČiS  za rok  2018</t>
  </si>
  <si>
    <t>ZG za rok  2018</t>
  </si>
  <si>
    <t xml:space="preserve"> Podiel na patentoch  0%</t>
  </si>
  <si>
    <t xml:space="preserve"> Podiel na publikačnej činnosti  22.5%</t>
  </si>
  <si>
    <t xml:space="preserve"> Podiel pre rozpis podľa 6 ročného intervalu  25.8%</t>
  </si>
  <si>
    <t xml:space="preserve"> Podiel na umeleckej tvorbe 2.5%</t>
  </si>
  <si>
    <t>Rozpis na mzdy podľa výkonu na rok 2021</t>
  </si>
  <si>
    <t>Rozpis dotácie na mzdy v 07711 na rok 2021 celkom</t>
  </si>
  <si>
    <t>Rozpis dotácie na TaS na rok 2021</t>
  </si>
  <si>
    <t xml:space="preserve"> Podiel pre rozpis podľa akreditácie  17.2%</t>
  </si>
  <si>
    <t>Podiel pre rozpis podľa úspešnosti v zahraničných grantoch  10%</t>
  </si>
  <si>
    <t>Podiel pre rozpis podľa úspešnosti v zahraničných grantoch - výskumných  10%</t>
  </si>
  <si>
    <t xml:space="preserve">Mzdy prvku 0771503 - časť študentské domovy </t>
  </si>
  <si>
    <t xml:space="preserve">Rozpis dotácie 
z roku 2020 pre ŠD
</t>
  </si>
  <si>
    <t xml:space="preserve"> 50% ročného objemu miezd pre ŠD
</t>
  </si>
  <si>
    <t>Celkový počet ubytovaných v ŠD k 31.10.2019</t>
  </si>
  <si>
    <t xml:space="preserve"> 50% na základe ubytovaných študentov
</t>
  </si>
  <si>
    <t>97*</t>
  </si>
  <si>
    <t>06*MTF</t>
  </si>
  <si>
    <t>Tovary a služby prvku 0771503 - časť študentské domovy</t>
  </si>
  <si>
    <t>TaS prvku 0771503 - časť
 príspevok na stravu študentov</t>
  </si>
  <si>
    <t>Celkový počet študentov ubytovaných v ŠD
k 31.10.2019</t>
  </si>
  <si>
    <t>Celkový počet študentov ubytovaných v zmluvných zariadeniach 
k 31.10.2019</t>
  </si>
  <si>
    <t>Príspevok na ubytovaných študentov</t>
  </si>
  <si>
    <t>Príspevok na prevádzku študentských domovov</t>
  </si>
  <si>
    <t xml:space="preserve"> Predpoklad počtu vydaných jedál pre rok 2021
podľa revízie k 31.10.2019</t>
  </si>
  <si>
    <t>Zostatok z roku 2020</t>
  </si>
  <si>
    <t>Predpoklad na rok 2021 (na základe počtu vydaných jedál v r.2019 a zostatku)</t>
  </si>
  <si>
    <t>Záloha na rok 2021 (na základe počtu vydaných jedál v r.2019 a zostatku)</t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</si>
  <si>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2021 pre ŠD podľa výkonu
</t>
    </r>
  </si>
  <si>
    <r>
      <t xml:space="preserve">Predpoklad na rok 2021 (na základe počtu vydaných jedál v r.2019) </t>
    </r>
    <r>
      <rPr>
        <sz val="11"/>
        <color rgb="FF0000FF"/>
        <rFont val="Calibri"/>
        <family val="2"/>
        <charset val="238"/>
        <scheme val="minor"/>
      </rPr>
      <t>príspevok 1,40 €</t>
    </r>
  </si>
  <si>
    <t>koeficient</t>
  </si>
  <si>
    <t>Vypočítaná 
dotácia 2021</t>
  </si>
  <si>
    <t xml:space="preserve"> Celková ubytovacia kapacita  ŠD</t>
  </si>
  <si>
    <t xml:space="preserve"> Počet študentov SR ubytovaných  k 31.10.2018</t>
  </si>
  <si>
    <t>Súčet z denní 
I. a II. stupeň 
vš vzdelávania</t>
  </si>
  <si>
    <t>Súčet z denní 
III.      stupeň 
vš vzdelávania DrŠ</t>
  </si>
  <si>
    <t>Súčet z iní</t>
  </si>
  <si>
    <t xml:space="preserve"> Celkový počet študentov  ubytovaných v študentskom domove k 31.10.2019</t>
  </si>
  <si>
    <t xml:space="preserve"> Príspevok na prevádzku odvodený od počtu ubytovaných študentov pre rok 2021</t>
  </si>
  <si>
    <t xml:space="preserve"> Celkový počet študentov  ubytovaných v ŠD k 31.10.2019 DrŠ na 12 mes.</t>
  </si>
  <si>
    <t>077 11-Mzdy výkonové</t>
  </si>
  <si>
    <t>---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</si>
  <si>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</si>
  <si>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</si>
  <si>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</si>
  <si>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</si>
  <si>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</si>
  <si>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vratky 2*</t>
  </si>
  <si>
    <t>Dotácia 2020</t>
  </si>
  <si>
    <t>Zostatok 131</t>
  </si>
  <si>
    <t>Zostatok dotácie k 31.12.2020 = PS roku 2021</t>
  </si>
  <si>
    <t>Zostatok 
dotácie k 31.12.2019 = PS roku 2020</t>
  </si>
  <si>
    <t>Čerpanie 
zdroj 131</t>
  </si>
  <si>
    <t>Čerpanie 
zdroj 111</t>
  </si>
  <si>
    <t>Čerpanie 
spolu</t>
  </si>
  <si>
    <t>Korigovaná 
dotácia 2021</t>
  </si>
  <si>
    <t>Suma bez R-STU</t>
  </si>
  <si>
    <t>MEDIAN pre STU 2018</t>
  </si>
  <si>
    <t>TaS R STU</t>
  </si>
  <si>
    <t>CUVTIS</t>
  </si>
  <si>
    <t>CVT - upgrade hardvéru</t>
  </si>
  <si>
    <t>SIVVPP  energie</t>
  </si>
  <si>
    <t>VO Softvér (e-Biz) ročný poplatok za licenciu</t>
  </si>
  <si>
    <t>Sciendo (de Gruyter) - elektronické publikovanie článkov</t>
  </si>
  <si>
    <t>Fond rektora</t>
  </si>
  <si>
    <t>Stuba Green Team</t>
  </si>
  <si>
    <t>UZ Technik</t>
  </si>
  <si>
    <t>Centrum akademického športu</t>
  </si>
  <si>
    <t>InQb</t>
  </si>
  <si>
    <t>Projektové stredisko</t>
  </si>
  <si>
    <t>%</t>
  </si>
  <si>
    <t>Rezerva COVID</t>
  </si>
  <si>
    <t>ANSYS, MATLAB, ARL, LabView, e-Porady</t>
  </si>
  <si>
    <t>Študentské aktivity</t>
  </si>
  <si>
    <t>FCHPT</t>
  </si>
  <si>
    <t>Suma 2021</t>
  </si>
  <si>
    <t>Rozdiel 2021-2020</t>
  </si>
  <si>
    <t>Požiadavka 2021</t>
  </si>
  <si>
    <t>Spolu mzdy+odvody R- STU</t>
  </si>
  <si>
    <t>1. Základné služby STU</t>
  </si>
  <si>
    <t>2. Databázy, IT a služby</t>
  </si>
  <si>
    <t>5.  Rôzne</t>
  </si>
  <si>
    <t>Vedenie STU - rektorát</t>
  </si>
  <si>
    <t>Fond obnovy</t>
  </si>
  <si>
    <t>Odborné databázy (EIZ) s celouniverzitným zameraním</t>
  </si>
  <si>
    <t xml:space="preserve">Pozn. </t>
  </si>
  <si>
    <t>zaplatené</t>
  </si>
  <si>
    <t>časť na fakulty, časť na R STU</t>
  </si>
  <si>
    <t>Športové kluby</t>
  </si>
  <si>
    <t>Rozpis dotácie na rok 2021 pre ŠD</t>
  </si>
  <si>
    <t>Rozpis dotácie v roku 2020 na prvku 0771503 pre ŠD</t>
  </si>
  <si>
    <t>Súdne spory a poplatky</t>
  </si>
  <si>
    <t>Integrátori AIS</t>
  </si>
  <si>
    <t>Personálne zabezpečenie SIVVP</t>
  </si>
  <si>
    <t>ACCORD 5% spolufinancovanie</t>
  </si>
  <si>
    <t>Podpora tímov H2020</t>
  </si>
  <si>
    <t>Odmenenie excelentných výstupov tvorivej činnosti</t>
  </si>
  <si>
    <t>Excelentné tvorivé tímy</t>
  </si>
  <si>
    <t>Postdoktorandský program</t>
  </si>
  <si>
    <t>Vedec roka STU</t>
  </si>
  <si>
    <t>stu</t>
  </si>
  <si>
    <t>STU aktivity</t>
  </si>
  <si>
    <t>Spoločné pre R-STU a STU aktivity (ďalší zošit)</t>
  </si>
  <si>
    <t>Materiálnotechnické a organizačné zabezpečenie vzdelávacích činností pre STU</t>
  </si>
  <si>
    <t>Vedecká rada</t>
  </si>
  <si>
    <t>Podpora medzinárodnej VT spolupráce</t>
  </si>
  <si>
    <t>Zabezpečenie vzdelávania doktorandov</t>
  </si>
  <si>
    <t>Medzinárodné vzťahy</t>
  </si>
  <si>
    <t>Externá a interná komunikácia</t>
  </si>
  <si>
    <t>Akademický senát</t>
  </si>
  <si>
    <t xml:space="preserve">Členstvo v KIC EIT </t>
  </si>
  <si>
    <t>Mladí výskumník a excelentné tímy</t>
  </si>
  <si>
    <t>Poistenie prístrojov v ŠF</t>
  </si>
  <si>
    <t>mzdy R-STU</t>
  </si>
  <si>
    <t>TaS R-STU</t>
  </si>
  <si>
    <t>účel</t>
  </si>
  <si>
    <t>suma</t>
  </si>
  <si>
    <t>dotácia</t>
  </si>
  <si>
    <t>odvody R-STU</t>
  </si>
  <si>
    <t>služobky, tlač, rankingy, HRS4R a pod.</t>
  </si>
  <si>
    <t>Vydaveteľská činnosti</t>
  </si>
  <si>
    <t>mzdy aktuálnych postdokov + TaS, suma sa rozdelí na fakulty</t>
  </si>
  <si>
    <t>Ochrana duševného vlastníctva</t>
  </si>
  <si>
    <t>rozpis na fakulty? Refakturácia?</t>
  </si>
  <si>
    <t xml:space="preserve">Mzdy a TaS  rektorátu STU komplexne </t>
  </si>
  <si>
    <t>odmeny pre fakulty</t>
  </si>
  <si>
    <t>Návrh rozpisu dotácie dotácie STU na rok 2021</t>
  </si>
  <si>
    <t>Podiel jednotlivých položiek na celkovej dotácii 2021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</si>
  <si>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</si>
  <si>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Umelecké činnosti</t>
  </si>
  <si>
    <t>4. Fakulty - podporné aktivity</t>
  </si>
  <si>
    <t>doktorandská škola - prednášajúci a i.</t>
  </si>
  <si>
    <t>3. STU - podporné aktivity</t>
  </si>
  <si>
    <t>dofinancovanie projektov H2020 SASPRO 2 (suma ide na fakulty), Interreg SK-AT CARLiS a DigiVil</t>
  </si>
  <si>
    <t>STU - aktivity</t>
  </si>
  <si>
    <t>Fakulty - aktivity</t>
  </si>
  <si>
    <t>Návrh rozpisu dotácie dotácie STU na rok 2021 - Rozdiel oproti roku 2019</t>
  </si>
  <si>
    <t>f</t>
  </si>
  <si>
    <t>Fakulty aktivity</t>
  </si>
  <si>
    <t>Údaje MŠ sú z roku 2019</t>
  </si>
  <si>
    <t>Údaje STU sú podľa roku 2020</t>
  </si>
  <si>
    <t>VSK komisie</t>
  </si>
  <si>
    <t>Program  077 %</t>
  </si>
  <si>
    <t>Spolu: Šport + kultúra</t>
  </si>
  <si>
    <t>Spolu: Zákl. služby STU</t>
  </si>
  <si>
    <t>Spolu: STU - podporné aktivity</t>
  </si>
  <si>
    <t>Spolu: Fakulty - podporné aktivity</t>
  </si>
  <si>
    <t>Spolu: Rôzne</t>
  </si>
  <si>
    <t>Stubáčik</t>
  </si>
  <si>
    <t>Spolufinancovanie projektu H2020 SASPRO 2</t>
  </si>
  <si>
    <t>Spolufinancovanie projektu Interreg SK-AT CARLiS a DigiVil</t>
  </si>
  <si>
    <t>€</t>
  </si>
  <si>
    <t>mzdy  R STU 07711</t>
  </si>
  <si>
    <t>odvody R STU 07711</t>
  </si>
  <si>
    <t>mzdy RSTU 07712</t>
  </si>
  <si>
    <t>odvody R STU 07712</t>
  </si>
  <si>
    <t>Spolu:  Databázy + IT + služby</t>
  </si>
  <si>
    <t>Finančné prostriedky určené na STU aktivity bez miezd a TaS R-STU</t>
  </si>
  <si>
    <t>Účel MŠVVaŠ 077 1503</t>
  </si>
  <si>
    <t>Návrh rozpisu dotácie dotácie STU na rok 2020 (verzia V7)</t>
  </si>
  <si>
    <t>Návrh rozpisu dotácie dotácie STU na rok 2019 (verzia V4)</t>
  </si>
  <si>
    <t>MEDIAN pre fakulty z rokov 2017 - 2019       ?</t>
  </si>
  <si>
    <t>na zváženie</t>
  </si>
  <si>
    <t>MEDIAN fakulty 2017 - 2019 ?</t>
  </si>
  <si>
    <t>Chýbajúca suma do 90%</t>
  </si>
  <si>
    <t>Program 077 výkonové zložky %</t>
  </si>
  <si>
    <t>Program  077 celkovo %</t>
  </si>
  <si>
    <t>KKŠ 2020 za 4Q2019</t>
  </si>
  <si>
    <t>výkon 1. stupeň (PPS*KO*KAP_OLD*KKS)</t>
  </si>
  <si>
    <t>výkon 2. stupeň (PPS*KO*KAP_OLD*KKS)</t>
  </si>
  <si>
    <t>výkon 3. stupeň (PPS*KO*KAP_OLD*KKS)</t>
  </si>
  <si>
    <t>Pozn. V stĺpci sú za fakulty KKŠ za rok 2018, nie 2019</t>
  </si>
  <si>
    <t>PPS*KO*KAP_OLD, level1</t>
  </si>
  <si>
    <t>PPS*KO*KAP_OLD, level2</t>
  </si>
  <si>
    <t>PPS*KO*KAP_OLD, level3</t>
  </si>
  <si>
    <t>ABS / KAP_OLD*KO*PPS, level1</t>
  </si>
  <si>
    <t>ABS / KAP_OLD*KO*PPS, level3</t>
  </si>
  <si>
    <t>ABS / KAP_OLD*KO*PPS, level2</t>
  </si>
  <si>
    <t>podiel na dotácií podľa starej metodiky</t>
  </si>
  <si>
    <t>?</t>
  </si>
  <si>
    <t>% vyjadrenie</t>
  </si>
  <si>
    <t>Rozdiel_%</t>
  </si>
  <si>
    <t>Fakulty - aktivity bez Accord</t>
  </si>
  <si>
    <t>Podiel fakúlt na celkovej dotácii</t>
  </si>
  <si>
    <t>rok</t>
  </si>
  <si>
    <t>Podiel fakúlt na dot - výk. zložky</t>
  </si>
  <si>
    <t>Spolu (R+akt) bez Accord</t>
  </si>
  <si>
    <t>Spolu (R+akt)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</si>
</sst>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_-* #,##0\ _€_-;\-* #,##0\ _€_-;_-* &quot;-&quot;??\ _€_-;_-@_-"/>
    <numFmt numFmtId="168" formatCode="#,##0_ ;[Red]\-#,##0\ "/>
    <numFmt numFmtId="169" formatCode="#,##0.000"/>
    <numFmt numFmtId="170" formatCode="0.0%"/>
    <numFmt numFmtId="171" formatCode="0.000%"/>
    <numFmt numFmtId="172" formatCode="0.000"/>
    <numFmt numFmtId="173" formatCode="#,##0.0_ ;[Red]\-#,##0.0\ "/>
    <numFmt numFmtId="174" formatCode="0.00000"/>
    <numFmt numFmtId="175" formatCode="_-* #,##0.00\ _S_k_-;\-* #,##0.00\ _S_k_-;_-* &quot;-&quot;??\ _S_k_-;_-@_-"/>
    <numFmt numFmtId="176" formatCode="_-* #,##0.0000\ _S_k_-;\-* #,##0.0000\ _S_k_-;_-* &quot;-&quot;??\ _S_k_-;_-@_-"/>
    <numFmt numFmtId="177" formatCode="_-* #,##0.00\ &quot;Sk&quot;_-;\-* #,##0.00\ &quot;Sk&quot;_-;_-* &quot;-&quot;??\ &quot;Sk&quot;_-;_-@_-"/>
    <numFmt numFmtId="178" formatCode="#,##0.00_ ;[Red]\-#,##0.00\ "/>
    <numFmt numFmtId="179" formatCode="0.0000"/>
    <numFmt numFmtId="180" formatCode="#,##0_ ;\-#,##0\ "/>
    <numFmt numFmtId="181" formatCode="_-* #,##0\ _S_k_-;\-* #,##0\ _S_k_-;_-* &quot;-&quot;??\ _S_k_-;_-@_-"/>
    <numFmt numFmtId="182" formatCode="&quot; &quot;#,##0.00&quot;    &quot;;&quot;-&quot;#,##0.00&quot;    &quot;;&quot; -&quot;00&quot;    &quot;;&quot; &quot;@&quot; &quot;"/>
    <numFmt numFmtId="183" formatCode="#,##0.000_ ;[Red]\-#,##0.000\ 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1"/>
        <bgColor indexed="64"/>
      </patternFill>
    </fill>
  </fills>
  <borders count="184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168" fontId="8" fillId="26" borderId="20"/>
    <xf numFmtId="0" fontId="7" fillId="0" borderId="41">
      <alignment horizontal="left" indent="1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8" fontId="28" fillId="50" borderId="68" applyAlignment="0" applyProtection="0"/>
    <xf numFmtId="0" fontId="32" fillId="0" borderId="0"/>
    <xf numFmtId="0" fontId="11" fillId="0" borderId="0"/>
    <xf numFmtId="168" fontId="7" fillId="0" borderId="0"/>
    <xf numFmtId="44" fontId="4" fillId="0" borderId="0" applyFont="0" applyFill="0" applyBorder="0" applyAlignment="0" applyProtection="0"/>
    <xf numFmtId="0" fontId="7" fillId="0" borderId="41">
      <alignment horizontal="left" indent="1"/>
    </xf>
    <xf numFmtId="0" fontId="4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4" fillId="0" borderId="0"/>
    <xf numFmtId="0" fontId="33" fillId="0" borderId="0"/>
    <xf numFmtId="0" fontId="11" fillId="0" borderId="0"/>
    <xf numFmtId="0" fontId="11" fillId="0" borderId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61" borderId="0" applyNumberFormat="0" applyBorder="0" applyAlignment="0" applyProtection="0"/>
    <xf numFmtId="0" fontId="33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72" borderId="0" applyNumberFormat="0" applyBorder="0" applyAlignment="0" applyProtection="0"/>
    <xf numFmtId="0" fontId="35" fillId="56" borderId="0" applyNumberFormat="0" applyBorder="0" applyAlignment="0" applyProtection="0"/>
    <xf numFmtId="0" fontId="36" fillId="73" borderId="81" applyNumberFormat="0" applyAlignment="0" applyProtection="0"/>
    <xf numFmtId="0" fontId="37" fillId="0" borderId="0" applyNumberFormat="0" applyFill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76" borderId="0" applyNumberFormat="0" applyBorder="0" applyAlignment="0" applyProtection="0"/>
    <xf numFmtId="0" fontId="39" fillId="74" borderId="0" applyNumberFormat="0" applyFont="0" applyBorder="0" applyAlignment="0" applyProtection="0"/>
    <xf numFmtId="0" fontId="39" fillId="74" borderId="0" applyNumberFormat="0" applyFont="0" applyBorder="0" applyAlignment="0" applyProtection="0"/>
    <xf numFmtId="0" fontId="39" fillId="77" borderId="0" applyNumberFormat="0" applyFont="0" applyBorder="0" applyAlignment="0" applyProtection="0"/>
    <xf numFmtId="0" fontId="39" fillId="74" borderId="0" applyNumberFormat="0" applyFont="0" applyBorder="0" applyAlignment="0" applyProtection="0"/>
    <xf numFmtId="175" fontId="6" fillId="0" borderId="0" applyFont="0" applyFill="0" applyBorder="0" applyAlignment="0" applyProtection="0"/>
    <xf numFmtId="175" fontId="32" fillId="0" borderId="0" applyFont="0" applyFill="0" applyBorder="0" applyAlignment="0" applyProtection="0"/>
    <xf numFmtId="182" fontId="39" fillId="0" borderId="0" applyFont="0" applyFill="0" applyBorder="0" applyAlignment="0" applyProtection="0"/>
    <xf numFmtId="168" fontId="7" fillId="0" borderId="73">
      <alignment horizontal="right" indent="1"/>
    </xf>
    <xf numFmtId="0" fontId="42" fillId="0" borderId="0" applyNumberFormat="0" applyFill="0" applyBorder="0" applyAlignment="0" applyProtection="0"/>
    <xf numFmtId="0" fontId="43" fillId="57" borderId="0" applyNumberFormat="0" applyBorder="0" applyAlignment="0" applyProtection="0"/>
    <xf numFmtId="0" fontId="44" fillId="0" borderId="82" applyNumberFormat="0" applyFill="0" applyAlignment="0" applyProtection="0"/>
    <xf numFmtId="0" fontId="45" fillId="0" borderId="83" applyNumberFormat="0" applyFill="0" applyAlignment="0" applyProtection="0"/>
    <xf numFmtId="0" fontId="46" fillId="0" borderId="84" applyNumberFormat="0" applyFill="0" applyAlignment="0" applyProtection="0"/>
    <xf numFmtId="0" fontId="46" fillId="0" borderId="0" applyNumberFormat="0" applyFill="0" applyBorder="0" applyAlignment="0" applyProtection="0"/>
    <xf numFmtId="0" fontId="32" fillId="0" borderId="3">
      <alignment horizontal="center" vertical="center"/>
    </xf>
    <xf numFmtId="0" fontId="47" fillId="0" borderId="0" applyNumberFormat="0" applyFill="0" applyBorder="0" applyAlignment="0" applyProtection="0"/>
    <xf numFmtId="0" fontId="48" fillId="78" borderId="85" applyNumberFormat="0" applyAlignment="0" applyProtection="0"/>
    <xf numFmtId="0" fontId="49" fillId="60" borderId="81" applyNumberFormat="0" applyAlignment="0" applyProtection="0"/>
    <xf numFmtId="0" fontId="32" fillId="30" borderId="73"/>
    <xf numFmtId="0" fontId="32" fillId="79" borderId="74"/>
    <xf numFmtId="0" fontId="50" fillId="0" borderId="86" applyNumberFormat="0" applyFill="0" applyAlignment="0" applyProtection="0"/>
    <xf numFmtId="0" fontId="51" fillId="80" borderId="0" applyNumberFormat="0" applyBorder="0" applyAlignment="0" applyProtection="0"/>
    <xf numFmtId="0" fontId="11" fillId="0" borderId="0"/>
    <xf numFmtId="0" fontId="3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9" fillId="0" borderId="0"/>
    <xf numFmtId="0" fontId="6" fillId="0" borderId="0"/>
    <xf numFmtId="0" fontId="33" fillId="81" borderId="8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8" applyNumberFormat="0" applyFill="0" applyAlignment="0" applyProtection="0"/>
    <xf numFmtId="0" fontId="55" fillId="0" borderId="89" applyNumberFormat="0" applyProtection="0">
      <alignment horizontal="left" indent="1"/>
    </xf>
    <xf numFmtId="0" fontId="9" fillId="24" borderId="41">
      <alignment horizontal="left" indent="1"/>
    </xf>
    <xf numFmtId="0" fontId="5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55" fillId="0" borderId="0"/>
    <xf numFmtId="0" fontId="4" fillId="0" borderId="0"/>
    <xf numFmtId="0" fontId="2" fillId="2" borderId="0" applyNumberFormat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1" fillId="0" borderId="0"/>
    <xf numFmtId="168" fontId="7" fillId="0" borderId="125">
      <alignment horizontal="right" indent="1"/>
    </xf>
    <xf numFmtId="0" fontId="36" fillId="73" borderId="127" applyNumberFormat="0" applyAlignment="0" applyProtection="0"/>
    <xf numFmtId="0" fontId="54" fillId="0" borderId="129" applyNumberFormat="0" applyFill="0" applyAlignment="0" applyProtection="0"/>
    <xf numFmtId="0" fontId="33" fillId="81" borderId="128" applyNumberFormat="0" applyFont="0" applyAlignment="0" applyProtection="0"/>
    <xf numFmtId="0" fontId="36" fillId="73" borderId="122" applyNumberFormat="0" applyAlignment="0" applyProtection="0"/>
    <xf numFmtId="0" fontId="32" fillId="79" borderId="126"/>
    <xf numFmtId="0" fontId="32" fillId="30" borderId="125"/>
    <xf numFmtId="0" fontId="49" fillId="60" borderId="127" applyNumberFormat="0" applyAlignment="0" applyProtection="0"/>
    <xf numFmtId="168" fontId="7" fillId="0" borderId="120">
      <alignment horizontal="right" indent="1"/>
    </xf>
    <xf numFmtId="0" fontId="49" fillId="60" borderId="122" applyNumberFormat="0" applyAlignment="0" applyProtection="0"/>
    <xf numFmtId="0" fontId="32" fillId="30" borderId="120"/>
    <xf numFmtId="0" fontId="32" fillId="79" borderId="121"/>
    <xf numFmtId="0" fontId="33" fillId="81" borderId="123" applyNumberFormat="0" applyFont="0" applyAlignment="0" applyProtection="0"/>
    <xf numFmtId="0" fontId="54" fillId="0" borderId="124" applyNumberFormat="0" applyFill="0" applyAlignment="0" applyProtection="0"/>
    <xf numFmtId="168" fontId="7" fillId="0" borderId="147">
      <alignment horizontal="right" indent="1"/>
    </xf>
    <xf numFmtId="0" fontId="36" fillId="73" borderId="150" applyNumberFormat="0" applyAlignment="0" applyProtection="0"/>
    <xf numFmtId="0" fontId="54" fillId="0" borderId="152" applyNumberFormat="0" applyFill="0" applyAlignment="0" applyProtection="0"/>
    <xf numFmtId="0" fontId="33" fillId="81" borderId="151" applyNumberFormat="0" applyFont="0" applyAlignment="0" applyProtection="0"/>
    <xf numFmtId="0" fontId="36" fillId="73" borderId="136" applyNumberFormat="0" applyAlignment="0" applyProtection="0"/>
    <xf numFmtId="0" fontId="32" fillId="79" borderId="148"/>
    <xf numFmtId="0" fontId="32" fillId="30" borderId="147"/>
    <xf numFmtId="0" fontId="49" fillId="60" borderId="150" applyNumberFormat="0" applyAlignment="0" applyProtection="0"/>
    <xf numFmtId="168" fontId="7" fillId="0" borderId="134">
      <alignment horizontal="right" indent="1"/>
    </xf>
    <xf numFmtId="0" fontId="49" fillId="60" borderId="136" applyNumberFormat="0" applyAlignment="0" applyProtection="0"/>
    <xf numFmtId="0" fontId="32" fillId="30" borderId="134"/>
    <xf numFmtId="0" fontId="32" fillId="79" borderId="135"/>
    <xf numFmtId="0" fontId="33" fillId="81" borderId="137" applyNumberFormat="0" applyFont="0" applyAlignment="0" applyProtection="0"/>
    <xf numFmtId="0" fontId="54" fillId="0" borderId="138" applyNumberFormat="0" applyFill="0" applyAlignment="0" applyProtection="0"/>
    <xf numFmtId="168" fontId="7" fillId="0" borderId="142">
      <alignment horizontal="right" indent="1"/>
    </xf>
    <xf numFmtId="0" fontId="36" fillId="73" borderId="144" applyNumberFormat="0" applyAlignment="0" applyProtection="0"/>
    <xf numFmtId="0" fontId="54" fillId="0" borderId="146" applyNumberFormat="0" applyFill="0" applyAlignment="0" applyProtection="0"/>
    <xf numFmtId="0" fontId="33" fillId="81" borderId="145" applyNumberFormat="0" applyFont="0" applyAlignment="0" applyProtection="0"/>
    <xf numFmtId="0" fontId="36" fillId="73" borderId="139" applyNumberFormat="0" applyAlignment="0" applyProtection="0"/>
    <xf numFmtId="0" fontId="32" fillId="79" borderId="143"/>
    <xf numFmtId="0" fontId="32" fillId="30" borderId="142"/>
    <xf numFmtId="0" fontId="49" fillId="60" borderId="144" applyNumberFormat="0" applyAlignment="0" applyProtection="0"/>
    <xf numFmtId="168" fontId="7" fillId="0" borderId="134">
      <alignment horizontal="right" indent="1"/>
    </xf>
    <xf numFmtId="0" fontId="49" fillId="60" borderId="139" applyNumberFormat="0" applyAlignment="0" applyProtection="0"/>
    <xf numFmtId="0" fontId="32" fillId="30" borderId="134"/>
    <xf numFmtId="0" fontId="32" fillId="79" borderId="135"/>
    <xf numFmtId="0" fontId="33" fillId="81" borderId="140" applyNumberFormat="0" applyFont="0" applyAlignment="0" applyProtection="0"/>
    <xf numFmtId="0" fontId="54" fillId="0" borderId="141" applyNumberFormat="0" applyFill="0" applyAlignment="0" applyProtection="0"/>
    <xf numFmtId="168" fontId="7" fillId="0" borderId="156">
      <alignment horizontal="right" indent="1"/>
    </xf>
    <xf numFmtId="0" fontId="36" fillId="73" borderId="158" applyNumberFormat="0" applyAlignment="0" applyProtection="0"/>
    <xf numFmtId="0" fontId="54" fillId="0" borderId="160" applyNumberFormat="0" applyFill="0" applyAlignment="0" applyProtection="0"/>
    <xf numFmtId="0" fontId="33" fillId="81" borderId="159" applyNumberFormat="0" applyFont="0" applyAlignment="0" applyProtection="0"/>
    <xf numFmtId="0" fontId="36" fillId="73" borderId="153" applyNumberFormat="0" applyAlignment="0" applyProtection="0"/>
    <xf numFmtId="0" fontId="32" fillId="79" borderId="157"/>
    <xf numFmtId="0" fontId="32" fillId="30" borderId="156"/>
    <xf numFmtId="0" fontId="49" fillId="60" borderId="158" applyNumberFormat="0" applyAlignment="0" applyProtection="0"/>
    <xf numFmtId="168" fontId="7" fillId="0" borderId="147">
      <alignment horizontal="right" indent="1"/>
    </xf>
    <xf numFmtId="0" fontId="49" fillId="60" borderId="153" applyNumberFormat="0" applyAlignment="0" applyProtection="0"/>
    <xf numFmtId="0" fontId="32" fillId="30" borderId="147"/>
    <xf numFmtId="0" fontId="32" fillId="79" borderId="148"/>
    <xf numFmtId="0" fontId="33" fillId="81" borderId="154" applyNumberFormat="0" applyFont="0" applyAlignment="0" applyProtection="0"/>
    <xf numFmtId="0" fontId="54" fillId="0" borderId="155" applyNumberFormat="0" applyFill="0" applyAlignment="0" applyProtection="0"/>
  </cellStyleXfs>
  <cellXfs count="1433">
    <xf numFmtId="0" fontId="0" fillId="0" borderId="0" xfId="0"/>
    <xf numFmtId="0" fontId="4" fillId="0" borderId="0" xfId="5"/>
    <xf numFmtId="0" fontId="4" fillId="0" borderId="0" xfId="0" applyFont="1"/>
    <xf numFmtId="0" fontId="4" fillId="8" borderId="0" xfId="5" applyFill="1"/>
    <xf numFmtId="166" fontId="4" fillId="8" borderId="0" xfId="5" applyNumberFormat="1" applyFill="1" applyAlignment="1">
      <alignment horizontal="center"/>
    </xf>
    <xf numFmtId="0" fontId="13" fillId="0" borderId="0" xfId="8" applyFont="1"/>
    <xf numFmtId="0" fontId="4" fillId="17" borderId="17" xfId="0" applyFont="1" applyFill="1" applyBorder="1" applyAlignment="1">
      <alignment horizontal="center"/>
    </xf>
    <xf numFmtId="0" fontId="4" fillId="17" borderId="0" xfId="0" applyFont="1" applyFill="1" applyAlignment="1">
      <alignment horizontal="center" vertical="center"/>
    </xf>
    <xf numFmtId="0" fontId="4" fillId="17" borderId="0" xfId="0" applyFont="1" applyFill="1"/>
    <xf numFmtId="0" fontId="4" fillId="18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0" fontId="16" fillId="18" borderId="34" xfId="8" applyFont="1" applyFill="1" applyBorder="1" applyAlignment="1">
      <alignment horizontal="center" vertical="center" wrapText="1"/>
    </xf>
    <xf numFmtId="0" fontId="13" fillId="0" borderId="0" xfId="8" applyFont="1" applyAlignment="1">
      <alignment wrapText="1"/>
    </xf>
    <xf numFmtId="168" fontId="4" fillId="0" borderId="0" xfId="0" applyNumberFormat="1" applyFont="1"/>
    <xf numFmtId="168" fontId="4" fillId="0" borderId="10" xfId="0" applyNumberFormat="1" applyFont="1" applyBorder="1"/>
    <xf numFmtId="168" fontId="4" fillId="0" borderId="1" xfId="0" applyNumberFormat="1" applyFont="1" applyBorder="1"/>
    <xf numFmtId="10" fontId="4" fillId="0" borderId="0" xfId="3" applyNumberFormat="1" applyFont="1" applyFill="1" applyBorder="1"/>
    <xf numFmtId="0" fontId="16" fillId="0" borderId="0" xfId="8" applyFont="1"/>
    <xf numFmtId="169" fontId="16" fillId="16" borderId="10" xfId="8" applyNumberFormat="1" applyFont="1" applyFill="1" applyBorder="1"/>
    <xf numFmtId="0" fontId="16" fillId="0" borderId="10" xfId="0" applyFont="1" applyBorder="1"/>
    <xf numFmtId="168" fontId="4" fillId="7" borderId="20" xfId="0" applyNumberFormat="1" applyFont="1" applyFill="1" applyBorder="1"/>
    <xf numFmtId="0" fontId="4" fillId="0" borderId="49" xfId="0" applyFont="1" applyBorder="1"/>
    <xf numFmtId="0" fontId="4" fillId="16" borderId="49" xfId="0" applyFont="1" applyFill="1" applyBorder="1"/>
    <xf numFmtId="168" fontId="4" fillId="0" borderId="5" xfId="0" applyNumberFormat="1" applyFont="1" applyBorder="1"/>
    <xf numFmtId="168" fontId="4" fillId="7" borderId="39" xfId="0" applyNumberFormat="1" applyFont="1" applyFill="1" applyBorder="1"/>
    <xf numFmtId="168" fontId="4" fillId="7" borderId="40" xfId="0" applyNumberFormat="1" applyFont="1" applyFill="1" applyBorder="1"/>
    <xf numFmtId="3" fontId="4" fillId="16" borderId="49" xfId="0" applyNumberFormat="1" applyFont="1" applyFill="1" applyBorder="1"/>
    <xf numFmtId="0" fontId="4" fillId="7" borderId="41" xfId="0" applyFont="1" applyFill="1" applyBorder="1"/>
    <xf numFmtId="168" fontId="4" fillId="7" borderId="41" xfId="0" applyNumberFormat="1" applyFont="1" applyFill="1" applyBorder="1"/>
    <xf numFmtId="0" fontId="16" fillId="22" borderId="19" xfId="8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5" xfId="8" applyFont="1" applyBorder="1" applyAlignment="1">
      <alignment horizontal="center" vertical="center" wrapText="1"/>
    </xf>
    <xf numFmtId="0" fontId="16" fillId="0" borderId="36" xfId="8" applyFont="1" applyBorder="1" applyAlignment="1">
      <alignment horizontal="center" vertical="center" wrapText="1"/>
    </xf>
    <xf numFmtId="0" fontId="16" fillId="0" borderId="37" xfId="8" applyFont="1" applyBorder="1" applyAlignment="1">
      <alignment horizontal="center" vertical="center" wrapText="1"/>
    </xf>
    <xf numFmtId="0" fontId="16" fillId="0" borderId="38" xfId="8" applyFont="1" applyBorder="1" applyAlignment="1">
      <alignment horizontal="center" vertical="center" wrapText="1"/>
    </xf>
    <xf numFmtId="0" fontId="16" fillId="17" borderId="3" xfId="8" applyFont="1" applyFill="1" applyBorder="1" applyAlignment="1">
      <alignment horizontal="center" vertical="center" wrapText="1"/>
    </xf>
    <xf numFmtId="0" fontId="16" fillId="20" borderId="33" xfId="8" applyFont="1" applyFill="1" applyBorder="1" applyAlignment="1">
      <alignment horizontal="center" vertical="center" wrapText="1"/>
    </xf>
    <xf numFmtId="3" fontId="16" fillId="0" borderId="42" xfId="8" applyNumberFormat="1" applyFont="1" applyBorder="1"/>
    <xf numFmtId="3" fontId="16" fillId="0" borderId="46" xfId="8" applyNumberFormat="1" applyFont="1" applyBorder="1"/>
    <xf numFmtId="171" fontId="16" fillId="0" borderId="20" xfId="3" applyNumberFormat="1" applyFont="1" applyBorder="1" applyAlignment="1">
      <alignment horizontal="center"/>
    </xf>
    <xf numFmtId="171" fontId="16" fillId="0" borderId="40" xfId="3" applyNumberFormat="1" applyFont="1" applyBorder="1" applyAlignment="1">
      <alignment horizontal="center"/>
    </xf>
    <xf numFmtId="0" fontId="0" fillId="0" borderId="19" xfId="0" applyFont="1" applyBorder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21" borderId="3" xfId="0" applyFont="1" applyFill="1" applyBorder="1" applyAlignment="1">
      <alignment horizontal="center" vertical="center" wrapText="1"/>
    </xf>
    <xf numFmtId="0" fontId="23" fillId="21" borderId="3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59" xfId="0" applyFont="1" applyBorder="1"/>
    <xf numFmtId="0" fontId="16" fillId="0" borderId="5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7" borderId="0" xfId="0" applyFont="1" applyFill="1"/>
    <xf numFmtId="4" fontId="16" fillId="7" borderId="0" xfId="0" applyNumberFormat="1" applyFont="1" applyFill="1"/>
    <xf numFmtId="169" fontId="16" fillId="7" borderId="0" xfId="0" applyNumberFormat="1" applyFont="1" applyFill="1"/>
    <xf numFmtId="4" fontId="16" fillId="0" borderId="0" xfId="0" applyNumberFormat="1" applyFont="1"/>
    <xf numFmtId="169" fontId="16" fillId="0" borderId="0" xfId="0" applyNumberFormat="1" applyFont="1"/>
    <xf numFmtId="3" fontId="16" fillId="13" borderId="27" xfId="0" applyNumberFormat="1" applyFont="1" applyFill="1" applyBorder="1"/>
    <xf numFmtId="4" fontId="16" fillId="0" borderId="27" xfId="0" applyNumberFormat="1" applyFont="1" applyBorder="1"/>
    <xf numFmtId="176" fontId="16" fillId="0" borderId="0" xfId="1" applyNumberFormat="1" applyFont="1" applyBorder="1"/>
    <xf numFmtId="0" fontId="16" fillId="0" borderId="0" xfId="0" applyFont="1" applyAlignment="1">
      <alignment vertical="center" wrapText="1"/>
    </xf>
    <xf numFmtId="0" fontId="26" fillId="0" borderId="0" xfId="12" applyFont="1" applyAlignment="1" applyProtection="1">
      <alignment vertical="center"/>
    </xf>
    <xf numFmtId="0" fontId="16" fillId="11" borderId="26" xfId="0" applyFont="1" applyFill="1" applyBorder="1"/>
    <xf numFmtId="3" fontId="16" fillId="11" borderId="27" xfId="0" applyNumberFormat="1" applyFont="1" applyFill="1" applyBorder="1"/>
    <xf numFmtId="0" fontId="16" fillId="11" borderId="28" xfId="0" applyFont="1" applyFill="1" applyBorder="1"/>
    <xf numFmtId="166" fontId="16" fillId="11" borderId="27" xfId="0" applyNumberFormat="1" applyFont="1" applyFill="1" applyBorder="1"/>
    <xf numFmtId="4" fontId="16" fillId="11" borderId="27" xfId="0" applyNumberFormat="1" applyFont="1" applyFill="1" applyBorder="1"/>
    <xf numFmtId="0" fontId="4" fillId="7" borderId="52" xfId="0" applyFont="1" applyFill="1" applyBorder="1"/>
    <xf numFmtId="168" fontId="16" fillId="7" borderId="15" xfId="0" applyNumberFormat="1" applyFont="1" applyFill="1" applyBorder="1"/>
    <xf numFmtId="168" fontId="16" fillId="7" borderId="17" xfId="0" applyNumberFormat="1" applyFont="1" applyFill="1" applyBorder="1"/>
    <xf numFmtId="168" fontId="16" fillId="7" borderId="18" xfId="0" applyNumberFormat="1" applyFont="1" applyFill="1" applyBorder="1"/>
    <xf numFmtId="168" fontId="16" fillId="7" borderId="52" xfId="0" applyNumberFormat="1" applyFont="1" applyFill="1" applyBorder="1"/>
    <xf numFmtId="168" fontId="16" fillId="13" borderId="19" xfId="0" applyNumberFormat="1" applyFont="1" applyFill="1" applyBorder="1"/>
    <xf numFmtId="168" fontId="16" fillId="13" borderId="2" xfId="0" applyNumberFormat="1" applyFont="1" applyFill="1" applyBorder="1"/>
    <xf numFmtId="168" fontId="16" fillId="13" borderId="3" xfId="0" applyNumberFormat="1" applyFont="1" applyFill="1" applyBorder="1"/>
    <xf numFmtId="168" fontId="16" fillId="13" borderId="33" xfId="0" applyNumberFormat="1" applyFont="1" applyFill="1" applyBorder="1"/>
    <xf numFmtId="168" fontId="16" fillId="21" borderId="2" xfId="0" applyNumberFormat="1" applyFont="1" applyFill="1" applyBorder="1"/>
    <xf numFmtId="168" fontId="16" fillId="21" borderId="3" xfId="0" applyNumberFormat="1" applyFont="1" applyFill="1" applyBorder="1"/>
    <xf numFmtId="168" fontId="16" fillId="21" borderId="33" xfId="0" applyNumberFormat="1" applyFont="1" applyFill="1" applyBorder="1"/>
    <xf numFmtId="166" fontId="16" fillId="0" borderId="48" xfId="8" applyNumberFormat="1" applyFont="1" applyBorder="1"/>
    <xf numFmtId="173" fontId="16" fillId="7" borderId="51" xfId="0" applyNumberFormat="1" applyFont="1" applyFill="1" applyBorder="1"/>
    <xf numFmtId="0" fontId="16" fillId="0" borderId="2" xfId="8" applyFont="1" applyBorder="1" applyAlignment="1">
      <alignment horizontal="center" vertical="center" wrapText="1"/>
    </xf>
    <xf numFmtId="0" fontId="16" fillId="0" borderId="33" xfId="8" applyFont="1" applyBorder="1" applyAlignment="1">
      <alignment horizontal="center" vertical="center" wrapText="1"/>
    </xf>
    <xf numFmtId="166" fontId="16" fillId="0" borderId="5" xfId="8" applyNumberFormat="1" applyFont="1" applyBorder="1" applyAlignment="1">
      <alignment horizontal="center"/>
    </xf>
    <xf numFmtId="3" fontId="16" fillId="20" borderId="1" xfId="8" applyNumberFormat="1" applyFont="1" applyFill="1" applyBorder="1"/>
    <xf numFmtId="173" fontId="16" fillId="7" borderId="12" xfId="0" applyNumberFormat="1" applyFont="1" applyFill="1" applyBorder="1"/>
    <xf numFmtId="168" fontId="16" fillId="7" borderId="14" xfId="0" applyNumberFormat="1" applyFont="1" applyFill="1" applyBorder="1"/>
    <xf numFmtId="0" fontId="17" fillId="24" borderId="49" xfId="0" applyFont="1" applyFill="1" applyBorder="1"/>
    <xf numFmtId="168" fontId="16" fillId="7" borderId="56" xfId="0" applyNumberFormat="1" applyFont="1" applyFill="1" applyBorder="1"/>
    <xf numFmtId="0" fontId="16" fillId="7" borderId="7" xfId="8" applyFont="1" applyFill="1" applyBorder="1"/>
    <xf numFmtId="169" fontId="16" fillId="7" borderId="8" xfId="8" applyNumberFormat="1" applyFont="1" applyFill="1" applyBorder="1"/>
    <xf numFmtId="3" fontId="16" fillId="7" borderId="62" xfId="8" applyNumberFormat="1" applyFont="1" applyFill="1" applyBorder="1"/>
    <xf numFmtId="3" fontId="16" fillId="7" borderId="6" xfId="8" applyNumberFormat="1" applyFont="1" applyFill="1" applyBorder="1"/>
    <xf numFmtId="0" fontId="16" fillId="0" borderId="5" xfId="8" applyFont="1" applyBorder="1"/>
    <xf numFmtId="168" fontId="16" fillId="7" borderId="12" xfId="0" applyNumberFormat="1" applyFont="1" applyFill="1" applyBorder="1"/>
    <xf numFmtId="169" fontId="16" fillId="7" borderId="13" xfId="8" applyNumberFormat="1" applyFont="1" applyFill="1" applyBorder="1"/>
    <xf numFmtId="168" fontId="16" fillId="7" borderId="13" xfId="0" applyNumberFormat="1" applyFont="1" applyFill="1" applyBorder="1"/>
    <xf numFmtId="166" fontId="16" fillId="11" borderId="19" xfId="8" applyNumberFormat="1" applyFont="1" applyFill="1" applyBorder="1"/>
    <xf numFmtId="166" fontId="16" fillId="11" borderId="27" xfId="8" applyNumberFormat="1" applyFont="1" applyFill="1" applyBorder="1" applyAlignment="1">
      <alignment horizontal="center"/>
    </xf>
    <xf numFmtId="166" fontId="16" fillId="11" borderId="57" xfId="8" applyNumberFormat="1" applyFont="1" applyFill="1" applyBorder="1"/>
    <xf numFmtId="3" fontId="16" fillId="11" borderId="30" xfId="8" applyNumberFormat="1" applyFont="1" applyFill="1" applyBorder="1"/>
    <xf numFmtId="3" fontId="16" fillId="11" borderId="19" xfId="8" applyNumberFormat="1" applyFont="1" applyFill="1" applyBorder="1"/>
    <xf numFmtId="0" fontId="16" fillId="0" borderId="19" xfId="8" applyFont="1" applyBorder="1" applyAlignment="1">
      <alignment horizontal="center"/>
    </xf>
    <xf numFmtId="0" fontId="16" fillId="0" borderId="23" xfId="8" applyFont="1" applyBorder="1" applyAlignment="1">
      <alignment horizontal="center"/>
    </xf>
    <xf numFmtId="0" fontId="16" fillId="0" borderId="24" xfId="8" applyFont="1" applyBorder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Continuous" wrapText="1"/>
    </xf>
    <xf numFmtId="169" fontId="16" fillId="7" borderId="45" xfId="0" applyNumberFormat="1" applyFont="1" applyFill="1" applyBorder="1"/>
    <xf numFmtId="3" fontId="16" fillId="7" borderId="0" xfId="0" applyNumberFormat="1" applyFont="1" applyFill="1"/>
    <xf numFmtId="3" fontId="21" fillId="0" borderId="38" xfId="0" applyNumberFormat="1" applyFont="1" applyBorder="1"/>
    <xf numFmtId="3" fontId="16" fillId="0" borderId="61" xfId="0" applyNumberFormat="1" applyFont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3" fontId="16" fillId="0" borderId="9" xfId="0" applyNumberFormat="1" applyFont="1" applyBorder="1" applyAlignment="1">
      <alignment horizontal="right"/>
    </xf>
    <xf numFmtId="169" fontId="16" fillId="35" borderId="50" xfId="0" applyNumberFormat="1" applyFont="1" applyFill="1" applyBorder="1" applyAlignment="1">
      <alignment horizontal="center" vertical="center"/>
    </xf>
    <xf numFmtId="169" fontId="16" fillId="35" borderId="48" xfId="0" applyNumberFormat="1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49" xfId="0" applyNumberFormat="1" applyFont="1" applyBorder="1"/>
    <xf numFmtId="3" fontId="16" fillId="32" borderId="1" xfId="0" applyNumberFormat="1" applyFont="1" applyFill="1" applyBorder="1"/>
    <xf numFmtId="3" fontId="16" fillId="36" borderId="12" xfId="0" applyNumberFormat="1" applyFont="1" applyFill="1" applyBorder="1" applyAlignment="1">
      <alignment horizontal="center" vertical="center"/>
    </xf>
    <xf numFmtId="3" fontId="16" fillId="36" borderId="27" xfId="0" applyNumberFormat="1" applyFont="1" applyFill="1" applyBorder="1" applyAlignment="1">
      <alignment horizontal="center" vertical="center"/>
    </xf>
    <xf numFmtId="168" fontId="16" fillId="0" borderId="0" xfId="0" applyNumberFormat="1" applyFont="1"/>
    <xf numFmtId="3" fontId="16" fillId="0" borderId="0" xfId="0" applyNumberFormat="1" applyFont="1" applyAlignment="1">
      <alignment horizontal="center" vertical="center"/>
    </xf>
    <xf numFmtId="3" fontId="16" fillId="32" borderId="18" xfId="0" applyNumberFormat="1" applyFont="1" applyFill="1" applyBorder="1"/>
    <xf numFmtId="3" fontId="21" fillId="0" borderId="0" xfId="0" applyNumberFormat="1" applyFont="1"/>
    <xf numFmtId="3" fontId="16" fillId="0" borderId="0" xfId="0" applyNumberFormat="1" applyFont="1" applyAlignment="1">
      <alignment horizontal="center"/>
    </xf>
    <xf numFmtId="3" fontId="16" fillId="0" borderId="29" xfId="0" applyNumberFormat="1" applyFont="1" applyBorder="1" applyAlignment="1">
      <alignment horizontal="left" wrapText="1"/>
    </xf>
    <xf numFmtId="3" fontId="16" fillId="0" borderId="48" xfId="0" applyNumberFormat="1" applyFont="1" applyBorder="1" applyAlignment="1">
      <alignment horizontal="left" wrapText="1"/>
    </xf>
    <xf numFmtId="3" fontId="16" fillId="6" borderId="53" xfId="0" applyNumberFormat="1" applyFont="1" applyFill="1" applyBorder="1" applyAlignment="1">
      <alignment horizontal="center" vertical="center"/>
    </xf>
    <xf numFmtId="3" fontId="16" fillId="37" borderId="57" xfId="0" applyNumberFormat="1" applyFont="1" applyFill="1" applyBorder="1" applyAlignment="1">
      <alignment horizontal="center" vertical="center"/>
    </xf>
    <xf numFmtId="3" fontId="21" fillId="0" borderId="48" xfId="0" applyNumberFormat="1" applyFont="1" applyBorder="1" applyAlignment="1">
      <alignment horizontal="left" wrapText="1"/>
    </xf>
    <xf numFmtId="3" fontId="16" fillId="0" borderId="51" xfId="0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9" borderId="39" xfId="0" applyNumberFormat="1" applyFont="1" applyFill="1" applyBorder="1" applyAlignment="1">
      <alignment horizontal="right"/>
    </xf>
    <xf numFmtId="3" fontId="16" fillId="35" borderId="5" xfId="0" applyNumberFormat="1" applyFont="1" applyFill="1" applyBorder="1"/>
    <xf numFmtId="3" fontId="21" fillId="12" borderId="5" xfId="0" applyNumberFormat="1" applyFont="1" applyFill="1" applyBorder="1"/>
    <xf numFmtId="3" fontId="16" fillId="35" borderId="15" xfId="0" applyNumberFormat="1" applyFont="1" applyFill="1" applyBorder="1"/>
    <xf numFmtId="3" fontId="16" fillId="0" borderId="43" xfId="0" applyNumberFormat="1" applyFont="1" applyBorder="1"/>
    <xf numFmtId="168" fontId="16" fillId="0" borderId="61" xfId="0" applyNumberFormat="1" applyFont="1" applyBorder="1"/>
    <xf numFmtId="3" fontId="16" fillId="36" borderId="57" xfId="0" applyNumberFormat="1" applyFont="1" applyFill="1" applyBorder="1"/>
    <xf numFmtId="171" fontId="16" fillId="25" borderId="45" xfId="3" applyNumberFormat="1" applyFont="1" applyFill="1" applyBorder="1" applyAlignment="1">
      <alignment horizontal="center"/>
    </xf>
    <xf numFmtId="171" fontId="16" fillId="0" borderId="42" xfId="3" applyNumberFormat="1" applyFont="1" applyBorder="1"/>
    <xf numFmtId="171" fontId="16" fillId="7" borderId="12" xfId="0" applyNumberFormat="1" applyFont="1" applyFill="1" applyBorder="1"/>
    <xf numFmtId="171" fontId="16" fillId="7" borderId="13" xfId="0" applyNumberFormat="1" applyFont="1" applyFill="1" applyBorder="1"/>
    <xf numFmtId="171" fontId="16" fillId="7" borderId="14" xfId="0" applyNumberFormat="1" applyFont="1" applyFill="1" applyBorder="1"/>
    <xf numFmtId="3" fontId="21" fillId="0" borderId="61" xfId="0" applyNumberFormat="1" applyFont="1" applyBorder="1"/>
    <xf numFmtId="3" fontId="16" fillId="0" borderId="0" xfId="0" applyNumberFormat="1" applyFont="1" applyAlignment="1">
      <alignment horizontal="right"/>
    </xf>
    <xf numFmtId="4" fontId="16" fillId="0" borderId="49" xfId="0" applyNumberFormat="1" applyFont="1" applyBorder="1" applyAlignment="1">
      <alignment horizontal="right"/>
    </xf>
    <xf numFmtId="169" fontId="16" fillId="6" borderId="5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" fontId="16" fillId="13" borderId="41" xfId="10" applyNumberFormat="1" applyFont="1" applyFill="1" applyBorder="1" applyAlignment="1">
      <alignment horizontal="right"/>
    </xf>
    <xf numFmtId="171" fontId="16" fillId="13" borderId="41" xfId="3" applyNumberFormat="1" applyFont="1" applyFill="1" applyBorder="1" applyAlignment="1">
      <alignment horizontal="right"/>
    </xf>
    <xf numFmtId="4" fontId="16" fillId="30" borderId="24" xfId="0" applyNumberFormat="1" applyFont="1" applyFill="1" applyBorder="1" applyAlignment="1">
      <alignment horizontal="right"/>
    </xf>
    <xf numFmtId="3" fontId="16" fillId="0" borderId="64" xfId="0" applyNumberFormat="1" applyFont="1" applyBorder="1" applyAlignment="1">
      <alignment horizontal="right"/>
    </xf>
    <xf numFmtId="169" fontId="16" fillId="0" borderId="0" xfId="0" applyNumberFormat="1" applyFont="1" applyAlignment="1">
      <alignment horizontal="right"/>
    </xf>
    <xf numFmtId="4" fontId="16" fillId="0" borderId="30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4" fontId="16" fillId="0" borderId="65" xfId="0" applyNumberFormat="1" applyFont="1" applyBorder="1" applyAlignment="1">
      <alignment horizontal="right"/>
    </xf>
    <xf numFmtId="179" fontId="16" fillId="31" borderId="10" xfId="0" applyNumberFormat="1" applyFont="1" applyFill="1" applyBorder="1" applyAlignment="1">
      <alignment horizontal="right"/>
    </xf>
    <xf numFmtId="4" fontId="16" fillId="7" borderId="43" xfId="0" applyNumberFormat="1" applyFont="1" applyFill="1" applyBorder="1" applyAlignment="1">
      <alignment horizontal="right"/>
    </xf>
    <xf numFmtId="4" fontId="21" fillId="7" borderId="56" xfId="0" applyNumberFormat="1" applyFont="1" applyFill="1" applyBorder="1" applyAlignment="1">
      <alignment horizontal="right"/>
    </xf>
    <xf numFmtId="3" fontId="16" fillId="30" borderId="57" xfId="0" applyNumberFormat="1" applyFont="1" applyFill="1" applyBorder="1" applyAlignment="1">
      <alignment horizontal="right" indent="1"/>
    </xf>
    <xf numFmtId="169" fontId="16" fillId="7" borderId="7" xfId="0" applyNumberFormat="1" applyFont="1" applyFill="1" applyBorder="1" applyAlignment="1">
      <alignment horizontal="right"/>
    </xf>
    <xf numFmtId="3" fontId="16" fillId="7" borderId="8" xfId="0" applyNumberFormat="1" applyFont="1" applyFill="1" applyBorder="1" applyAlignment="1">
      <alignment horizontal="right"/>
    </xf>
    <xf numFmtId="169" fontId="16" fillId="7" borderId="8" xfId="0" applyNumberFormat="1" applyFont="1" applyFill="1" applyBorder="1" applyAlignment="1">
      <alignment horizontal="right"/>
    </xf>
    <xf numFmtId="169" fontId="16" fillId="7" borderId="12" xfId="0" applyNumberFormat="1" applyFont="1" applyFill="1" applyBorder="1" applyAlignment="1">
      <alignment horizontal="right"/>
    </xf>
    <xf numFmtId="3" fontId="16" fillId="7" borderId="13" xfId="0" applyNumberFormat="1" applyFont="1" applyFill="1" applyBorder="1" applyAlignment="1">
      <alignment horizontal="right"/>
    </xf>
    <xf numFmtId="172" fontId="16" fillId="7" borderId="13" xfId="0" applyNumberFormat="1" applyFont="1" applyFill="1" applyBorder="1" applyAlignment="1">
      <alignment horizontal="right"/>
    </xf>
    <xf numFmtId="3" fontId="16" fillId="7" borderId="53" xfId="0" applyNumberFormat="1" applyFont="1" applyFill="1" applyBorder="1" applyAlignment="1">
      <alignment horizontal="right"/>
    </xf>
    <xf numFmtId="0" fontId="16" fillId="0" borderId="27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23" borderId="55" xfId="0" applyNumberFormat="1" applyFont="1" applyFill="1" applyBorder="1" applyAlignment="1">
      <alignment horizontal="center" vertical="center" wrapText="1"/>
    </xf>
    <xf numFmtId="3" fontId="16" fillId="19" borderId="19" xfId="0" applyNumberFormat="1" applyFont="1" applyFill="1" applyBorder="1" applyAlignment="1">
      <alignment horizontal="center" vertical="center" wrapText="1"/>
    </xf>
    <xf numFmtId="3" fontId="16" fillId="7" borderId="45" xfId="0" applyNumberFormat="1" applyFont="1" applyFill="1" applyBorder="1"/>
    <xf numFmtId="3" fontId="16" fillId="7" borderId="42" xfId="0" applyNumberFormat="1" applyFont="1" applyFill="1" applyBorder="1"/>
    <xf numFmtId="172" fontId="16" fillId="7" borderId="45" xfId="0" applyNumberFormat="1" applyFont="1" applyFill="1" applyBorder="1"/>
    <xf numFmtId="172" fontId="16" fillId="7" borderId="20" xfId="0" applyNumberFormat="1" applyFont="1" applyFill="1" applyBorder="1"/>
    <xf numFmtId="3" fontId="16" fillId="7" borderId="20" xfId="0" applyNumberFormat="1" applyFont="1" applyFill="1" applyBorder="1"/>
    <xf numFmtId="3" fontId="16" fillId="7" borderId="46" xfId="0" applyNumberFormat="1" applyFont="1" applyFill="1" applyBorder="1"/>
    <xf numFmtId="3" fontId="16" fillId="0" borderId="45" xfId="0" applyNumberFormat="1" applyFont="1" applyBorder="1"/>
    <xf numFmtId="3" fontId="16" fillId="0" borderId="44" xfId="0" applyNumberFormat="1" applyFont="1" applyBorder="1"/>
    <xf numFmtId="3" fontId="16" fillId="0" borderId="39" xfId="0" applyNumberFormat="1" applyFont="1" applyBorder="1"/>
    <xf numFmtId="3" fontId="16" fillId="0" borderId="42" xfId="0" applyNumberFormat="1" applyFont="1" applyBorder="1"/>
    <xf numFmtId="3" fontId="16" fillId="0" borderId="5" xfId="0" applyNumberFormat="1" applyFont="1" applyBorder="1"/>
    <xf numFmtId="3" fontId="16" fillId="0" borderId="1" xfId="0" applyNumberFormat="1" applyFont="1" applyBorder="1"/>
    <xf numFmtId="172" fontId="16" fillId="0" borderId="45" xfId="0" applyNumberFormat="1" applyFont="1" applyBorder="1"/>
    <xf numFmtId="172" fontId="16" fillId="0" borderId="20" xfId="0" applyNumberFormat="1" applyFont="1" applyBorder="1"/>
    <xf numFmtId="3" fontId="16" fillId="0" borderId="20" xfId="0" applyNumberFormat="1" applyFont="1" applyBorder="1"/>
    <xf numFmtId="3" fontId="16" fillId="0" borderId="46" xfId="0" applyNumberFormat="1" applyFont="1" applyBorder="1"/>
    <xf numFmtId="3" fontId="16" fillId="25" borderId="3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16" fillId="25" borderId="34" xfId="0" applyNumberFormat="1" applyFont="1" applyFill="1" applyBorder="1" applyAlignment="1">
      <alignment horizontal="center" vertical="center" wrapText="1"/>
    </xf>
    <xf numFmtId="3" fontId="16" fillId="22" borderId="23" xfId="0" applyNumberFormat="1" applyFont="1" applyFill="1" applyBorder="1" applyAlignment="1">
      <alignment horizontal="center" vertical="center" wrapText="1"/>
    </xf>
    <xf numFmtId="3" fontId="16" fillId="29" borderId="30" xfId="0" applyNumberFormat="1" applyFont="1" applyFill="1" applyBorder="1" applyAlignment="1">
      <alignment horizontal="center" vertical="center" wrapText="1"/>
    </xf>
    <xf numFmtId="3" fontId="16" fillId="40" borderId="28" xfId="0" applyNumberFormat="1" applyFont="1" applyFill="1" applyBorder="1" applyAlignment="1">
      <alignment horizontal="center" vertical="center" wrapText="1"/>
    </xf>
    <xf numFmtId="3" fontId="16" fillId="25" borderId="30" xfId="0" applyNumberFormat="1" applyFont="1" applyFill="1" applyBorder="1" applyAlignment="1">
      <alignment horizontal="center" vertical="center" wrapText="1"/>
    </xf>
    <xf numFmtId="3" fontId="16" fillId="20" borderId="32" xfId="0" applyNumberFormat="1" applyFont="1" applyFill="1" applyBorder="1" applyAlignment="1">
      <alignment horizontal="center" vertical="center" wrapText="1"/>
    </xf>
    <xf numFmtId="3" fontId="16" fillId="23" borderId="31" xfId="0" applyNumberFormat="1" applyFont="1" applyFill="1" applyBorder="1" applyAlignment="1">
      <alignment horizontal="center" vertical="center" wrapText="1"/>
    </xf>
    <xf numFmtId="3" fontId="16" fillId="20" borderId="31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Border="1" applyAlignment="1">
      <alignment vertical="center"/>
    </xf>
    <xf numFmtId="4" fontId="16" fillId="16" borderId="41" xfId="0" applyNumberFormat="1" applyFont="1" applyFill="1" applyBorder="1"/>
    <xf numFmtId="3" fontId="16" fillId="16" borderId="0" xfId="0" applyNumberFormat="1" applyFont="1" applyFill="1"/>
    <xf numFmtId="3" fontId="25" fillId="0" borderId="0" xfId="0" applyNumberFormat="1" applyFont="1" applyAlignment="1">
      <alignment horizontal="right"/>
    </xf>
    <xf numFmtId="3" fontId="25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16" fillId="23" borderId="30" xfId="0" applyNumberFormat="1" applyFont="1" applyFill="1" applyBorder="1" applyAlignment="1">
      <alignment horizontal="center" vertical="center" wrapText="1"/>
    </xf>
    <xf numFmtId="3" fontId="16" fillId="43" borderId="26" xfId="0" applyNumberFormat="1" applyFont="1" applyFill="1" applyBorder="1" applyAlignment="1">
      <alignment horizontal="center" vertical="center" wrapText="1"/>
    </xf>
    <xf numFmtId="3" fontId="16" fillId="44" borderId="19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23" borderId="65" xfId="0" applyNumberFormat="1" applyFont="1" applyFill="1" applyBorder="1" applyAlignment="1">
      <alignment horizontal="center" vertical="center" wrapText="1"/>
    </xf>
    <xf numFmtId="3" fontId="16" fillId="23" borderId="2" xfId="0" applyNumberFormat="1" applyFont="1" applyFill="1" applyBorder="1" applyAlignment="1">
      <alignment horizontal="center" vertical="center" wrapText="1"/>
    </xf>
    <xf numFmtId="3" fontId="16" fillId="43" borderId="24" xfId="0" applyNumberFormat="1" applyFont="1" applyFill="1" applyBorder="1" applyAlignment="1">
      <alignment horizontal="center" vertical="center" wrapText="1"/>
    </xf>
    <xf numFmtId="3" fontId="16" fillId="23" borderId="34" xfId="0" applyNumberFormat="1" applyFont="1" applyFill="1" applyBorder="1" applyAlignment="1">
      <alignment horizontal="center" vertical="center" wrapText="1"/>
    </xf>
    <xf numFmtId="4" fontId="16" fillId="27" borderId="7" xfId="0" applyNumberFormat="1" applyFont="1" applyFill="1" applyBorder="1"/>
    <xf numFmtId="3" fontId="4" fillId="7" borderId="9" xfId="0" applyNumberFormat="1" applyFont="1" applyFill="1" applyBorder="1"/>
    <xf numFmtId="3" fontId="4" fillId="16" borderId="1" xfId="0" applyNumberFormat="1" applyFont="1" applyFill="1" applyBorder="1"/>
    <xf numFmtId="4" fontId="16" fillId="7" borderId="43" xfId="0" applyNumberFormat="1" applyFont="1" applyFill="1" applyBorder="1"/>
    <xf numFmtId="4" fontId="16" fillId="27" borderId="56" xfId="0" applyNumberFormat="1" applyFont="1" applyFill="1" applyBorder="1"/>
    <xf numFmtId="1" fontId="16" fillId="27" borderId="12" xfId="0" applyNumberFormat="1" applyFont="1" applyFill="1" applyBorder="1"/>
    <xf numFmtId="1" fontId="16" fillId="27" borderId="14" xfId="0" applyNumberFormat="1" applyFont="1" applyFill="1" applyBorder="1"/>
    <xf numFmtId="4" fontId="16" fillId="7" borderId="7" xfId="0" applyNumberFormat="1" applyFont="1" applyFill="1" applyBorder="1"/>
    <xf numFmtId="3" fontId="16" fillId="27" borderId="9" xfId="0" applyNumberFormat="1" applyFont="1" applyFill="1" applyBorder="1"/>
    <xf numFmtId="3" fontId="16" fillId="45" borderId="1" xfId="0" applyNumberFormat="1" applyFont="1" applyFill="1" applyBorder="1"/>
    <xf numFmtId="3" fontId="16" fillId="0" borderId="40" xfId="0" applyNumberFormat="1" applyFont="1" applyBorder="1"/>
    <xf numFmtId="4" fontId="16" fillId="27" borderId="12" xfId="0" applyNumberFormat="1" applyFont="1" applyFill="1" applyBorder="1"/>
    <xf numFmtId="4" fontId="16" fillId="27" borderId="14" xfId="0" applyNumberFormat="1" applyFont="1" applyFill="1" applyBorder="1"/>
    <xf numFmtId="3" fontId="16" fillId="17" borderId="19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7" fillId="25" borderId="19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5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70" fontId="17" fillId="0" borderId="3" xfId="9" applyNumberFormat="1" applyFont="1" applyBorder="1" applyAlignment="1">
      <alignment horizontal="right" vertical="center" indent="1"/>
    </xf>
    <xf numFmtId="170" fontId="17" fillId="0" borderId="35" xfId="9" applyNumberFormat="1" applyFont="1" applyBorder="1" applyAlignment="1">
      <alignment horizontal="right" vertical="center" indent="1"/>
    </xf>
    <xf numFmtId="0" fontId="16" fillId="0" borderId="10" xfId="0" applyFont="1" applyBorder="1" applyAlignment="1">
      <alignment wrapText="1"/>
    </xf>
    <xf numFmtId="167" fontId="17" fillId="46" borderId="20" xfId="0" applyNumberFormat="1" applyFont="1" applyFill="1" applyBorder="1"/>
    <xf numFmtId="167" fontId="16" fillId="0" borderId="10" xfId="0" applyNumberFormat="1" applyFont="1" applyBorder="1"/>
    <xf numFmtId="0" fontId="25" fillId="0" borderId="0" xfId="0" applyFont="1" applyAlignment="1">
      <alignment horizontal="center"/>
    </xf>
    <xf numFmtId="0" fontId="27" fillId="0" borderId="0" xfId="0" applyFont="1" applyFill="1"/>
    <xf numFmtId="14" fontId="4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/>
    <xf numFmtId="170" fontId="16" fillId="0" borderId="20" xfId="9" applyNumberFormat="1" applyFont="1" applyFill="1" applyBorder="1" applyAlignment="1">
      <alignment horizontal="right" indent="1"/>
    </xf>
    <xf numFmtId="0" fontId="22" fillId="0" borderId="57" xfId="0" applyFont="1" applyBorder="1" applyAlignment="1">
      <alignment horizontal="left" vertical="center" indent="1"/>
    </xf>
    <xf numFmtId="178" fontId="17" fillId="30" borderId="49" xfId="0" applyNumberFormat="1" applyFont="1" applyFill="1" applyBorder="1" applyAlignment="1">
      <alignment horizontal="right" vertical="center" indent="1"/>
    </xf>
    <xf numFmtId="178" fontId="17" fillId="30" borderId="56" xfId="0" applyNumberFormat="1" applyFont="1" applyFill="1" applyBorder="1" applyAlignment="1">
      <alignment horizontal="right" vertical="center" indent="1"/>
    </xf>
    <xf numFmtId="0" fontId="16" fillId="7" borderId="43" xfId="0" applyFont="1" applyFill="1" applyBorder="1" applyAlignment="1"/>
    <xf numFmtId="0" fontId="4" fillId="0" borderId="41" xfId="0" applyFont="1" applyBorder="1"/>
    <xf numFmtId="0" fontId="4" fillId="16" borderId="47" xfId="0" applyFont="1" applyFill="1" applyBorder="1"/>
    <xf numFmtId="0" fontId="4" fillId="7" borderId="56" xfId="0" applyFont="1" applyFill="1" applyBorder="1"/>
    <xf numFmtId="170" fontId="16" fillId="7" borderId="7" xfId="9" applyNumberFormat="1" applyFont="1" applyFill="1" applyBorder="1" applyAlignment="1">
      <alignment horizontal="right" indent="1"/>
    </xf>
    <xf numFmtId="170" fontId="16" fillId="7" borderId="8" xfId="9" applyNumberFormat="1" applyFont="1" applyFill="1" applyBorder="1" applyAlignment="1">
      <alignment horizontal="right" indent="1"/>
    </xf>
    <xf numFmtId="170" fontId="16" fillId="7" borderId="9" xfId="9" applyNumberFormat="1" applyFont="1" applyFill="1" applyBorder="1" applyAlignment="1">
      <alignment horizontal="right" indent="1"/>
    </xf>
    <xf numFmtId="170" fontId="16" fillId="0" borderId="39" xfId="9" applyNumberFormat="1" applyFont="1" applyFill="1" applyBorder="1" applyAlignment="1">
      <alignment horizontal="right" indent="1"/>
    </xf>
    <xf numFmtId="170" fontId="16" fillId="0" borderId="40" xfId="9" applyNumberFormat="1" applyFont="1" applyFill="1" applyBorder="1" applyAlignment="1">
      <alignment horizontal="right" indent="1"/>
    </xf>
    <xf numFmtId="170" fontId="16" fillId="7" borderId="30" xfId="9" applyNumberFormat="1" applyFont="1" applyFill="1" applyBorder="1" applyAlignment="1">
      <alignment horizontal="right" indent="1"/>
    </xf>
    <xf numFmtId="170" fontId="16" fillId="7" borderId="31" xfId="9" applyNumberFormat="1" applyFont="1" applyFill="1" applyBorder="1" applyAlignment="1">
      <alignment horizontal="right" indent="1"/>
    </xf>
    <xf numFmtId="170" fontId="16" fillId="7" borderId="32" xfId="9" applyNumberFormat="1" applyFont="1" applyFill="1" applyBorder="1" applyAlignment="1">
      <alignment horizontal="right" indent="1"/>
    </xf>
    <xf numFmtId="178" fontId="17" fillId="7" borderId="43" xfId="0" applyNumberFormat="1" applyFont="1" applyFill="1" applyBorder="1" applyAlignment="1">
      <alignment horizontal="right" vertical="center" indent="1"/>
    </xf>
    <xf numFmtId="178" fontId="17" fillId="7" borderId="49" xfId="0" applyNumberFormat="1" applyFont="1" applyFill="1" applyBorder="1" applyAlignment="1">
      <alignment horizontal="right" vertical="center" indent="1"/>
    </xf>
    <xf numFmtId="3" fontId="16" fillId="13" borderId="0" xfId="0" applyNumberFormat="1" applyFont="1" applyFill="1" applyAlignment="1">
      <alignment horizontal="center"/>
    </xf>
    <xf numFmtId="3" fontId="16" fillId="47" borderId="0" xfId="0" applyNumberFormat="1" applyFont="1" applyFill="1"/>
    <xf numFmtId="3" fontId="16" fillId="14" borderId="39" xfId="0" applyNumberFormat="1" applyFont="1" applyFill="1" applyBorder="1"/>
    <xf numFmtId="3" fontId="16" fillId="9" borderId="42" xfId="0" applyNumberFormat="1" applyFont="1" applyFill="1" applyBorder="1"/>
    <xf numFmtId="3" fontId="16" fillId="16" borderId="29" xfId="0" applyNumberFormat="1" applyFont="1" applyFill="1" applyBorder="1"/>
    <xf numFmtId="3" fontId="16" fillId="9" borderId="44" xfId="0" applyNumberFormat="1" applyFont="1" applyFill="1" applyBorder="1"/>
    <xf numFmtId="3" fontId="16" fillId="14" borderId="29" xfId="0" applyNumberFormat="1" applyFont="1" applyFill="1" applyBorder="1"/>
    <xf numFmtId="4" fontId="16" fillId="0" borderId="20" xfId="0" applyNumberFormat="1" applyFont="1" applyBorder="1"/>
    <xf numFmtId="4" fontId="16" fillId="16" borderId="20" xfId="0" applyNumberFormat="1" applyFont="1" applyFill="1" applyBorder="1"/>
    <xf numFmtId="4" fontId="16" fillId="49" borderId="39" xfId="0" applyNumberFormat="1" applyFont="1" applyFill="1" applyBorder="1"/>
    <xf numFmtId="169" fontId="16" fillId="0" borderId="46" xfId="0" applyNumberFormat="1" applyFont="1" applyBorder="1"/>
    <xf numFmtId="4" fontId="16" fillId="0" borderId="46" xfId="0" applyNumberFormat="1" applyFont="1" applyBorder="1"/>
    <xf numFmtId="4" fontId="16" fillId="16" borderId="46" xfId="0" applyNumberFormat="1" applyFont="1" applyFill="1" applyBorder="1"/>
    <xf numFmtId="169" fontId="16" fillId="18" borderId="40" xfId="0" applyNumberFormat="1" applyFont="1" applyFill="1" applyBorder="1"/>
    <xf numFmtId="3" fontId="16" fillId="0" borderId="69" xfId="0" applyNumberFormat="1" applyFont="1" applyBorder="1"/>
    <xf numFmtId="3" fontId="5" fillId="0" borderId="0" xfId="0" applyNumberFormat="1" applyFont="1"/>
    <xf numFmtId="169" fontId="16" fillId="18" borderId="0" xfId="0" applyNumberFormat="1" applyFont="1" applyFill="1"/>
    <xf numFmtId="169" fontId="16" fillId="24" borderId="0" xfId="0" applyNumberFormat="1" applyFont="1" applyFill="1"/>
    <xf numFmtId="169" fontId="16" fillId="35" borderId="3" xfId="0" applyNumberFormat="1" applyFont="1" applyFill="1" applyBorder="1" applyAlignment="1">
      <alignment horizontal="right"/>
    </xf>
    <xf numFmtId="169" fontId="16" fillId="38" borderId="65" xfId="0" applyNumberFormat="1" applyFont="1" applyFill="1" applyBorder="1" applyAlignment="1">
      <alignment horizontal="right"/>
    </xf>
    <xf numFmtId="3" fontId="16" fillId="6" borderId="0" xfId="0" applyNumberFormat="1" applyFont="1" applyFill="1" applyAlignment="1">
      <alignment horizontal="center"/>
    </xf>
    <xf numFmtId="3" fontId="16" fillId="6" borderId="0" xfId="0" applyNumberFormat="1" applyFont="1" applyFill="1"/>
    <xf numFmtId="10" fontId="16" fillId="0" borderId="0" xfId="9" applyNumberFormat="1" applyFont="1" applyFill="1" applyBorder="1" applyAlignment="1">
      <alignment horizontal="center"/>
    </xf>
    <xf numFmtId="3" fontId="16" fillId="6" borderId="0" xfId="0" applyNumberFormat="1" applyFont="1" applyFill="1" applyAlignment="1">
      <alignment horizontal="left" indent="1"/>
    </xf>
    <xf numFmtId="10" fontId="16" fillId="0" borderId="0" xfId="9" applyNumberFormat="1" applyFont="1" applyFill="1" applyBorder="1" applyAlignment="1"/>
    <xf numFmtId="181" fontId="16" fillId="0" borderId="0" xfId="1" applyNumberFormat="1" applyFont="1" applyFill="1" applyBorder="1" applyAlignment="1"/>
    <xf numFmtId="165" fontId="16" fillId="0" borderId="0" xfId="1" applyFont="1" applyFill="1" applyBorder="1" applyAlignment="1"/>
    <xf numFmtId="168" fontId="16" fillId="0" borderId="9" xfId="0" applyNumberFormat="1" applyFont="1" applyBorder="1"/>
    <xf numFmtId="168" fontId="16" fillId="0" borderId="70" xfId="0" applyNumberFormat="1" applyFont="1" applyBorder="1"/>
    <xf numFmtId="3" fontId="16" fillId="35" borderId="69" xfId="0" applyNumberFormat="1" applyFont="1" applyFill="1" applyBorder="1"/>
    <xf numFmtId="3" fontId="16" fillId="51" borderId="69" xfId="0" applyNumberFormat="1" applyFont="1" applyFill="1" applyBorder="1"/>
    <xf numFmtId="3" fontId="31" fillId="52" borderId="0" xfId="0" applyNumberFormat="1" applyFont="1" applyFill="1"/>
    <xf numFmtId="1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Border="1"/>
    <xf numFmtId="3" fontId="16" fillId="0" borderId="26" xfId="0" applyNumberFormat="1" applyFont="1" applyBorder="1"/>
    <xf numFmtId="4" fontId="16" fillId="0" borderId="0" xfId="0" applyNumberFormat="1" applyFont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left"/>
    </xf>
    <xf numFmtId="3" fontId="16" fillId="0" borderId="14" xfId="0" applyNumberFormat="1" applyFont="1" applyBorder="1" applyAlignment="1">
      <alignment horizontal="center" vertical="center"/>
    </xf>
    <xf numFmtId="3" fontId="16" fillId="42" borderId="38" xfId="0" applyNumberFormat="1" applyFont="1" applyFill="1" applyBorder="1" applyAlignment="1">
      <alignment vertical="center" wrapText="1"/>
    </xf>
    <xf numFmtId="3" fontId="16" fillId="23" borderId="2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27" xfId="0" applyNumberFormat="1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center" vertical="center" wrapText="1"/>
    </xf>
    <xf numFmtId="169" fontId="16" fillId="38" borderId="30" xfId="0" applyNumberFormat="1" applyFont="1" applyFill="1" applyBorder="1" applyAlignment="1">
      <alignment horizontal="center" vertical="center" wrapText="1"/>
    </xf>
    <xf numFmtId="3" fontId="16" fillId="6" borderId="30" xfId="0" applyNumberFormat="1" applyFont="1" applyFill="1" applyBorder="1" applyAlignment="1">
      <alignment horizontal="center" vertical="center" wrapText="1"/>
    </xf>
    <xf numFmtId="3" fontId="16" fillId="39" borderId="2" xfId="0" applyNumberFormat="1" applyFont="1" applyFill="1" applyBorder="1" applyAlignment="1">
      <alignment horizontal="center" vertical="center" wrapText="1"/>
    </xf>
    <xf numFmtId="3" fontId="16" fillId="48" borderId="24" xfId="0" applyNumberFormat="1" applyFont="1" applyFill="1" applyBorder="1" applyAlignment="1">
      <alignment horizontal="center" vertical="center" wrapText="1"/>
    </xf>
    <xf numFmtId="3" fontId="16" fillId="17" borderId="34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6" fillId="29" borderId="34" xfId="0" applyNumberFormat="1" applyFont="1" applyFill="1" applyBorder="1" applyAlignment="1">
      <alignment horizontal="center" vertical="center" wrapText="1"/>
    </xf>
    <xf numFmtId="3" fontId="16" fillId="29" borderId="3" xfId="0" applyNumberFormat="1" applyFont="1" applyFill="1" applyBorder="1" applyAlignment="1">
      <alignment horizontal="center" vertical="center" wrapText="1"/>
    </xf>
    <xf numFmtId="3" fontId="16" fillId="25" borderId="3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Border="1"/>
    <xf numFmtId="4" fontId="16" fillId="0" borderId="32" xfId="0" applyNumberFormat="1" applyFont="1" applyBorder="1"/>
    <xf numFmtId="4" fontId="16" fillId="0" borderId="26" xfId="0" applyNumberFormat="1" applyFont="1" applyBorder="1"/>
    <xf numFmtId="3" fontId="16" fillId="35" borderId="8" xfId="0" applyNumberFormat="1" applyFont="1" applyFill="1" applyBorder="1"/>
    <xf numFmtId="3" fontId="16" fillId="51" borderId="8" xfId="0" applyNumberFormat="1" applyFont="1" applyFill="1" applyBorder="1"/>
    <xf numFmtId="3" fontId="31" fillId="53" borderId="69" xfId="0" applyNumberFormat="1" applyFont="1" applyFill="1" applyBorder="1"/>
    <xf numFmtId="3" fontId="16" fillId="7" borderId="30" xfId="0" applyNumberFormat="1" applyFont="1" applyFill="1" applyBorder="1"/>
    <xf numFmtId="168" fontId="0" fillId="7" borderId="8" xfId="0" applyNumberFormat="1" applyFill="1" applyBorder="1"/>
    <xf numFmtId="168" fontId="0" fillId="7" borderId="9" xfId="0" applyNumberFormat="1" applyFill="1" applyBorder="1"/>
    <xf numFmtId="168" fontId="0" fillId="7" borderId="13" xfId="0" applyNumberFormat="1" applyFill="1" applyBorder="1"/>
    <xf numFmtId="168" fontId="0" fillId="7" borderId="14" xfId="0" applyNumberFormat="1" applyFill="1" applyBorder="1"/>
    <xf numFmtId="168" fontId="4" fillId="7" borderId="7" xfId="0" applyNumberFormat="1" applyFont="1" applyFill="1" applyBorder="1"/>
    <xf numFmtId="168" fontId="4" fillId="7" borderId="8" xfId="0" applyNumberFormat="1" applyFont="1" applyFill="1" applyBorder="1"/>
    <xf numFmtId="168" fontId="4" fillId="0" borderId="69" xfId="0" applyNumberFormat="1" applyFont="1" applyBorder="1"/>
    <xf numFmtId="0" fontId="0" fillId="0" borderId="24" xfId="0" applyFont="1" applyBorder="1"/>
    <xf numFmtId="0" fontId="0" fillId="0" borderId="58" xfId="0" applyFont="1" applyBorder="1"/>
    <xf numFmtId="0" fontId="4" fillId="7" borderId="59" xfId="0" applyFont="1" applyFill="1" applyBorder="1"/>
    <xf numFmtId="0" fontId="4" fillId="0" borderId="48" xfId="0" applyFont="1" applyBorder="1"/>
    <xf numFmtId="0" fontId="4" fillId="16" borderId="48" xfId="0" applyFont="1" applyFill="1" applyBorder="1"/>
    <xf numFmtId="168" fontId="16" fillId="13" borderId="24" xfId="0" applyNumberFormat="1" applyFont="1" applyFill="1" applyBorder="1"/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168" fontId="4" fillId="0" borderId="71" xfId="0" applyNumberFormat="1" applyFont="1" applyBorder="1"/>
    <xf numFmtId="3" fontId="4" fillId="16" borderId="5" xfId="0" applyNumberFormat="1" applyFont="1" applyFill="1" applyBorder="1"/>
    <xf numFmtId="168" fontId="4" fillId="7" borderId="66" xfId="0" applyNumberFormat="1" applyFont="1" applyFill="1" applyBorder="1"/>
    <xf numFmtId="10" fontId="4" fillId="0" borderId="70" xfId="3" applyNumberFormat="1" applyFont="1" applyBorder="1"/>
    <xf numFmtId="9" fontId="4" fillId="7" borderId="9" xfId="3" applyFont="1" applyFill="1" applyBorder="1"/>
    <xf numFmtId="9" fontId="16" fillId="13" borderId="33" xfId="3" applyFont="1" applyFill="1" applyBorder="1"/>
    <xf numFmtId="0" fontId="14" fillId="0" borderId="0" xfId="16" applyFont="1"/>
    <xf numFmtId="0" fontId="58" fillId="0" borderId="0" xfId="16" applyFont="1" applyAlignment="1">
      <alignment horizontal="left"/>
    </xf>
    <xf numFmtId="0" fontId="59" fillId="0" borderId="0" xfId="16" applyFont="1" applyAlignment="1">
      <alignment horizontal="center"/>
    </xf>
    <xf numFmtId="0" fontId="18" fillId="0" borderId="0" xfId="16" applyFont="1" applyAlignment="1">
      <alignment horizontal="center"/>
    </xf>
    <xf numFmtId="0" fontId="19" fillId="0" borderId="0" xfId="16" applyFont="1" applyAlignment="1">
      <alignment horizontal="center"/>
    </xf>
    <xf numFmtId="0" fontId="20" fillId="0" borderId="0" xfId="16" applyFont="1"/>
    <xf numFmtId="0" fontId="61" fillId="0" borderId="0" xfId="16" applyFont="1"/>
    <xf numFmtId="2" fontId="30" fillId="0" borderId="27" xfId="16" applyNumberFormat="1" applyFont="1" applyBorder="1" applyAlignment="1">
      <alignment horizontal="left"/>
    </xf>
    <xf numFmtId="179" fontId="59" fillId="0" borderId="27" xfId="16" applyNumberFormat="1" applyFont="1" applyBorder="1"/>
    <xf numFmtId="174" fontId="59" fillId="0" borderId="27" xfId="16" applyNumberFormat="1" applyFont="1" applyBorder="1"/>
    <xf numFmtId="174" fontId="62" fillId="0" borderId="27" xfId="16" applyNumberFormat="1" applyFont="1" applyBorder="1"/>
    <xf numFmtId="0" fontId="20" fillId="0" borderId="0" xfId="16" applyFont="1" applyAlignment="1">
      <alignment horizontal="left"/>
    </xf>
    <xf numFmtId="0" fontId="14" fillId="0" borderId="0" xfId="17" applyFont="1"/>
    <xf numFmtId="0" fontId="14" fillId="0" borderId="0" xfId="16" applyFont="1" applyAlignment="1">
      <alignment horizontal="center" vertical="center" wrapText="1"/>
    </xf>
    <xf numFmtId="0" fontId="18" fillId="0" borderId="25" xfId="16" applyFont="1" applyBorder="1" applyAlignment="1">
      <alignment horizontal="center"/>
    </xf>
    <xf numFmtId="3" fontId="18" fillId="54" borderId="25" xfId="16" applyNumberFormat="1" applyFont="1" applyFill="1" applyBorder="1" applyAlignment="1">
      <alignment horizontal="center"/>
    </xf>
    <xf numFmtId="0" fontId="18" fillId="54" borderId="25" xfId="16" applyFont="1" applyFill="1" applyBorder="1" applyAlignment="1">
      <alignment horizontal="center"/>
    </xf>
    <xf numFmtId="3" fontId="19" fillId="54" borderId="25" xfId="16" applyNumberFormat="1" applyFont="1" applyFill="1" applyBorder="1" applyAlignment="1">
      <alignment horizontal="center"/>
    </xf>
    <xf numFmtId="0" fontId="19" fillId="54" borderId="25" xfId="16" applyFont="1" applyFill="1" applyBorder="1" applyAlignment="1">
      <alignment horizontal="center"/>
    </xf>
    <xf numFmtId="0" fontId="60" fillId="0" borderId="0" xfId="16" applyFont="1"/>
    <xf numFmtId="0" fontId="57" fillId="0" borderId="26" xfId="16" applyFont="1" applyBorder="1" applyAlignment="1">
      <alignment horizontal="center" vertical="center"/>
    </xf>
    <xf numFmtId="0" fontId="57" fillId="54" borderId="57" xfId="16" applyFont="1" applyFill="1" applyBorder="1" applyAlignment="1">
      <alignment horizontal="center" vertical="center"/>
    </xf>
    <xf numFmtId="0" fontId="57" fillId="54" borderId="27" xfId="16" applyFont="1" applyFill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/>
    </xf>
    <xf numFmtId="0" fontId="57" fillId="0" borderId="19" xfId="16" applyFont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 wrapText="1"/>
    </xf>
    <xf numFmtId="3" fontId="15" fillId="24" borderId="24" xfId="16" applyNumberFormat="1" applyFont="1" applyFill="1" applyBorder="1" applyAlignment="1">
      <alignment horizontal="left" vertical="center" wrapText="1"/>
    </xf>
    <xf numFmtId="3" fontId="14" fillId="24" borderId="19" xfId="16" applyNumberFormat="1" applyFont="1" applyFill="1" applyBorder="1" applyAlignment="1">
      <alignment vertical="center"/>
    </xf>
    <xf numFmtId="3" fontId="14" fillId="24" borderId="25" xfId="16" applyNumberFormat="1" applyFont="1" applyFill="1" applyBorder="1" applyAlignment="1">
      <alignment vertical="center"/>
    </xf>
    <xf numFmtId="3" fontId="17" fillId="34" borderId="59" xfId="16" applyNumberFormat="1" applyFont="1" applyFill="1" applyBorder="1" applyAlignment="1">
      <alignment horizontal="left" vertical="center" wrapText="1"/>
    </xf>
    <xf numFmtId="3" fontId="14" fillId="34" borderId="43" xfId="16" applyNumberFormat="1" applyFont="1" applyFill="1" applyBorder="1" applyAlignment="1">
      <alignment vertical="center" wrapText="1"/>
    </xf>
    <xf numFmtId="3" fontId="14" fillId="34" borderId="62" xfId="16" applyNumberFormat="1" applyFont="1" applyFill="1" applyBorder="1" applyAlignment="1">
      <alignment vertical="center" wrapText="1"/>
    </xf>
    <xf numFmtId="3" fontId="18" fillId="34" borderId="76" xfId="16" applyNumberFormat="1" applyFont="1" applyFill="1" applyBorder="1" applyAlignment="1">
      <alignment vertical="center" wrapText="1"/>
    </xf>
    <xf numFmtId="3" fontId="14" fillId="34" borderId="79" xfId="16" applyNumberFormat="1" applyFont="1" applyFill="1" applyBorder="1" applyAlignment="1">
      <alignment vertical="center"/>
    </xf>
    <xf numFmtId="3" fontId="14" fillId="34" borderId="77" xfId="16" applyNumberFormat="1" applyFont="1" applyFill="1" applyBorder="1" applyAlignment="1">
      <alignment vertical="center"/>
    </xf>
    <xf numFmtId="3" fontId="14" fillId="34" borderId="76" xfId="16" applyNumberFormat="1" applyFont="1" applyFill="1" applyBorder="1" applyAlignment="1">
      <alignment horizontal="left" vertical="center" wrapText="1"/>
    </xf>
    <xf numFmtId="3" fontId="18" fillId="34" borderId="76" xfId="16" applyNumberFormat="1" applyFont="1" applyFill="1" applyBorder="1" applyAlignment="1">
      <alignment horizontal="left" vertical="center" wrapText="1"/>
    </xf>
    <xf numFmtId="3" fontId="14" fillId="34" borderId="51" xfId="16" applyNumberFormat="1" applyFont="1" applyFill="1" applyBorder="1" applyAlignment="1">
      <alignment horizontal="left" vertical="center" wrapText="1"/>
    </xf>
    <xf numFmtId="3" fontId="14" fillId="34" borderId="75" xfId="16" applyNumberFormat="1" applyFont="1" applyFill="1" applyBorder="1" applyAlignment="1">
      <alignment vertical="center"/>
    </xf>
    <xf numFmtId="3" fontId="14" fillId="34" borderId="56" xfId="16" applyNumberFormat="1" applyFont="1" applyFill="1" applyBorder="1" applyAlignment="1">
      <alignment vertical="center"/>
    </xf>
    <xf numFmtId="3" fontId="17" fillId="14" borderId="59" xfId="16" applyNumberFormat="1" applyFont="1" applyFill="1" applyBorder="1" applyAlignment="1">
      <alignment horizontal="left" vertical="center" wrapText="1"/>
    </xf>
    <xf numFmtId="3" fontId="14" fillId="14" borderId="43" xfId="16" applyNumberFormat="1" applyFont="1" applyFill="1" applyBorder="1" applyAlignment="1">
      <alignment horizontal="right" vertical="center"/>
    </xf>
    <xf numFmtId="3" fontId="14" fillId="14" borderId="62" xfId="16" applyNumberFormat="1" applyFont="1" applyFill="1" applyBorder="1" applyAlignment="1">
      <alignment horizontal="right" vertical="center"/>
    </xf>
    <xf numFmtId="3" fontId="14" fillId="14" borderId="76" xfId="16" applyNumberFormat="1" applyFont="1" applyFill="1" applyBorder="1" applyAlignment="1">
      <alignment horizontal="left" vertical="center" wrapText="1"/>
    </xf>
    <xf numFmtId="3" fontId="14" fillId="14" borderId="77" xfId="16" applyNumberFormat="1" applyFont="1" applyFill="1" applyBorder="1" applyAlignment="1">
      <alignment horizontal="right" vertical="center"/>
    </xf>
    <xf numFmtId="3" fontId="14" fillId="14" borderId="79" xfId="16" applyNumberFormat="1" applyFont="1" applyFill="1" applyBorder="1" applyAlignment="1">
      <alignment horizontal="right" vertical="center"/>
    </xf>
    <xf numFmtId="3" fontId="14" fillId="14" borderId="51" xfId="16" applyNumberFormat="1" applyFont="1" applyFill="1" applyBorder="1" applyAlignment="1">
      <alignment horizontal="left" vertical="center" wrapText="1"/>
    </xf>
    <xf numFmtId="3" fontId="14" fillId="14" borderId="75" xfId="16" applyNumberFormat="1" applyFont="1" applyFill="1" applyBorder="1"/>
    <xf numFmtId="3" fontId="14" fillId="14" borderId="56" xfId="16" applyNumberFormat="1" applyFont="1" applyFill="1" applyBorder="1"/>
    <xf numFmtId="3" fontId="17" fillId="8" borderId="24" xfId="16" applyNumberFormat="1" applyFont="1" applyFill="1" applyBorder="1" applyAlignment="1">
      <alignment horizontal="left" vertical="center" wrapText="1"/>
    </xf>
    <xf numFmtId="3" fontId="14" fillId="8" borderId="25" xfId="16" applyNumberFormat="1" applyFont="1" applyFill="1" applyBorder="1"/>
    <xf numFmtId="3" fontId="14" fillId="8" borderId="19" xfId="16" applyNumberFormat="1" applyFont="1" applyFill="1" applyBorder="1"/>
    <xf numFmtId="3" fontId="14" fillId="8" borderId="19" xfId="16" applyNumberFormat="1" applyFont="1" applyFill="1" applyBorder="1" applyAlignment="1">
      <alignment vertical="center"/>
    </xf>
    <xf numFmtId="3" fontId="17" fillId="49" borderId="29" xfId="16" applyNumberFormat="1" applyFont="1" applyFill="1" applyBorder="1" applyAlignment="1">
      <alignment horizontal="left" vertical="center" wrapText="1"/>
    </xf>
    <xf numFmtId="3" fontId="14" fillId="49" borderId="41" xfId="16" applyNumberFormat="1" applyFont="1" applyFill="1" applyBorder="1" applyAlignment="1">
      <alignment horizontal="right" vertical="center" wrapText="1"/>
    </xf>
    <xf numFmtId="3" fontId="14" fillId="49" borderId="42" xfId="16" applyNumberFormat="1" applyFont="1" applyFill="1" applyBorder="1" applyAlignment="1">
      <alignment horizontal="right" vertical="center" wrapText="1"/>
    </xf>
    <xf numFmtId="3" fontId="14" fillId="49" borderId="76" xfId="16" applyNumberFormat="1" applyFont="1" applyFill="1" applyBorder="1" applyAlignment="1">
      <alignment horizontal="left" vertical="center" wrapText="1"/>
    </xf>
    <xf numFmtId="3" fontId="14" fillId="49" borderId="79" xfId="16" applyNumberFormat="1" applyFont="1" applyFill="1" applyBorder="1" applyAlignment="1">
      <alignment vertical="center"/>
    </xf>
    <xf numFmtId="3" fontId="14" fillId="49" borderId="77" xfId="16" applyNumberFormat="1" applyFont="1" applyFill="1" applyBorder="1" applyAlignment="1">
      <alignment vertical="center"/>
    </xf>
    <xf numFmtId="3" fontId="18" fillId="49" borderId="76" xfId="16" applyNumberFormat="1" applyFont="1" applyFill="1" applyBorder="1" applyAlignment="1">
      <alignment horizontal="left" vertical="center" wrapText="1"/>
    </xf>
    <xf numFmtId="3" fontId="14" fillId="49" borderId="51" xfId="16" applyNumberFormat="1" applyFont="1" applyFill="1" applyBorder="1" applyAlignment="1">
      <alignment horizontal="left" vertical="center" wrapText="1"/>
    </xf>
    <xf numFmtId="3" fontId="14" fillId="49" borderId="75" xfId="16" applyNumberFormat="1" applyFont="1" applyFill="1" applyBorder="1" applyAlignment="1">
      <alignment vertical="center"/>
    </xf>
    <xf numFmtId="3" fontId="14" fillId="49" borderId="56" xfId="16" applyNumberFormat="1" applyFont="1" applyFill="1" applyBorder="1" applyAlignment="1">
      <alignment vertical="center"/>
    </xf>
    <xf numFmtId="1" fontId="14" fillId="49" borderId="75" xfId="16" applyNumberFormat="1" applyFont="1" applyFill="1" applyBorder="1" applyAlignment="1">
      <alignment vertical="center"/>
    </xf>
    <xf numFmtId="0" fontId="0" fillId="49" borderId="91" xfId="0" applyFill="1" applyBorder="1" applyAlignment="1">
      <alignment horizontal="center"/>
    </xf>
    <xf numFmtId="0" fontId="0" fillId="49" borderId="93" xfId="0" applyFill="1" applyBorder="1" applyAlignment="1">
      <alignment horizontal="center"/>
    </xf>
    <xf numFmtId="0" fontId="0" fillId="49" borderId="92" xfId="0" applyFill="1" applyBorder="1" applyAlignment="1">
      <alignment horizontal="center"/>
    </xf>
    <xf numFmtId="0" fontId="0" fillId="49" borderId="39" xfId="0" applyFill="1" applyBorder="1" applyAlignment="1">
      <alignment horizontal="center"/>
    </xf>
    <xf numFmtId="0" fontId="0" fillId="49" borderId="20" xfId="0" applyFill="1" applyBorder="1"/>
    <xf numFmtId="0" fontId="0" fillId="49" borderId="72" xfId="0" applyFill="1" applyBorder="1" applyAlignment="1">
      <alignment horizontal="center"/>
    </xf>
    <xf numFmtId="0" fontId="0" fillId="49" borderId="78" xfId="0" applyFill="1" applyBorder="1"/>
    <xf numFmtId="0" fontId="0" fillId="49" borderId="78" xfId="0" quotePrefix="1" applyFill="1" applyBorder="1"/>
    <xf numFmtId="0" fontId="0" fillId="49" borderId="12" xfId="0" applyFill="1" applyBorder="1" applyAlignment="1">
      <alignment horizontal="center"/>
    </xf>
    <xf numFmtId="0" fontId="0" fillId="49" borderId="13" xfId="0" applyFill="1" applyBorder="1"/>
    <xf numFmtId="0" fontId="0" fillId="82" borderId="91" xfId="0" applyFill="1" applyBorder="1" applyAlignment="1">
      <alignment horizontal="center"/>
    </xf>
    <xf numFmtId="0" fontId="0" fillId="82" borderId="93" xfId="0" applyFill="1" applyBorder="1" applyAlignment="1">
      <alignment horizontal="center"/>
    </xf>
    <xf numFmtId="0" fontId="0" fillId="82" borderId="92" xfId="0" applyFill="1" applyBorder="1" applyAlignment="1">
      <alignment horizontal="center"/>
    </xf>
    <xf numFmtId="0" fontId="63" fillId="32" borderId="19" xfId="16" applyFont="1" applyFill="1" applyBorder="1" applyAlignment="1">
      <alignment horizontal="center" vertical="center"/>
    </xf>
    <xf numFmtId="3" fontId="64" fillId="54" borderId="25" xfId="16" applyNumberFormat="1" applyFont="1" applyFill="1" applyBorder="1" applyAlignment="1">
      <alignment horizontal="center"/>
    </xf>
    <xf numFmtId="3" fontId="65" fillId="24" borderId="23" xfId="16" applyNumberFormat="1" applyFont="1" applyFill="1" applyBorder="1" applyAlignment="1">
      <alignment vertical="center"/>
    </xf>
    <xf numFmtId="3" fontId="65" fillId="34" borderId="80" xfId="16" applyNumberFormat="1" applyFont="1" applyFill="1" applyBorder="1" applyAlignment="1">
      <alignment vertical="center"/>
    </xf>
    <xf numFmtId="3" fontId="65" fillId="34" borderId="53" xfId="16" applyNumberFormat="1" applyFont="1" applyFill="1" applyBorder="1" applyAlignment="1">
      <alignment vertical="center"/>
    </xf>
    <xf numFmtId="3" fontId="65" fillId="14" borderId="80" xfId="16" applyNumberFormat="1" applyFont="1" applyFill="1" applyBorder="1" applyAlignment="1">
      <alignment horizontal="right" vertical="center"/>
    </xf>
    <xf numFmtId="3" fontId="65" fillId="14" borderId="53" xfId="16" applyNumberFormat="1" applyFont="1" applyFill="1" applyBorder="1" applyAlignment="1">
      <alignment horizontal="right"/>
    </xf>
    <xf numFmtId="3" fontId="65" fillId="8" borderId="23" xfId="16" applyNumberFormat="1" applyFont="1" applyFill="1" applyBorder="1" applyAlignment="1">
      <alignment vertical="center"/>
    </xf>
    <xf numFmtId="3" fontId="65" fillId="49" borderId="80" xfId="16" applyNumberFormat="1" applyFont="1" applyFill="1" applyBorder="1" applyAlignment="1">
      <alignment horizontal="right" vertical="center"/>
    </xf>
    <xf numFmtId="3" fontId="65" fillId="49" borderId="80" xfId="16" applyNumberFormat="1" applyFont="1" applyFill="1" applyBorder="1" applyAlignment="1">
      <alignment horizontal="right" vertical="center" wrapText="1"/>
    </xf>
    <xf numFmtId="3" fontId="65" fillId="49" borderId="80" xfId="16" applyNumberFormat="1" applyFont="1" applyFill="1" applyBorder="1" applyAlignment="1">
      <alignment vertical="center"/>
    </xf>
    <xf numFmtId="3" fontId="65" fillId="49" borderId="53" xfId="16" applyNumberFormat="1" applyFont="1" applyFill="1" applyBorder="1" applyAlignment="1">
      <alignment horizontal="right" vertical="center" wrapText="1"/>
    </xf>
    <xf numFmtId="0" fontId="66" fillId="54" borderId="57" xfId="16" applyFont="1" applyFill="1" applyBorder="1" applyAlignment="1">
      <alignment horizontal="center" vertical="center" wrapText="1"/>
    </xf>
    <xf numFmtId="3" fontId="67" fillId="54" borderId="25" xfId="16" applyNumberFormat="1" applyFont="1" applyFill="1" applyBorder="1" applyAlignment="1">
      <alignment horizontal="center"/>
    </xf>
    <xf numFmtId="3" fontId="68" fillId="24" borderId="19" xfId="16" applyNumberFormat="1" applyFont="1" applyFill="1" applyBorder="1" applyAlignment="1">
      <alignment vertical="center"/>
    </xf>
    <xf numFmtId="3" fontId="68" fillId="34" borderId="43" xfId="16" applyNumberFormat="1" applyFont="1" applyFill="1" applyBorder="1" applyAlignment="1">
      <alignment vertical="center" wrapText="1"/>
    </xf>
    <xf numFmtId="3" fontId="68" fillId="34" borderId="77" xfId="16" applyNumberFormat="1" applyFont="1" applyFill="1" applyBorder="1" applyAlignment="1">
      <alignment vertical="center" wrapText="1"/>
    </xf>
    <xf numFmtId="3" fontId="68" fillId="34" borderId="56" xfId="16" applyNumberFormat="1" applyFont="1" applyFill="1" applyBorder="1" applyAlignment="1">
      <alignment vertical="center" wrapText="1"/>
    </xf>
    <xf numFmtId="3" fontId="68" fillId="14" borderId="43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 wrapText="1"/>
    </xf>
    <xf numFmtId="3" fontId="68" fillId="49" borderId="41" xfId="16" applyNumberFormat="1" applyFont="1" applyFill="1" applyBorder="1" applyAlignment="1">
      <alignment horizontal="right" vertical="center" wrapText="1"/>
    </xf>
    <xf numFmtId="3" fontId="68" fillId="49" borderId="77" xfId="16" applyNumberFormat="1" applyFont="1" applyFill="1" applyBorder="1" applyAlignment="1">
      <alignment horizontal="right" vertical="center" wrapText="1"/>
    </xf>
    <xf numFmtId="3" fontId="68" fillId="49" borderId="56" xfId="16" applyNumberFormat="1" applyFont="1" applyFill="1" applyBorder="1" applyAlignment="1">
      <alignment horizontal="right" vertical="center" wrapText="1"/>
    </xf>
    <xf numFmtId="3" fontId="68" fillId="14" borderId="56" xfId="16" applyNumberFormat="1" applyFont="1" applyFill="1" applyBorder="1" applyAlignment="1">
      <alignment horizontal="left" vertical="center" wrapText="1"/>
    </xf>
    <xf numFmtId="3" fontId="14" fillId="14" borderId="56" xfId="16" applyNumberFormat="1" applyFont="1" applyFill="1" applyBorder="1" applyAlignment="1">
      <alignment horizontal="right"/>
    </xf>
    <xf numFmtId="181" fontId="16" fillId="7" borderId="40" xfId="143" applyNumberFormat="1" applyFont="1" applyFill="1" applyBorder="1"/>
    <xf numFmtId="181" fontId="16" fillId="0" borderId="40" xfId="143" applyNumberFormat="1" applyFont="1" applyBorder="1"/>
    <xf numFmtId="0" fontId="16" fillId="0" borderId="0" xfId="143" applyNumberFormat="1" applyFont="1" applyFill="1" applyBorder="1" applyAlignment="1">
      <alignment horizontal="left" indent="1"/>
    </xf>
    <xf numFmtId="0" fontId="16" fillId="0" borderId="24" xfId="8" applyFont="1" applyBorder="1" applyAlignment="1">
      <alignment horizontal="center" vertical="center"/>
    </xf>
    <xf numFmtId="0" fontId="16" fillId="35" borderId="2" xfId="8" applyFont="1" applyFill="1" applyBorder="1" applyAlignment="1">
      <alignment horizontal="center" vertical="center" wrapText="1"/>
    </xf>
    <xf numFmtId="0" fontId="16" fillId="41" borderId="33" xfId="8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16" fillId="41" borderId="23" xfId="8" applyFont="1" applyFill="1" applyBorder="1" applyAlignment="1">
      <alignment horizontal="center" vertical="center" wrapText="1"/>
    </xf>
    <xf numFmtId="0" fontId="16" fillId="0" borderId="0" xfId="8" applyFont="1" applyAlignment="1">
      <alignment horizontal="center" vertical="center" wrapText="1"/>
    </xf>
    <xf numFmtId="0" fontId="16" fillId="0" borderId="24" xfId="8" applyFont="1" applyBorder="1" applyAlignment="1">
      <alignment horizontal="left" indent="1"/>
    </xf>
    <xf numFmtId="168" fontId="16" fillId="0" borderId="2" xfId="8" applyNumberFormat="1" applyFont="1" applyBorder="1" applyAlignment="1">
      <alignment horizontal="right" indent="1"/>
    </xf>
    <xf numFmtId="181" fontId="16" fillId="22" borderId="33" xfId="143" applyNumberFormat="1" applyFont="1" applyFill="1" applyBorder="1"/>
    <xf numFmtId="168" fontId="16" fillId="0" borderId="3" xfId="8" applyNumberFormat="1" applyFont="1" applyBorder="1" applyAlignment="1">
      <alignment horizontal="right" indent="1"/>
    </xf>
    <xf numFmtId="180" fontId="16" fillId="22" borderId="33" xfId="143" applyNumberFormat="1" applyFont="1" applyFill="1" applyBorder="1" applyAlignment="1">
      <alignment horizontal="right" indent="1"/>
    </xf>
    <xf numFmtId="0" fontId="16" fillId="0" borderId="39" xfId="8" applyFont="1" applyBorder="1" applyAlignment="1">
      <alignment horizontal="left" indent="1"/>
    </xf>
    <xf numFmtId="180" fontId="16" fillId="7" borderId="19" xfId="8" applyNumberFormat="1" applyFont="1" applyFill="1" applyBorder="1" applyAlignment="1">
      <alignment horizontal="right" indent="1"/>
    </xf>
    <xf numFmtId="0" fontId="16" fillId="0" borderId="0" xfId="8" applyFont="1" applyAlignment="1">
      <alignment horizontal="center"/>
    </xf>
    <xf numFmtId="0" fontId="16" fillId="7" borderId="41" xfId="0" applyFont="1" applyFill="1" applyBorder="1"/>
    <xf numFmtId="168" fontId="16" fillId="7" borderId="39" xfId="8" applyNumberFormat="1" applyFont="1" applyFill="1" applyBorder="1" applyAlignment="1">
      <alignment horizontal="right" indent="1"/>
    </xf>
    <xf numFmtId="168" fontId="16" fillId="7" borderId="20" xfId="8" applyNumberFormat="1" applyFont="1" applyFill="1" applyBorder="1" applyAlignment="1">
      <alignment horizontal="right" indent="1"/>
    </xf>
    <xf numFmtId="0" fontId="16" fillId="0" borderId="49" xfId="0" applyFont="1" applyBorder="1"/>
    <xf numFmtId="168" fontId="16" fillId="0" borderId="39" xfId="8" applyNumberFormat="1" applyFont="1" applyBorder="1" applyAlignment="1">
      <alignment horizontal="right" indent="1"/>
    </xf>
    <xf numFmtId="168" fontId="16" fillId="0" borderId="20" xfId="8" applyNumberFormat="1" applyFont="1" applyBorder="1" applyAlignment="1">
      <alignment horizontal="right" indent="1"/>
    </xf>
    <xf numFmtId="0" fontId="16" fillId="0" borderId="48" xfId="0" applyFont="1" applyBorder="1"/>
    <xf numFmtId="0" fontId="16" fillId="16" borderId="49" xfId="0" applyFont="1" applyFill="1" applyBorder="1"/>
    <xf numFmtId="0" fontId="16" fillId="7" borderId="52" xfId="0" applyFont="1" applyFill="1" applyBorder="1"/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4" fillId="0" borderId="77" xfId="0" applyFont="1" applyBorder="1"/>
    <xf numFmtId="3" fontId="16" fillId="0" borderId="0" xfId="13" applyNumberFormat="1" applyFont="1" applyAlignment="1">
      <alignment horizontal="center"/>
    </xf>
    <xf numFmtId="3" fontId="16" fillId="0" borderId="10" xfId="13" applyNumberFormat="1" applyFont="1" applyBorder="1" applyAlignment="1">
      <alignment horizontal="center"/>
    </xf>
    <xf numFmtId="3" fontId="21" fillId="0" borderId="0" xfId="13" applyNumberFormat="1" applyFont="1" applyAlignment="1">
      <alignment horizontal="center"/>
    </xf>
    <xf numFmtId="4" fontId="16" fillId="0" borderId="0" xfId="13" applyNumberFormat="1" applyFont="1" applyAlignment="1">
      <alignment horizontal="center"/>
    </xf>
    <xf numFmtId="3" fontId="68" fillId="8" borderId="19" xfId="16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3" fontId="68" fillId="14" borderId="56" xfId="16" applyNumberFormat="1" applyFont="1" applyFill="1" applyBorder="1" applyAlignment="1">
      <alignment horizontal="right" vertical="center" wrapText="1"/>
    </xf>
    <xf numFmtId="3" fontId="17" fillId="8" borderId="24" xfId="16" applyNumberFormat="1" applyFont="1" applyFill="1" applyBorder="1" applyAlignment="1">
      <alignment vertical="center" wrapText="1"/>
    </xf>
    <xf numFmtId="3" fontId="68" fillId="8" borderId="19" xfId="16" applyNumberFormat="1" applyFont="1" applyFill="1" applyBorder="1" applyAlignment="1">
      <alignment vertical="center" wrapText="1"/>
    </xf>
    <xf numFmtId="3" fontId="14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4" fillId="7" borderId="6" xfId="5" applyFill="1" applyBorder="1"/>
    <xf numFmtId="0" fontId="0" fillId="0" borderId="99" xfId="0" applyBorder="1"/>
    <xf numFmtId="0" fontId="4" fillId="0" borderId="76" xfId="0" applyFont="1" applyBorder="1"/>
    <xf numFmtId="0" fontId="0" fillId="16" borderId="99" xfId="0" applyFill="1" applyBorder="1"/>
    <xf numFmtId="0" fontId="4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8" fontId="0" fillId="7" borderId="7" xfId="0" applyNumberFormat="1" applyFill="1" applyBorder="1"/>
    <xf numFmtId="168" fontId="0" fillId="12" borderId="72" xfId="0" applyNumberFormat="1" applyFill="1" applyBorder="1"/>
    <xf numFmtId="168" fontId="0" fillId="12" borderId="98" xfId="0" applyNumberFormat="1" applyFill="1" applyBorder="1"/>
    <xf numFmtId="168" fontId="0" fillId="6" borderId="98" xfId="0" applyNumberFormat="1" applyFill="1" applyBorder="1"/>
    <xf numFmtId="168" fontId="0" fillId="0" borderId="96" xfId="0" applyNumberFormat="1" applyBorder="1"/>
    <xf numFmtId="168" fontId="0" fillId="7" borderId="12" xfId="0" applyNumberFormat="1" applyFill="1" applyBorder="1"/>
    <xf numFmtId="0" fontId="4" fillId="7" borderId="43" xfId="0" applyFont="1" applyFill="1" applyBorder="1"/>
    <xf numFmtId="168" fontId="4" fillId="7" borderId="9" xfId="0" applyNumberFormat="1" applyFont="1" applyFill="1" applyBorder="1"/>
    <xf numFmtId="168" fontId="4" fillId="7" borderId="43" xfId="0" applyNumberFormat="1" applyFont="1" applyFill="1" applyBorder="1"/>
    <xf numFmtId="168" fontId="4" fillId="0" borderId="72" xfId="0" applyNumberFormat="1" applyFont="1" applyBorder="1"/>
    <xf numFmtId="168" fontId="4" fillId="0" borderId="98" xfId="0" applyNumberFormat="1" applyFont="1" applyBorder="1"/>
    <xf numFmtId="168" fontId="4" fillId="0" borderId="96" xfId="0" applyNumberFormat="1" applyFont="1" applyBorder="1"/>
    <xf numFmtId="3" fontId="4" fillId="16" borderId="77" xfId="0" applyNumberFormat="1" applyFont="1" applyFill="1" applyBorder="1"/>
    <xf numFmtId="0" fontId="4" fillId="16" borderId="77" xfId="0" applyFont="1" applyFill="1" applyBorder="1"/>
    <xf numFmtId="0" fontId="4" fillId="7" borderId="95" xfId="0" applyFont="1" applyFill="1" applyBorder="1"/>
    <xf numFmtId="166" fontId="16" fillId="7" borderId="59" xfId="8" applyNumberFormat="1" applyFont="1" applyFill="1" applyBorder="1"/>
    <xf numFmtId="166" fontId="16" fillId="7" borderId="7" xfId="8" applyNumberFormat="1" applyFont="1" applyFill="1" applyBorder="1" applyAlignment="1">
      <alignment horizontal="center"/>
    </xf>
    <xf numFmtId="166" fontId="16" fillId="7" borderId="9" xfId="8" applyNumberFormat="1" applyFont="1" applyFill="1" applyBorder="1"/>
    <xf numFmtId="0" fontId="17" fillId="7" borderId="43" xfId="0" applyFont="1" applyFill="1" applyBorder="1"/>
    <xf numFmtId="171" fontId="16" fillId="7" borderId="8" xfId="3" applyNumberFormat="1" applyFont="1" applyFill="1" applyBorder="1" applyAlignment="1">
      <alignment horizontal="center"/>
    </xf>
    <xf numFmtId="171" fontId="16" fillId="7" borderId="9" xfId="3" applyNumberFormat="1" applyFont="1" applyFill="1" applyBorder="1" applyAlignment="1">
      <alignment horizontal="center"/>
    </xf>
    <xf numFmtId="171" fontId="16" fillId="7" borderId="13" xfId="0" applyNumberFormat="1" applyFont="1" applyFill="1" applyBorder="1" applyAlignment="1">
      <alignment horizontal="center"/>
    </xf>
    <xf numFmtId="171" fontId="16" fillId="7" borderId="14" xfId="0" applyNumberFormat="1" applyFont="1" applyFill="1" applyBorder="1" applyAlignment="1">
      <alignment horizontal="center"/>
    </xf>
    <xf numFmtId="0" fontId="69" fillId="82" borderId="93" xfId="0" applyFont="1" applyFill="1" applyBorder="1" applyAlignment="1">
      <alignment horizontal="center"/>
    </xf>
    <xf numFmtId="0" fontId="69" fillId="0" borderId="0" xfId="0" applyFont="1"/>
    <xf numFmtId="0" fontId="16" fillId="7" borderId="43" xfId="0" applyFont="1" applyFill="1" applyBorder="1"/>
    <xf numFmtId="9" fontId="16" fillId="7" borderId="43" xfId="3" applyNumberFormat="1" applyFont="1" applyFill="1" applyBorder="1" applyAlignment="1">
      <alignment horizontal="right"/>
    </xf>
    <xf numFmtId="0" fontId="16" fillId="0" borderId="77" xfId="0" applyFont="1" applyBorder="1"/>
    <xf numFmtId="4" fontId="16" fillId="0" borderId="77" xfId="0" applyNumberFormat="1" applyFont="1" applyBorder="1" applyAlignment="1">
      <alignment horizontal="right"/>
    </xf>
    <xf numFmtId="169" fontId="16" fillId="6" borderId="72" xfId="0" applyNumberFormat="1" applyFont="1" applyFill="1" applyBorder="1" applyAlignment="1">
      <alignment horizontal="right"/>
    </xf>
    <xf numFmtId="3" fontId="16" fillId="0" borderId="98" xfId="0" applyNumberFormat="1" applyFont="1" applyBorder="1" applyAlignment="1">
      <alignment horizontal="right"/>
    </xf>
    <xf numFmtId="179" fontId="16" fillId="31" borderId="98" xfId="0" applyNumberFormat="1" applyFont="1" applyFill="1" applyBorder="1" applyAlignment="1">
      <alignment horizontal="right"/>
    </xf>
    <xf numFmtId="3" fontId="16" fillId="4" borderId="100" xfId="4" applyNumberFormat="1" applyFont="1" applyBorder="1" applyAlignment="1">
      <alignment horizontal="right" indent="1"/>
    </xf>
    <xf numFmtId="0" fontId="16" fillId="0" borderId="76" xfId="0" applyFont="1" applyBorder="1"/>
    <xf numFmtId="0" fontId="16" fillId="16" borderId="77" xfId="0" applyFont="1" applyFill="1" applyBorder="1"/>
    <xf numFmtId="0" fontId="16" fillId="7" borderId="56" xfId="0" applyFont="1" applyFill="1" applyBorder="1"/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168" fontId="16" fillId="7" borderId="11" xfId="0" applyNumberFormat="1" applyFont="1" applyFill="1" applyBorder="1"/>
    <xf numFmtId="171" fontId="16" fillId="0" borderId="98" xfId="3" applyNumberFormat="1" applyFont="1" applyBorder="1"/>
    <xf numFmtId="171" fontId="16" fillId="7" borderId="66" xfId="3" applyNumberFormat="1" applyFont="1" applyFill="1" applyBorder="1" applyAlignment="1">
      <alignment horizontal="center"/>
    </xf>
    <xf numFmtId="171" fontId="16" fillId="7" borderId="54" xfId="0" applyNumberFormat="1" applyFont="1" applyFill="1" applyBorder="1" applyAlignment="1">
      <alignment horizontal="center"/>
    </xf>
    <xf numFmtId="171" fontId="16" fillId="7" borderId="7" xfId="3" applyNumberFormat="1" applyFont="1" applyFill="1" applyBorder="1"/>
    <xf numFmtId="171" fontId="16" fillId="7" borderId="8" xfId="3" applyNumberFormat="1" applyFont="1" applyFill="1" applyBorder="1"/>
    <xf numFmtId="171" fontId="16" fillId="7" borderId="9" xfId="3" applyNumberFormat="1" applyFont="1" applyFill="1" applyBorder="1"/>
    <xf numFmtId="171" fontId="16" fillId="0" borderId="72" xfId="3" applyNumberFormat="1" applyFont="1" applyBorder="1"/>
    <xf numFmtId="171" fontId="16" fillId="0" borderId="96" xfId="3" applyNumberFormat="1" applyFont="1" applyBorder="1"/>
    <xf numFmtId="4" fontId="16" fillId="7" borderId="59" xfId="0" applyNumberFormat="1" applyFont="1" applyFill="1" applyBorder="1" applyAlignment="1">
      <alignment horizontal="right"/>
    </xf>
    <xf numFmtId="4" fontId="16" fillId="7" borderId="63" xfId="0" applyNumberFormat="1" applyFont="1" applyFill="1" applyBorder="1" applyAlignment="1">
      <alignment horizontal="right"/>
    </xf>
    <xf numFmtId="4" fontId="16" fillId="0" borderId="76" xfId="0" applyNumberFormat="1" applyFont="1" applyBorder="1" applyAlignment="1">
      <alignment horizontal="right"/>
    </xf>
    <xf numFmtId="4" fontId="21" fillId="7" borderId="51" xfId="0" applyNumberFormat="1" applyFon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6" fillId="7" borderId="8" xfId="0" applyNumberFormat="1" applyFont="1" applyFill="1" applyBorder="1" applyAlignment="1">
      <alignment horizontal="right"/>
    </xf>
    <xf numFmtId="9" fontId="16" fillId="7" borderId="43" xfId="3" applyFont="1" applyFill="1" applyBorder="1" applyAlignment="1">
      <alignment horizontal="right"/>
    </xf>
    <xf numFmtId="3" fontId="16" fillId="7" borderId="66" xfId="0" applyNumberFormat="1" applyFont="1" applyFill="1" applyBorder="1"/>
    <xf numFmtId="3" fontId="16" fillId="7" borderId="63" xfId="0" applyNumberFormat="1" applyFont="1" applyFill="1" applyBorder="1"/>
    <xf numFmtId="3" fontId="16" fillId="7" borderId="7" xfId="0" applyNumberFormat="1" applyFont="1" applyFill="1" applyBorder="1"/>
    <xf numFmtId="3" fontId="16" fillId="7" borderId="62" xfId="0" applyNumberFormat="1" applyFont="1" applyFill="1" applyBorder="1"/>
    <xf numFmtId="3" fontId="16" fillId="7" borderId="9" xfId="0" applyNumberFormat="1" applyFont="1" applyFill="1" applyBorder="1"/>
    <xf numFmtId="172" fontId="16" fillId="7" borderId="66" xfId="0" applyNumberFormat="1" applyFont="1" applyFill="1" applyBorder="1"/>
    <xf numFmtId="172" fontId="16" fillId="7" borderId="8" xfId="0" applyNumberFormat="1" applyFont="1" applyFill="1" applyBorder="1"/>
    <xf numFmtId="3" fontId="16" fillId="7" borderId="8" xfId="0" applyNumberFormat="1" applyFont="1" applyFill="1" applyBorder="1"/>
    <xf numFmtId="3" fontId="16" fillId="7" borderId="6" xfId="0" applyNumberFormat="1" applyFont="1" applyFill="1" applyBorder="1"/>
    <xf numFmtId="4" fontId="16" fillId="7" borderId="43" xfId="0" applyNumberFormat="1" applyFont="1" applyFill="1" applyBorder="1" applyAlignment="1">
      <alignment vertical="center"/>
    </xf>
    <xf numFmtId="9" fontId="16" fillId="7" borderId="43" xfId="3" applyFont="1" applyFill="1" applyBorder="1" applyAlignment="1">
      <alignment vertical="center"/>
    </xf>
    <xf numFmtId="3" fontId="16" fillId="0" borderId="72" xfId="0" applyNumberFormat="1" applyFont="1" applyBorder="1"/>
    <xf numFmtId="3" fontId="16" fillId="0" borderId="96" xfId="0" applyNumberFormat="1" applyFont="1" applyBorder="1"/>
    <xf numFmtId="4" fontId="16" fillId="0" borderId="77" xfId="0" applyNumberFormat="1" applyFont="1" applyBorder="1" applyAlignment="1">
      <alignment vertical="center"/>
    </xf>
    <xf numFmtId="171" fontId="16" fillId="0" borderId="77" xfId="3" applyNumberFormat="1" applyFont="1" applyBorder="1" applyAlignment="1">
      <alignment vertical="center"/>
    </xf>
    <xf numFmtId="3" fontId="25" fillId="7" borderId="72" xfId="0" applyNumberFormat="1" applyFont="1" applyFill="1" applyBorder="1"/>
    <xf numFmtId="3" fontId="25" fillId="7" borderId="96" xfId="0" applyNumberFormat="1" applyFont="1" applyFill="1" applyBorder="1"/>
    <xf numFmtId="171" fontId="16" fillId="0" borderId="77" xfId="3" quotePrefix="1" applyNumberFormat="1" applyFont="1" applyBorder="1" applyAlignment="1">
      <alignment vertical="center"/>
    </xf>
    <xf numFmtId="3" fontId="16" fillId="7" borderId="65" xfId="0" applyNumberFormat="1" applyFont="1" applyFill="1" applyBorder="1"/>
    <xf numFmtId="169" fontId="16" fillId="7" borderId="65" xfId="0" applyNumberFormat="1" applyFont="1" applyFill="1" applyBorder="1"/>
    <xf numFmtId="9" fontId="16" fillId="7" borderId="57" xfId="3" applyNumberFormat="1" applyFont="1" applyFill="1" applyBorder="1"/>
    <xf numFmtId="3" fontId="16" fillId="7" borderId="57" xfId="0" applyNumberFormat="1" applyFont="1" applyFill="1" applyBorder="1"/>
    <xf numFmtId="3" fontId="16" fillId="7" borderId="28" xfId="0" applyNumberFormat="1" applyFont="1" applyFill="1" applyBorder="1"/>
    <xf numFmtId="3" fontId="16" fillId="0" borderId="101" xfId="0" applyNumberFormat="1" applyFont="1" applyBorder="1"/>
    <xf numFmtId="3" fontId="25" fillId="7" borderId="101" xfId="0" applyNumberFormat="1" applyFont="1" applyFill="1" applyBorder="1"/>
    <xf numFmtId="3" fontId="16" fillId="0" borderId="99" xfId="0" applyNumberFormat="1" applyFont="1" applyBorder="1"/>
    <xf numFmtId="3" fontId="16" fillId="7" borderId="27" xfId="0" applyNumberFormat="1" applyFont="1" applyFill="1" applyBorder="1"/>
    <xf numFmtId="172" fontId="16" fillId="7" borderId="7" xfId="0" applyNumberFormat="1" applyFont="1" applyFill="1" applyBorder="1"/>
    <xf numFmtId="172" fontId="16" fillId="0" borderId="39" xfId="0" applyNumberFormat="1" applyFont="1" applyBorder="1"/>
    <xf numFmtId="169" fontId="16" fillId="7" borderId="30" xfId="0" applyNumberFormat="1" applyFont="1" applyFill="1" applyBorder="1"/>
    <xf numFmtId="4" fontId="16" fillId="7" borderId="62" xfId="0" applyNumberFormat="1" applyFont="1" applyFill="1" applyBorder="1" applyAlignment="1">
      <alignment vertical="center"/>
    </xf>
    <xf numFmtId="4" fontId="16" fillId="0" borderId="97" xfId="0" applyNumberFormat="1" applyFont="1" applyBorder="1" applyAlignment="1">
      <alignment vertical="center"/>
    </xf>
    <xf numFmtId="9" fontId="16" fillId="7" borderId="63" xfId="3" applyFont="1" applyFill="1" applyBorder="1" applyAlignment="1">
      <alignment vertical="center"/>
    </xf>
    <xf numFmtId="171" fontId="16" fillId="0" borderId="100" xfId="3" applyNumberFormat="1" applyFont="1" applyBorder="1" applyAlignment="1">
      <alignment vertical="center"/>
    </xf>
    <xf numFmtId="10" fontId="16" fillId="7" borderId="28" xfId="3" applyNumberFormat="1" applyFont="1" applyFill="1" applyBorder="1"/>
    <xf numFmtId="3" fontId="16" fillId="7" borderId="99" xfId="0" applyNumberFormat="1" applyFont="1" applyFill="1" applyBorder="1"/>
    <xf numFmtId="4" fontId="16" fillId="0" borderId="31" xfId="0" applyNumberFormat="1" applyFont="1" applyBorder="1"/>
    <xf numFmtId="4" fontId="16" fillId="0" borderId="55" xfId="0" applyNumberFormat="1" applyFont="1" applyBorder="1"/>
    <xf numFmtId="4" fontId="16" fillId="0" borderId="28" xfId="0" applyNumberFormat="1" applyFont="1" applyBorder="1"/>
    <xf numFmtId="4" fontId="16" fillId="25" borderId="30" xfId="0" applyNumberFormat="1" applyFont="1" applyFill="1" applyBorder="1"/>
    <xf numFmtId="0" fontId="4" fillId="16" borderId="76" xfId="0" applyFont="1" applyFill="1" applyBorder="1"/>
    <xf numFmtId="4" fontId="16" fillId="16" borderId="101" xfId="0" applyNumberFormat="1" applyFont="1" applyFill="1" applyBorder="1"/>
    <xf numFmtId="4" fontId="16" fillId="0" borderId="65" xfId="0" applyNumberFormat="1" applyFont="1" applyBorder="1"/>
    <xf numFmtId="4" fontId="16" fillId="7" borderId="8" xfId="0" applyNumberFormat="1" applyFont="1" applyFill="1" applyBorder="1"/>
    <xf numFmtId="4" fontId="16" fillId="0" borderId="98" xfId="0" applyNumberFormat="1" applyFont="1" applyBorder="1"/>
    <xf numFmtId="3" fontId="16" fillId="9" borderId="99" xfId="0" applyNumberFormat="1" applyFont="1" applyFill="1" applyBorder="1"/>
    <xf numFmtId="3" fontId="16" fillId="14" borderId="42" xfId="0" applyNumberFormat="1" applyFont="1" applyFill="1" applyBorder="1"/>
    <xf numFmtId="4" fontId="16" fillId="25" borderId="65" xfId="0" applyNumberFormat="1" applyFont="1" applyFill="1" applyBorder="1"/>
    <xf numFmtId="3" fontId="16" fillId="7" borderId="59" xfId="0" applyNumberFormat="1" applyFont="1" applyFill="1" applyBorder="1"/>
    <xf numFmtId="175" fontId="16" fillId="7" borderId="8" xfId="9" applyNumberFormat="1" applyFont="1" applyFill="1" applyBorder="1"/>
    <xf numFmtId="3" fontId="16" fillId="16" borderId="98" xfId="0" applyNumberFormat="1" applyFont="1" applyFill="1" applyBorder="1"/>
    <xf numFmtId="3" fontId="16" fillId="0" borderId="98" xfId="0" applyNumberFormat="1" applyFont="1" applyBorder="1"/>
    <xf numFmtId="175" fontId="16" fillId="0" borderId="98" xfId="9" applyNumberFormat="1" applyFont="1" applyFill="1" applyBorder="1"/>
    <xf numFmtId="4" fontId="16" fillId="0" borderId="45" xfId="0" applyNumberFormat="1" applyFont="1" applyBorder="1"/>
    <xf numFmtId="4" fontId="16" fillId="14" borderId="45" xfId="0" applyNumberFormat="1" applyFont="1" applyFill="1" applyBorder="1"/>
    <xf numFmtId="4" fontId="16" fillId="14" borderId="65" xfId="0" applyNumberFormat="1" applyFont="1" applyFill="1" applyBorder="1"/>
    <xf numFmtId="3" fontId="16" fillId="0" borderId="27" xfId="0" applyNumberFormat="1" applyFont="1" applyBorder="1"/>
    <xf numFmtId="4" fontId="16" fillId="0" borderId="57" xfId="0" applyNumberFormat="1" applyFont="1" applyBorder="1"/>
    <xf numFmtId="43" fontId="16" fillId="49" borderId="45" xfId="0" applyNumberFormat="1" applyFont="1" applyFill="1" applyBorder="1"/>
    <xf numFmtId="3" fontId="16" fillId="0" borderId="65" xfId="0" applyNumberFormat="1" applyFont="1" applyBorder="1"/>
    <xf numFmtId="3" fontId="16" fillId="7" borderId="43" xfId="0" applyNumberFormat="1" applyFont="1" applyFill="1" applyBorder="1"/>
    <xf numFmtId="3" fontId="16" fillId="9" borderId="41" xfId="0" applyNumberFormat="1" applyFont="1" applyFill="1" applyBorder="1"/>
    <xf numFmtId="169" fontId="16" fillId="7" borderId="29" xfId="0" applyNumberFormat="1" applyFont="1" applyFill="1" applyBorder="1"/>
    <xf numFmtId="169" fontId="16" fillId="0" borderId="26" xfId="0" applyNumberFormat="1" applyFont="1" applyBorder="1"/>
    <xf numFmtId="168" fontId="16" fillId="0" borderId="27" xfId="0" applyNumberFormat="1" applyFont="1" applyBorder="1"/>
    <xf numFmtId="4" fontId="16" fillId="7" borderId="59" xfId="0" applyNumberFormat="1" applyFont="1" applyFill="1" applyBorder="1"/>
    <xf numFmtId="4" fontId="16" fillId="7" borderId="6" xfId="0" applyNumberFormat="1" applyFont="1" applyFill="1" applyBorder="1"/>
    <xf numFmtId="169" fontId="16" fillId="7" borderId="9" xfId="0" applyNumberFormat="1" applyFont="1" applyFill="1" applyBorder="1"/>
    <xf numFmtId="169" fontId="16" fillId="0" borderId="29" xfId="0" applyNumberFormat="1" applyFont="1" applyBorder="1"/>
    <xf numFmtId="4" fontId="16" fillId="7" borderId="66" xfId="0" applyNumberFormat="1" applyFont="1" applyFill="1" applyBorder="1"/>
    <xf numFmtId="43" fontId="16" fillId="7" borderId="66" xfId="0" applyNumberFormat="1" applyFont="1" applyFill="1" applyBorder="1"/>
    <xf numFmtId="169" fontId="16" fillId="7" borderId="59" xfId="0" applyNumberFormat="1" applyFont="1" applyFill="1" applyBorder="1"/>
    <xf numFmtId="9" fontId="16" fillId="7" borderId="62" xfId="3" applyFont="1" applyFill="1" applyBorder="1"/>
    <xf numFmtId="0" fontId="4" fillId="7" borderId="51" xfId="0" applyFont="1" applyFill="1" applyBorder="1"/>
    <xf numFmtId="3" fontId="16" fillId="7" borderId="12" xfId="0" applyNumberFormat="1" applyFont="1" applyFill="1" applyBorder="1"/>
    <xf numFmtId="4" fontId="16" fillId="7" borderId="13" xfId="0" applyNumberFormat="1" applyFont="1" applyFill="1" applyBorder="1"/>
    <xf numFmtId="3" fontId="16" fillId="7" borderId="14" xfId="0" applyNumberFormat="1" applyFont="1" applyFill="1" applyBorder="1"/>
    <xf numFmtId="4" fontId="16" fillId="7" borderId="54" xfId="0" applyNumberFormat="1" applyFont="1" applyFill="1" applyBorder="1"/>
    <xf numFmtId="3" fontId="16" fillId="7" borderId="11" xfId="0" applyNumberFormat="1" applyFont="1" applyFill="1" applyBorder="1"/>
    <xf numFmtId="3" fontId="16" fillId="7" borderId="13" xfId="0" applyNumberFormat="1" applyFont="1" applyFill="1" applyBorder="1"/>
    <xf numFmtId="3" fontId="25" fillId="7" borderId="13" xfId="0" applyNumberFormat="1" applyFont="1" applyFill="1" applyBorder="1"/>
    <xf numFmtId="3" fontId="16" fillId="7" borderId="54" xfId="0" applyNumberFormat="1" applyFont="1" applyFill="1" applyBorder="1"/>
    <xf numFmtId="166" fontId="16" fillId="7" borderId="54" xfId="0" applyNumberFormat="1" applyFont="1" applyFill="1" applyBorder="1"/>
    <xf numFmtId="4" fontId="16" fillId="7" borderId="12" xfId="0" applyNumberFormat="1" applyFont="1" applyFill="1" applyBorder="1"/>
    <xf numFmtId="3" fontId="16" fillId="7" borderId="56" xfId="0" applyNumberFormat="1" applyFont="1" applyFill="1" applyBorder="1"/>
    <xf numFmtId="4" fontId="16" fillId="7" borderId="11" xfId="0" applyNumberFormat="1" applyFont="1" applyFill="1" applyBorder="1"/>
    <xf numFmtId="3" fontId="16" fillId="7" borderId="75" xfId="0" applyNumberFormat="1" applyFont="1" applyFill="1" applyBorder="1"/>
    <xf numFmtId="171" fontId="16" fillId="7" borderId="75" xfId="3" applyNumberFormat="1" applyFont="1" applyFill="1" applyBorder="1"/>
    <xf numFmtId="169" fontId="16" fillId="7" borderId="14" xfId="0" applyNumberFormat="1" applyFont="1" applyFill="1" applyBorder="1"/>
    <xf numFmtId="169" fontId="16" fillId="0" borderId="20" xfId="0" applyNumberFormat="1" applyFont="1" applyBorder="1"/>
    <xf numFmtId="169" fontId="16" fillId="7" borderId="11" xfId="0" applyNumberFormat="1" applyFont="1" applyFill="1" applyBorder="1"/>
    <xf numFmtId="1" fontId="16" fillId="0" borderId="72" xfId="0" applyNumberFormat="1" applyFont="1" applyBorder="1"/>
    <xf numFmtId="1" fontId="16" fillId="0" borderId="96" xfId="0" applyNumberFormat="1" applyFont="1" applyBorder="1"/>
    <xf numFmtId="1" fontId="16" fillId="45" borderId="72" xfId="0" applyNumberFormat="1" applyFont="1" applyFill="1" applyBorder="1"/>
    <xf numFmtId="1" fontId="4" fillId="16" borderId="96" xfId="0" applyNumberFormat="1" applyFont="1" applyFill="1" applyBorder="1"/>
    <xf numFmtId="4" fontId="16" fillId="16" borderId="72" xfId="0" applyNumberFormat="1" applyFont="1" applyFill="1" applyBorder="1"/>
    <xf numFmtId="3" fontId="16" fillId="45" borderId="96" xfId="0" applyNumberFormat="1" applyFont="1" applyFill="1" applyBorder="1"/>
    <xf numFmtId="4" fontId="16" fillId="45" borderId="72" xfId="0" applyNumberFormat="1" applyFont="1" applyFill="1" applyBorder="1"/>
    <xf numFmtId="3" fontId="4" fillId="16" borderId="96" xfId="0" applyNumberFormat="1" applyFont="1" applyFill="1" applyBorder="1"/>
    <xf numFmtId="168" fontId="16" fillId="7" borderId="7" xfId="8" applyNumberFormat="1" applyFont="1" applyFill="1" applyBorder="1" applyAlignment="1">
      <alignment horizontal="right" indent="1"/>
    </xf>
    <xf numFmtId="181" fontId="16" fillId="7" borderId="9" xfId="143" applyNumberFormat="1" applyFont="1" applyFill="1" applyBorder="1"/>
    <xf numFmtId="168" fontId="16" fillId="7" borderId="8" xfId="8" applyNumberFormat="1" applyFont="1" applyFill="1" applyBorder="1" applyAlignment="1">
      <alignment horizontal="right" indent="1"/>
    </xf>
    <xf numFmtId="168" fontId="16" fillId="7" borderId="30" xfId="8" applyNumberFormat="1" applyFont="1" applyFill="1" applyBorder="1" applyAlignment="1">
      <alignment horizontal="right" indent="1"/>
    </xf>
    <xf numFmtId="181" fontId="16" fillId="7" borderId="32" xfId="143" applyNumberFormat="1" applyFont="1" applyFill="1" applyBorder="1"/>
    <xf numFmtId="168" fontId="16" fillId="7" borderId="31" xfId="8" applyNumberFormat="1" applyFont="1" applyFill="1" applyBorder="1" applyAlignment="1">
      <alignment horizontal="right" indent="1"/>
    </xf>
    <xf numFmtId="0" fontId="16" fillId="0" borderId="0" xfId="8" applyFont="1" applyFill="1" applyAlignment="1">
      <alignment horizontal="center"/>
    </xf>
    <xf numFmtId="0" fontId="16" fillId="0" borderId="0" xfId="0" applyFont="1" applyBorder="1"/>
    <xf numFmtId="2" fontId="16" fillId="7" borderId="0" xfId="0" applyNumberFormat="1" applyFont="1" applyFill="1"/>
    <xf numFmtId="0" fontId="16" fillId="7" borderId="77" xfId="0" applyFont="1" applyFill="1" applyBorder="1" applyAlignment="1">
      <alignment horizontal="left"/>
    </xf>
    <xf numFmtId="2" fontId="16" fillId="0" borderId="0" xfId="0" applyNumberFormat="1" applyFont="1"/>
    <xf numFmtId="0" fontId="16" fillId="0" borderId="77" xfId="0" applyFont="1" applyBorder="1" applyAlignment="1">
      <alignment horizontal="left"/>
    </xf>
    <xf numFmtId="0" fontId="16" fillId="0" borderId="77" xfId="0" applyFont="1" applyBorder="1" applyAlignment="1">
      <alignment horizontal="left" vertical="top"/>
    </xf>
    <xf numFmtId="0" fontId="16" fillId="0" borderId="77" xfId="0" applyFont="1" applyBorder="1" applyAlignment="1">
      <alignment horizontal="left" vertical="center"/>
    </xf>
    <xf numFmtId="0" fontId="16" fillId="0" borderId="77" xfId="0" applyFont="1" applyBorder="1" applyAlignment="1">
      <alignment horizontal="left" wrapText="1"/>
    </xf>
    <xf numFmtId="0" fontId="16" fillId="7" borderId="102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right" indent="1"/>
    </xf>
    <xf numFmtId="4" fontId="16" fillId="0" borderId="25" xfId="0" applyNumberFormat="1" applyFont="1" applyBorder="1" applyAlignment="1">
      <alignment horizontal="right" indent="1"/>
    </xf>
    <xf numFmtId="4" fontId="16" fillId="0" borderId="19" xfId="0" applyNumberFormat="1" applyFont="1" applyBorder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0" fontId="16" fillId="0" borderId="19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83" fontId="16" fillId="7" borderId="77" xfId="0" applyNumberFormat="1" applyFont="1" applyFill="1" applyBorder="1" applyAlignment="1">
      <alignment horizontal="right"/>
    </xf>
    <xf numFmtId="183" fontId="16" fillId="0" borderId="77" xfId="0" applyNumberFormat="1" applyFont="1" applyFill="1" applyBorder="1" applyAlignment="1">
      <alignment horizontal="right"/>
    </xf>
    <xf numFmtId="183" fontId="16" fillId="7" borderId="102" xfId="0" applyNumberFormat="1" applyFont="1" applyFill="1" applyBorder="1" applyAlignment="1">
      <alignment horizontal="right"/>
    </xf>
    <xf numFmtId="183" fontId="16" fillId="0" borderId="19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172" fontId="16" fillId="0" borderId="41" xfId="0" applyNumberFormat="1" applyFont="1" applyFill="1" applyBorder="1" applyAlignment="1">
      <alignment horizontal="right" indent="1"/>
    </xf>
    <xf numFmtId="172" fontId="16" fillId="0" borderId="42" xfId="0" applyNumberFormat="1" applyFont="1" applyFill="1" applyBorder="1" applyAlignment="1">
      <alignment horizontal="right" indent="1"/>
    </xf>
    <xf numFmtId="172" fontId="16" fillId="0" borderId="77" xfId="0" applyNumberFormat="1" applyFont="1" applyBorder="1" applyAlignment="1">
      <alignment horizontal="right" indent="1"/>
    </xf>
    <xf numFmtId="172" fontId="16" fillId="0" borderId="76" xfId="0" applyNumberFormat="1" applyFont="1" applyBorder="1" applyAlignment="1">
      <alignment horizontal="right" indent="1"/>
    </xf>
    <xf numFmtId="2" fontId="16" fillId="7" borderId="43" xfId="0" applyNumberFormat="1" applyFont="1" applyFill="1" applyBorder="1" applyAlignment="1">
      <alignment horizontal="right" indent="1"/>
    </xf>
    <xf numFmtId="2" fontId="16" fillId="7" borderId="56" xfId="0" applyNumberFormat="1" applyFont="1" applyFill="1" applyBorder="1" applyAlignment="1">
      <alignment horizontal="right" indent="1"/>
    </xf>
    <xf numFmtId="2" fontId="16" fillId="7" borderId="62" xfId="0" applyNumberFormat="1" applyFont="1" applyFill="1" applyBorder="1" applyAlignment="1">
      <alignment horizontal="right" indent="1"/>
    </xf>
    <xf numFmtId="2" fontId="16" fillId="7" borderId="59" xfId="0" applyNumberFormat="1" applyFont="1" applyFill="1" applyBorder="1" applyAlignment="1">
      <alignment horizontal="right" indent="1"/>
    </xf>
    <xf numFmtId="2" fontId="16" fillId="7" borderId="37" xfId="0" applyNumberFormat="1" applyFont="1" applyFill="1" applyBorder="1"/>
    <xf numFmtId="0" fontId="16" fillId="7" borderId="43" xfId="0" applyFont="1" applyFill="1" applyBorder="1" applyAlignment="1">
      <alignment horizontal="left"/>
    </xf>
    <xf numFmtId="183" fontId="16" fillId="7" borderId="43" xfId="0" applyNumberFormat="1" applyFont="1" applyFill="1" applyBorder="1" applyAlignment="1">
      <alignment horizontal="right"/>
    </xf>
    <xf numFmtId="2" fontId="16" fillId="0" borderId="0" xfId="0" applyNumberFormat="1" applyFont="1" applyBorder="1"/>
    <xf numFmtId="2" fontId="16" fillId="7" borderId="57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 applyAlignment="1">
      <alignment horizontal="right" indent="1"/>
    </xf>
    <xf numFmtId="2" fontId="16" fillId="7" borderId="51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/>
    <xf numFmtId="0" fontId="16" fillId="7" borderId="56" xfId="0" applyFont="1" applyFill="1" applyBorder="1" applyAlignment="1">
      <alignment horizontal="left"/>
    </xf>
    <xf numFmtId="183" fontId="16" fillId="7" borderId="56" xfId="0" applyNumberFormat="1" applyFont="1" applyFill="1" applyBorder="1" applyAlignment="1">
      <alignment horizontal="right"/>
    </xf>
    <xf numFmtId="0" fontId="4" fillId="7" borderId="0" xfId="0" applyFont="1" applyFill="1"/>
    <xf numFmtId="179" fontId="4" fillId="7" borderId="98" xfId="0" applyNumberFormat="1" applyFont="1" applyFill="1" applyBorder="1"/>
    <xf numFmtId="179" fontId="4" fillId="0" borderId="98" xfId="0" applyNumberFormat="1" applyFont="1" applyBorder="1"/>
    <xf numFmtId="179" fontId="4" fillId="0" borderId="104" xfId="0" applyNumberFormat="1" applyFont="1" applyBorder="1"/>
    <xf numFmtId="0" fontId="4" fillId="0" borderId="0" xfId="0" applyFont="1" applyAlignment="1">
      <alignment horizontal="right"/>
    </xf>
    <xf numFmtId="170" fontId="4" fillId="0" borderId="0" xfId="0" applyNumberFormat="1" applyFont="1"/>
    <xf numFmtId="0" fontId="4" fillId="0" borderId="0" xfId="3" applyNumberFormat="1" applyFont="1"/>
    <xf numFmtId="179" fontId="4" fillId="16" borderId="98" xfId="0" applyNumberFormat="1" applyFont="1" applyFill="1" applyBorder="1"/>
    <xf numFmtId="0" fontId="16" fillId="0" borderId="7" xfId="0" applyFont="1" applyBorder="1"/>
    <xf numFmtId="0" fontId="16" fillId="0" borderId="8" xfId="0" applyFont="1" applyBorder="1"/>
    <xf numFmtId="179" fontId="4" fillId="7" borderId="72" xfId="0" applyNumberFormat="1" applyFont="1" applyFill="1" applyBorder="1"/>
    <xf numFmtId="179" fontId="4" fillId="16" borderId="72" xfId="0" applyNumberFormat="1" applyFont="1" applyFill="1" applyBorder="1"/>
    <xf numFmtId="179" fontId="4" fillId="16" borderId="96" xfId="0" applyNumberFormat="1" applyFont="1" applyFill="1" applyBorder="1"/>
    <xf numFmtId="179" fontId="16" fillId="7" borderId="12" xfId="0" applyNumberFormat="1" applyFont="1" applyFill="1" applyBorder="1"/>
    <xf numFmtId="179" fontId="16" fillId="7" borderId="13" xfId="0" applyNumberFormat="1" applyFont="1" applyFill="1" applyBorder="1"/>
    <xf numFmtId="179" fontId="16" fillId="7" borderId="14" xfId="0" applyNumberFormat="1" applyFont="1" applyFill="1" applyBorder="1"/>
    <xf numFmtId="0" fontId="4" fillId="0" borderId="9" xfId="0" applyFont="1" applyBorder="1" applyAlignment="1">
      <alignment horizontal="center"/>
    </xf>
    <xf numFmtId="179" fontId="16" fillId="7" borderId="96" xfId="0" applyNumberFormat="1" applyFont="1" applyFill="1" applyBorder="1"/>
    <xf numFmtId="179" fontId="16" fillId="16" borderId="96" xfId="0" applyNumberFormat="1" applyFont="1" applyFill="1" applyBorder="1"/>
    <xf numFmtId="172" fontId="4" fillId="0" borderId="98" xfId="0" applyNumberFormat="1" applyFont="1" applyBorder="1"/>
    <xf numFmtId="172" fontId="16" fillId="32" borderId="96" xfId="0" applyNumberFormat="1" applyFont="1" applyFill="1" applyBorder="1" applyAlignment="1">
      <alignment horizontal="right" indent="1"/>
    </xf>
    <xf numFmtId="172" fontId="4" fillId="0" borderId="72" xfId="0" applyNumberFormat="1" applyFont="1" applyBorder="1"/>
    <xf numFmtId="172" fontId="16" fillId="7" borderId="12" xfId="0" applyNumberFormat="1" applyFont="1" applyFill="1" applyBorder="1"/>
    <xf numFmtId="172" fontId="16" fillId="7" borderId="13" xfId="0" applyNumberFormat="1" applyFont="1" applyFill="1" applyBorder="1"/>
    <xf numFmtId="172" fontId="16" fillId="7" borderId="14" xfId="0" applyNumberFormat="1" applyFont="1" applyFill="1" applyBorder="1" applyAlignment="1">
      <alignment horizontal="right" indent="1"/>
    </xf>
    <xf numFmtId="172" fontId="4" fillId="7" borderId="39" xfId="0" applyNumberFormat="1" applyFont="1" applyFill="1" applyBorder="1"/>
    <xf numFmtId="172" fontId="4" fillId="7" borderId="20" xfId="0" applyNumberFormat="1" applyFont="1" applyFill="1" applyBorder="1"/>
    <xf numFmtId="172" fontId="16" fillId="7" borderId="40" xfId="0" applyNumberFormat="1" applyFont="1" applyFill="1" applyBorder="1" applyAlignment="1">
      <alignment horizontal="right" indent="1"/>
    </xf>
    <xf numFmtId="179" fontId="4" fillId="7" borderId="7" xfId="0" applyNumberFormat="1" applyFont="1" applyFill="1" applyBorder="1"/>
    <xf numFmtId="179" fontId="4" fillId="7" borderId="8" xfId="0" applyNumberFormat="1" applyFont="1" applyFill="1" applyBorder="1"/>
    <xf numFmtId="179" fontId="4" fillId="7" borderId="8" xfId="0" applyNumberFormat="1" applyFont="1" applyFill="1" applyBorder="1" applyAlignment="1">
      <alignment horizontal="center"/>
    </xf>
    <xf numFmtId="179" fontId="4" fillId="7" borderId="9" xfId="0" applyNumberFormat="1" applyFont="1" applyFill="1" applyBorder="1"/>
    <xf numFmtId="179" fontId="4" fillId="0" borderId="72" xfId="0" applyNumberFormat="1" applyFont="1" applyBorder="1"/>
    <xf numFmtId="179" fontId="4" fillId="0" borderId="96" xfId="0" applyNumberFormat="1" applyFont="1" applyBorder="1"/>
    <xf numFmtId="179" fontId="16" fillId="0" borderId="72" xfId="0" applyNumberFormat="1" applyFont="1" applyBorder="1"/>
    <xf numFmtId="179" fontId="4" fillId="0" borderId="0" xfId="0" applyNumberFormat="1" applyFont="1" applyBorder="1"/>
    <xf numFmtId="0" fontId="16" fillId="28" borderId="7" xfId="0" applyFont="1" applyFill="1" applyBorder="1"/>
    <xf numFmtId="0" fontId="16" fillId="28" borderId="9" xfId="0" applyFont="1" applyFill="1" applyBorder="1"/>
    <xf numFmtId="176" fontId="16" fillId="16" borderId="72" xfId="1" applyNumberFormat="1" applyFont="1" applyFill="1" applyBorder="1" applyAlignment="1"/>
    <xf numFmtId="176" fontId="16" fillId="16" borderId="96" xfId="1" applyNumberFormat="1" applyFont="1" applyFill="1" applyBorder="1" applyAlignment="1"/>
    <xf numFmtId="0" fontId="16" fillId="0" borderId="42" xfId="0" applyFont="1" applyBorder="1"/>
    <xf numFmtId="0" fontId="16" fillId="7" borderId="43" xfId="0" applyFont="1" applyFill="1" applyBorder="1" applyAlignment="1">
      <alignment horizontal="left" indent="1"/>
    </xf>
    <xf numFmtId="0" fontId="16" fillId="0" borderId="77" xfId="0" applyFont="1" applyBorder="1" applyAlignment="1">
      <alignment horizontal="left" indent="1"/>
    </xf>
    <xf numFmtId="0" fontId="16" fillId="7" borderId="56" xfId="0" applyFont="1" applyFill="1" applyBorder="1" applyAlignment="1">
      <alignment horizontal="left" indent="1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176" fontId="16" fillId="0" borderId="30" xfId="1" applyNumberFormat="1" applyFont="1" applyBorder="1" applyAlignment="1"/>
    <xf numFmtId="176" fontId="16" fillId="0" borderId="32" xfId="1" applyNumberFormat="1" applyFont="1" applyBorder="1" applyAlignment="1"/>
    <xf numFmtId="176" fontId="16" fillId="7" borderId="7" xfId="1" applyNumberFormat="1" applyFont="1" applyFill="1" applyBorder="1" applyAlignment="1"/>
    <xf numFmtId="176" fontId="16" fillId="7" borderId="9" xfId="1" applyNumberFormat="1" applyFont="1" applyFill="1" applyBorder="1" applyAlignment="1"/>
    <xf numFmtId="176" fontId="16" fillId="7" borderId="12" xfId="1" applyNumberFormat="1" applyFont="1" applyFill="1" applyBorder="1" applyAlignment="1"/>
    <xf numFmtId="176" fontId="16" fillId="7" borderId="14" xfId="1" applyNumberFormat="1" applyFont="1" applyFill="1" applyBorder="1" applyAlignment="1"/>
    <xf numFmtId="169" fontId="16" fillId="7" borderId="7" xfId="0" applyNumberFormat="1" applyFont="1" applyFill="1" applyBorder="1"/>
    <xf numFmtId="169" fontId="16" fillId="0" borderId="72" xfId="0" applyNumberFormat="1" applyFont="1" applyBorder="1"/>
    <xf numFmtId="172" fontId="16" fillId="0" borderId="72" xfId="0" applyNumberFormat="1" applyFont="1" applyBorder="1"/>
    <xf numFmtId="169" fontId="16" fillId="16" borderId="10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79" fontId="4" fillId="7" borderId="39" xfId="0" applyNumberFormat="1" applyFont="1" applyFill="1" applyBorder="1"/>
    <xf numFmtId="179" fontId="4" fillId="7" borderId="20" xfId="0" applyNumberFormat="1" applyFont="1" applyFill="1" applyBorder="1"/>
    <xf numFmtId="179" fontId="4" fillId="7" borderId="40" xfId="0" applyNumberFormat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33" xfId="0" applyFont="1" applyBorder="1"/>
    <xf numFmtId="169" fontId="16" fillId="7" borderId="66" xfId="0" applyNumberFormat="1" applyFont="1" applyFill="1" applyBorder="1"/>
    <xf numFmtId="169" fontId="16" fillId="7" borderId="54" xfId="0" applyNumberFormat="1" applyFont="1" applyFill="1" applyBorder="1"/>
    <xf numFmtId="3" fontId="16" fillId="16" borderId="5" xfId="0" applyNumberFormat="1" applyFont="1" applyFill="1" applyBorder="1"/>
    <xf numFmtId="171" fontId="16" fillId="7" borderId="42" xfId="3" applyNumberFormat="1" applyFont="1" applyFill="1" applyBorder="1"/>
    <xf numFmtId="9" fontId="16" fillId="7" borderId="75" xfId="3" applyNumberFormat="1" applyFont="1" applyFill="1" applyBorder="1"/>
    <xf numFmtId="168" fontId="4" fillId="0" borderId="106" xfId="0" applyNumberFormat="1" applyFont="1" applyBorder="1"/>
    <xf numFmtId="168" fontId="4" fillId="0" borderId="107" xfId="0" applyNumberFormat="1" applyFont="1" applyBorder="1"/>
    <xf numFmtId="10" fontId="4" fillId="0" borderId="108" xfId="3" applyNumberFormat="1" applyFont="1" applyBorder="1"/>
    <xf numFmtId="168" fontId="4" fillId="0" borderId="109" xfId="0" applyNumberFormat="1" applyFont="1" applyBorder="1"/>
    <xf numFmtId="3" fontId="4" fillId="16" borderId="106" xfId="0" applyNumberFormat="1" applyFont="1" applyFill="1" applyBorder="1"/>
    <xf numFmtId="168" fontId="16" fillId="7" borderId="2" xfId="0" applyNumberFormat="1" applyFont="1" applyFill="1" applyBorder="1"/>
    <xf numFmtId="168" fontId="16" fillId="7" borderId="3" xfId="0" applyNumberFormat="1" applyFont="1" applyFill="1" applyBorder="1"/>
    <xf numFmtId="9" fontId="16" fillId="7" borderId="33" xfId="3" applyFont="1" applyFill="1" applyBorder="1"/>
    <xf numFmtId="173" fontId="16" fillId="7" borderId="14" xfId="0" applyNumberFormat="1" applyFont="1" applyFill="1" applyBorder="1"/>
    <xf numFmtId="3" fontId="16" fillId="7" borderId="6" xfId="0" applyNumberFormat="1" applyFont="1" applyFill="1" applyBorder="1" applyAlignment="1">
      <alignment horizontal="right"/>
    </xf>
    <xf numFmtId="3" fontId="16" fillId="0" borderId="99" xfId="0" applyNumberFormat="1" applyFont="1" applyBorder="1" applyAlignment="1">
      <alignment horizontal="right"/>
    </xf>
    <xf numFmtId="3" fontId="16" fillId="7" borderId="11" xfId="0" applyNumberFormat="1" applyFont="1" applyFill="1" applyBorder="1" applyAlignment="1">
      <alignment horizontal="right"/>
    </xf>
    <xf numFmtId="3" fontId="16" fillId="25" borderId="23" xfId="0" applyNumberFormat="1" applyFont="1" applyFill="1" applyBorder="1" applyAlignment="1">
      <alignment vertical="center"/>
    </xf>
    <xf numFmtId="0" fontId="23" fillId="0" borderId="0" xfId="0" applyFont="1"/>
    <xf numFmtId="3" fontId="16" fillId="25" borderId="98" xfId="0" applyNumberFormat="1" applyFont="1" applyFill="1" applyBorder="1"/>
    <xf numFmtId="3" fontId="16" fillId="7" borderId="98" xfId="0" applyNumberFormat="1" applyFont="1" applyFill="1" applyBorder="1"/>
    <xf numFmtId="3" fontId="16" fillId="16" borderId="99" xfId="0" applyNumberFormat="1" applyFont="1" applyFill="1" applyBorder="1"/>
    <xf numFmtId="0" fontId="4" fillId="7" borderId="57" xfId="0" applyFont="1" applyFill="1" applyBorder="1"/>
    <xf numFmtId="3" fontId="16" fillId="23" borderId="19" xfId="143" applyNumberFormat="1" applyFont="1" applyFill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Continuous" vertical="center" wrapText="1"/>
    </xf>
    <xf numFmtId="3" fontId="16" fillId="0" borderId="3" xfId="0" applyNumberFormat="1" applyFont="1" applyBorder="1" applyAlignment="1">
      <alignment horizontal="centerContinuous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6" fillId="84" borderId="19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6" fillId="6" borderId="19" xfId="143" applyNumberFormat="1" applyFont="1" applyFill="1" applyBorder="1" applyAlignment="1">
      <alignment horizontal="center" vertical="center" wrapText="1"/>
    </xf>
    <xf numFmtId="3" fontId="16" fillId="0" borderId="65" xfId="143" applyNumberFormat="1" applyFont="1" applyFill="1" applyBorder="1" applyAlignment="1">
      <alignment horizontal="center" vertical="center" wrapText="1"/>
    </xf>
    <xf numFmtId="3" fontId="16" fillId="0" borderId="31" xfId="143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 wrapText="1"/>
    </xf>
    <xf numFmtId="3" fontId="16" fillId="41" borderId="25" xfId="143" applyNumberFormat="1" applyFont="1" applyFill="1" applyBorder="1" applyAlignment="1">
      <alignment horizontal="center" vertical="center" wrapText="1"/>
    </xf>
    <xf numFmtId="3" fontId="16" fillId="13" borderId="19" xfId="0" applyNumberFormat="1" applyFont="1" applyFill="1" applyBorder="1" applyAlignment="1">
      <alignment horizontal="center" vertical="center" wrapText="1"/>
    </xf>
    <xf numFmtId="3" fontId="16" fillId="41" borderId="19" xfId="143" applyNumberFormat="1" applyFont="1" applyFill="1" applyBorder="1" applyAlignment="1">
      <alignment horizontal="center" vertical="center" wrapText="1"/>
    </xf>
    <xf numFmtId="3" fontId="16" fillId="19" borderId="23" xfId="0" applyNumberFormat="1" applyFont="1" applyFill="1" applyBorder="1" applyAlignment="1">
      <alignment horizontal="center" vertical="center" wrapText="1"/>
    </xf>
    <xf numFmtId="3" fontId="16" fillId="14" borderId="45" xfId="0" applyNumberFormat="1" applyFont="1" applyFill="1" applyBorder="1"/>
    <xf numFmtId="3" fontId="16" fillId="14" borderId="98" xfId="0" applyNumberFormat="1" applyFont="1" applyFill="1" applyBorder="1"/>
    <xf numFmtId="3" fontId="16" fillId="16" borderId="20" xfId="0" applyNumberFormat="1" applyFont="1" applyFill="1" applyBorder="1"/>
    <xf numFmtId="3" fontId="16" fillId="85" borderId="41" xfId="10" applyNumberFormat="1" applyFont="1" applyFill="1" applyBorder="1"/>
    <xf numFmtId="3" fontId="16" fillId="12" borderId="77" xfId="0" applyNumberFormat="1" applyFont="1" applyFill="1" applyBorder="1"/>
    <xf numFmtId="4" fontId="16" fillId="12" borderId="77" xfId="0" applyNumberFormat="1" applyFont="1" applyFill="1" applyBorder="1"/>
    <xf numFmtId="3" fontId="16" fillId="27" borderId="43" xfId="10" applyNumberFormat="1" applyFont="1" applyFill="1" applyBorder="1"/>
    <xf numFmtId="168" fontId="16" fillId="7" borderId="43" xfId="0" applyNumberFormat="1" applyFont="1" applyFill="1" applyBorder="1"/>
    <xf numFmtId="3" fontId="16" fillId="27" borderId="57" xfId="10" applyNumberFormat="1" applyFont="1" applyFill="1" applyBorder="1"/>
    <xf numFmtId="3" fontId="16" fillId="7" borderId="31" xfId="0" applyNumberFormat="1" applyFont="1" applyFill="1" applyBorder="1"/>
    <xf numFmtId="3" fontId="16" fillId="7" borderId="55" xfId="0" applyNumberFormat="1" applyFont="1" applyFill="1" applyBorder="1"/>
    <xf numFmtId="3" fontId="0" fillId="0" borderId="98" xfId="0" applyNumberFormat="1" applyBorder="1"/>
    <xf numFmtId="168" fontId="16" fillId="16" borderId="72" xfId="0" applyNumberFormat="1" applyFont="1" applyFill="1" applyBorder="1" applyAlignment="1">
      <alignment horizontal="right" indent="1"/>
    </xf>
    <xf numFmtId="168" fontId="16" fillId="16" borderId="98" xfId="0" applyNumberFormat="1" applyFont="1" applyFill="1" applyBorder="1" applyAlignment="1">
      <alignment horizontal="right" indent="1"/>
    </xf>
    <xf numFmtId="168" fontId="16" fillId="16" borderId="96" xfId="0" applyNumberFormat="1" applyFont="1" applyFill="1" applyBorder="1" applyAlignment="1">
      <alignment horizontal="right" indent="1"/>
    </xf>
    <xf numFmtId="0" fontId="16" fillId="7" borderId="59" xfId="0" applyFont="1" applyFill="1" applyBorder="1"/>
    <xf numFmtId="0" fontId="4" fillId="7" borderId="26" xfId="0" applyFont="1" applyFill="1" applyBorder="1"/>
    <xf numFmtId="3" fontId="16" fillId="22" borderId="60" xfId="0" applyNumberFormat="1" applyFont="1" applyFill="1" applyBorder="1" applyAlignment="1">
      <alignment horizontal="center" vertical="center" wrapText="1"/>
    </xf>
    <xf numFmtId="3" fontId="16" fillId="22" borderId="110" xfId="0" applyNumberFormat="1" applyFont="1" applyFill="1" applyBorder="1" applyAlignment="1">
      <alignment horizontal="center" vertical="center" wrapText="1"/>
    </xf>
    <xf numFmtId="3" fontId="16" fillId="22" borderId="111" xfId="0" applyNumberFormat="1" applyFont="1" applyFill="1" applyBorder="1" applyAlignment="1">
      <alignment horizontal="center" vertical="center" wrapText="1"/>
    </xf>
    <xf numFmtId="3" fontId="16" fillId="86" borderId="111" xfId="0" applyNumberFormat="1" applyFont="1" applyFill="1" applyBorder="1" applyAlignment="1">
      <alignment horizontal="center" vertical="center" wrapText="1"/>
    </xf>
    <xf numFmtId="3" fontId="16" fillId="22" borderId="38" xfId="0" applyNumberFormat="1" applyFont="1" applyFill="1" applyBorder="1" applyAlignment="1">
      <alignment horizontal="center" vertical="center" wrapText="1"/>
    </xf>
    <xf numFmtId="168" fontId="16" fillId="7" borderId="7" xfId="0" applyNumberFormat="1" applyFont="1" applyFill="1" applyBorder="1" applyAlignment="1">
      <alignment horizontal="right" indent="1"/>
    </xf>
    <xf numFmtId="168" fontId="16" fillId="7" borderId="8" xfId="0" applyNumberFormat="1" applyFont="1" applyFill="1" applyBorder="1" applyAlignment="1">
      <alignment horizontal="right" indent="1"/>
    </xf>
    <xf numFmtId="168" fontId="16" fillId="7" borderId="9" xfId="0" applyNumberFormat="1" applyFont="1" applyFill="1" applyBorder="1" applyAlignment="1">
      <alignment horizontal="right" indent="1"/>
    </xf>
    <xf numFmtId="168" fontId="16" fillId="7" borderId="12" xfId="0" applyNumberFormat="1" applyFont="1" applyFill="1" applyBorder="1" applyAlignment="1">
      <alignment horizontal="right" indent="1"/>
    </xf>
    <xf numFmtId="168" fontId="16" fillId="7" borderId="13" xfId="0" applyNumberFormat="1" applyFont="1" applyFill="1" applyBorder="1" applyAlignment="1">
      <alignment horizontal="right" indent="1"/>
    </xf>
    <xf numFmtId="168" fontId="16" fillId="7" borderId="14" xfId="0" applyNumberFormat="1" applyFont="1" applyFill="1" applyBorder="1" applyAlignment="1">
      <alignment horizontal="right" indent="1"/>
    </xf>
    <xf numFmtId="168" fontId="16" fillId="7" borderId="41" xfId="10" applyFont="1" applyFill="1" applyBorder="1"/>
    <xf numFmtId="178" fontId="16" fillId="7" borderId="41" xfId="10" applyNumberFormat="1" applyFont="1" applyFill="1" applyBorder="1"/>
    <xf numFmtId="168" fontId="16" fillId="32" borderId="41" xfId="10" applyFont="1" applyFill="1" applyBorder="1"/>
    <xf numFmtId="178" fontId="16" fillId="13" borderId="41" xfId="10" applyNumberFormat="1" applyFont="1" applyFill="1" applyBorder="1"/>
    <xf numFmtId="168" fontId="16" fillId="7" borderId="57" xfId="10" applyFont="1" applyFill="1" applyBorder="1"/>
    <xf numFmtId="178" fontId="16" fillId="7" borderId="57" xfId="10" applyNumberFormat="1" applyFont="1" applyFill="1" applyBorder="1"/>
    <xf numFmtId="168" fontId="31" fillId="7" borderId="43" xfId="0" applyNumberFormat="1" applyFont="1" applyFill="1" applyBorder="1" applyAlignment="1">
      <alignment horizontal="right" indent="1"/>
    </xf>
    <xf numFmtId="3" fontId="31" fillId="0" borderId="41" xfId="0" applyNumberFormat="1" applyFont="1" applyBorder="1" applyAlignment="1">
      <alignment horizontal="right" indent="1"/>
    </xf>
    <xf numFmtId="3" fontId="31" fillId="0" borderId="44" xfId="0" applyNumberFormat="1" applyFont="1" applyBorder="1" applyAlignment="1">
      <alignment horizontal="right" indent="1"/>
    </xf>
    <xf numFmtId="3" fontId="31" fillId="7" borderId="57" xfId="0" applyNumberFormat="1" applyFont="1" applyFill="1" applyBorder="1" applyAlignment="1">
      <alignment horizontal="right" indent="1"/>
    </xf>
    <xf numFmtId="3" fontId="31" fillId="7" borderId="28" xfId="0" applyNumberFormat="1" applyFont="1" applyFill="1" applyBorder="1" applyAlignment="1">
      <alignment horizontal="right" indent="1"/>
    </xf>
    <xf numFmtId="3" fontId="14" fillId="34" borderId="97" xfId="16" applyNumberFormat="1" applyFont="1" applyFill="1" applyBorder="1" applyAlignment="1">
      <alignment vertical="center"/>
    </xf>
    <xf numFmtId="3" fontId="65" fillId="34" borderId="100" xfId="16" applyNumberFormat="1" applyFont="1" applyFill="1" applyBorder="1" applyAlignment="1">
      <alignment vertical="center"/>
    </xf>
    <xf numFmtId="3" fontId="68" fillId="34" borderId="100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horizontal="left" vertical="center" wrapText="1"/>
    </xf>
    <xf numFmtId="3" fontId="14" fillId="34" borderId="56" xfId="16" applyNumberFormat="1" applyFont="1" applyFill="1" applyBorder="1" applyAlignment="1">
      <alignment horizontal="left" vertical="center" wrapText="1"/>
    </xf>
    <xf numFmtId="3" fontId="68" fillId="34" borderId="100" xfId="16" quotePrefix="1" applyNumberFormat="1" applyFont="1" applyFill="1" applyBorder="1" applyAlignment="1">
      <alignment horizontal="center" vertical="center" wrapText="1"/>
    </xf>
    <xf numFmtId="3" fontId="68" fillId="34" borderId="53" xfId="16" quotePrefix="1" applyNumberFormat="1" applyFont="1" applyFill="1" applyBorder="1" applyAlignment="1">
      <alignment horizontal="center" vertical="center" wrapText="1"/>
    </xf>
    <xf numFmtId="3" fontId="68" fillId="14" borderId="56" xfId="16" quotePrefix="1" applyNumberFormat="1" applyFont="1" applyFill="1" applyBorder="1" applyAlignment="1">
      <alignment horizontal="center" vertical="center" wrapText="1"/>
    </xf>
    <xf numFmtId="3" fontId="18" fillId="34" borderId="41" xfId="16" applyNumberFormat="1" applyFont="1" applyFill="1" applyBorder="1" applyAlignment="1">
      <alignment vertical="center" wrapText="1"/>
    </xf>
    <xf numFmtId="3" fontId="68" fillId="34" borderId="44" xfId="16" applyNumberFormat="1" applyFont="1" applyFill="1" applyBorder="1" applyAlignment="1">
      <alignment vertical="center" wrapText="1"/>
    </xf>
    <xf numFmtId="3" fontId="14" fillId="34" borderId="42" xfId="16" applyNumberFormat="1" applyFont="1" applyFill="1" applyBorder="1" applyAlignment="1">
      <alignment vertical="center"/>
    </xf>
    <xf numFmtId="3" fontId="14" fillId="34" borderId="41" xfId="16" applyNumberFormat="1" applyFont="1" applyFill="1" applyBorder="1" applyAlignment="1">
      <alignment vertical="center"/>
    </xf>
    <xf numFmtId="3" fontId="65" fillId="34" borderId="44" xfId="16" applyNumberFormat="1" applyFont="1" applyFill="1" applyBorder="1" applyAlignment="1">
      <alignment vertical="center"/>
    </xf>
    <xf numFmtId="3" fontId="17" fillId="34" borderId="112" xfId="16" applyNumberFormat="1" applyFont="1" applyFill="1" applyBorder="1" applyAlignment="1">
      <alignment horizontal="left" vertical="center" wrapText="1"/>
    </xf>
    <xf numFmtId="3" fontId="68" fillId="34" borderId="113" xfId="16" applyNumberFormat="1" applyFont="1" applyFill="1" applyBorder="1" applyAlignment="1">
      <alignment vertical="center" wrapText="1"/>
    </xf>
    <xf numFmtId="3" fontId="14" fillId="34" borderId="114" xfId="16" applyNumberFormat="1" applyFont="1" applyFill="1" applyBorder="1" applyAlignment="1">
      <alignment vertical="center" wrapText="1"/>
    </xf>
    <xf numFmtId="3" fontId="14" fillId="34" borderId="112" xfId="16" applyNumberFormat="1" applyFont="1" applyFill="1" applyBorder="1" applyAlignment="1">
      <alignment vertical="center" wrapText="1"/>
    </xf>
    <xf numFmtId="3" fontId="65" fillId="34" borderId="113" xfId="16" applyNumberFormat="1" applyFont="1" applyFill="1" applyBorder="1" applyAlignment="1">
      <alignment vertical="center" wrapText="1"/>
    </xf>
    <xf numFmtId="3" fontId="18" fillId="34" borderId="41" xfId="16" applyNumberFormat="1" applyFont="1" applyFill="1" applyBorder="1" applyAlignment="1">
      <alignment horizontal="left" vertical="center" wrapText="1"/>
    </xf>
    <xf numFmtId="3" fontId="14" fillId="34" borderId="115" xfId="16" applyNumberFormat="1" applyFont="1" applyFill="1" applyBorder="1" applyAlignment="1">
      <alignment horizontal="left" vertical="center" wrapText="1"/>
    </xf>
    <xf numFmtId="3" fontId="68" fillId="34" borderId="116" xfId="16" applyNumberFormat="1" applyFont="1" applyFill="1" applyBorder="1" applyAlignment="1">
      <alignment vertical="center" wrapText="1"/>
    </xf>
    <xf numFmtId="3" fontId="14" fillId="34" borderId="117" xfId="16" applyNumberFormat="1" applyFont="1" applyFill="1" applyBorder="1" applyAlignment="1">
      <alignment vertical="center"/>
    </xf>
    <xf numFmtId="3" fontId="14" fillId="34" borderId="115" xfId="16" applyNumberFormat="1" applyFont="1" applyFill="1" applyBorder="1" applyAlignment="1">
      <alignment vertical="center"/>
    </xf>
    <xf numFmtId="3" fontId="65" fillId="34" borderId="116" xfId="16" applyNumberFormat="1" applyFont="1" applyFill="1" applyBorder="1" applyAlignment="1">
      <alignment vertical="center"/>
    </xf>
    <xf numFmtId="3" fontId="14" fillId="14" borderId="29" xfId="16" applyNumberFormat="1" applyFont="1" applyFill="1" applyBorder="1" applyAlignment="1">
      <alignment horizontal="left" vertical="center" wrapText="1"/>
    </xf>
    <xf numFmtId="3" fontId="68" fillId="14" borderId="41" xfId="16" applyNumberFormat="1" applyFont="1" applyFill="1" applyBorder="1" applyAlignment="1">
      <alignment horizontal="right" vertical="center"/>
    </xf>
    <xf numFmtId="3" fontId="14" fillId="14" borderId="42" xfId="16" applyNumberFormat="1" applyFont="1" applyFill="1" applyBorder="1" applyAlignment="1">
      <alignment horizontal="right" vertical="center"/>
    </xf>
    <xf numFmtId="3" fontId="14" fillId="14" borderId="41" xfId="16" applyNumberFormat="1" applyFont="1" applyFill="1" applyBorder="1" applyAlignment="1">
      <alignment horizontal="right" vertical="center"/>
    </xf>
    <xf numFmtId="3" fontId="65" fillId="14" borderId="44" xfId="16" applyNumberFormat="1" applyFont="1" applyFill="1" applyBorder="1" applyAlignment="1">
      <alignment horizontal="right" vertical="center"/>
    </xf>
    <xf numFmtId="3" fontId="17" fillId="14" borderId="118" xfId="16" applyNumberFormat="1" applyFont="1" applyFill="1" applyBorder="1" applyAlignment="1">
      <alignment horizontal="left" vertical="center" wrapText="1"/>
    </xf>
    <xf numFmtId="3" fontId="68" fillId="14" borderId="112" xfId="16" applyNumberFormat="1" applyFont="1" applyFill="1" applyBorder="1" applyAlignment="1">
      <alignment horizontal="right" vertical="center"/>
    </xf>
    <xf numFmtId="3" fontId="14" fillId="14" borderId="114" xfId="16" applyNumberFormat="1" applyFont="1" applyFill="1" applyBorder="1" applyAlignment="1">
      <alignment horizontal="right" vertical="center"/>
    </xf>
    <xf numFmtId="3" fontId="14" fillId="14" borderId="112" xfId="16" applyNumberFormat="1" applyFont="1" applyFill="1" applyBorder="1" applyAlignment="1">
      <alignment horizontal="right" vertical="center"/>
    </xf>
    <xf numFmtId="3" fontId="65" fillId="14" borderId="113" xfId="16" applyNumberFormat="1" applyFont="1" applyFill="1" applyBorder="1" applyAlignment="1">
      <alignment horizontal="right" vertical="center"/>
    </xf>
    <xf numFmtId="3" fontId="14" fillId="49" borderId="29" xfId="16" applyNumberFormat="1" applyFont="1" applyFill="1" applyBorder="1" applyAlignment="1">
      <alignment horizontal="left" vertical="center" wrapText="1"/>
    </xf>
    <xf numFmtId="3" fontId="14" fillId="49" borderId="42" xfId="16" applyNumberFormat="1" applyFont="1" applyFill="1" applyBorder="1" applyAlignment="1">
      <alignment vertical="center"/>
    </xf>
    <xf numFmtId="3" fontId="14" fillId="49" borderId="41" xfId="16" applyNumberFormat="1" applyFont="1" applyFill="1" applyBorder="1" applyAlignment="1">
      <alignment vertical="center"/>
    </xf>
    <xf numFmtId="3" fontId="65" fillId="49" borderId="44" xfId="16" applyNumberFormat="1" applyFont="1" applyFill="1" applyBorder="1" applyAlignment="1">
      <alignment horizontal="right" vertical="center"/>
    </xf>
    <xf numFmtId="3" fontId="17" fillId="49" borderId="118" xfId="16" applyNumberFormat="1" applyFont="1" applyFill="1" applyBorder="1" applyAlignment="1">
      <alignment horizontal="left" vertical="center" wrapText="1"/>
    </xf>
    <xf numFmtId="3" fontId="68" fillId="49" borderId="112" xfId="16" applyNumberFormat="1" applyFont="1" applyFill="1" applyBorder="1" applyAlignment="1">
      <alignment horizontal="right" vertical="center" wrapText="1"/>
    </xf>
    <xf numFmtId="3" fontId="14" fillId="49" borderId="114" xfId="16" applyNumberFormat="1" applyFont="1" applyFill="1" applyBorder="1" applyAlignment="1">
      <alignment horizontal="right" vertical="center" wrapText="1"/>
    </xf>
    <xf numFmtId="3" fontId="14" fillId="49" borderId="112" xfId="16" applyNumberFormat="1" applyFont="1" applyFill="1" applyBorder="1" applyAlignment="1">
      <alignment horizontal="right" vertical="center" wrapText="1"/>
    </xf>
    <xf numFmtId="3" fontId="65" fillId="49" borderId="113" xfId="16" applyNumberFormat="1" applyFont="1" applyFill="1" applyBorder="1" applyAlignment="1">
      <alignment horizontal="right" vertical="center" wrapText="1"/>
    </xf>
    <xf numFmtId="3" fontId="18" fillId="49" borderId="29" xfId="16" applyNumberFormat="1" applyFont="1" applyFill="1" applyBorder="1" applyAlignment="1">
      <alignment horizontal="left" vertical="center" wrapText="1"/>
    </xf>
    <xf numFmtId="3" fontId="14" fillId="49" borderId="119" xfId="16" applyNumberFormat="1" applyFont="1" applyFill="1" applyBorder="1" applyAlignment="1">
      <alignment horizontal="left" vertical="center" wrapText="1"/>
    </xf>
    <xf numFmtId="3" fontId="68" fillId="49" borderId="115" xfId="16" applyNumberFormat="1" applyFont="1" applyFill="1" applyBorder="1" applyAlignment="1">
      <alignment horizontal="right" vertical="center" wrapText="1"/>
    </xf>
    <xf numFmtId="3" fontId="14" fillId="49" borderId="117" xfId="16" applyNumberFormat="1" applyFont="1" applyFill="1" applyBorder="1" applyAlignment="1">
      <alignment vertical="center"/>
    </xf>
    <xf numFmtId="3" fontId="14" fillId="49" borderId="115" xfId="16" applyNumberFormat="1" applyFont="1" applyFill="1" applyBorder="1" applyAlignment="1">
      <alignment vertical="center"/>
    </xf>
    <xf numFmtId="3" fontId="65" fillId="49" borderId="116" xfId="16" applyNumberFormat="1" applyFont="1" applyFill="1" applyBorder="1" applyAlignment="1">
      <alignment horizontal="right" vertical="center"/>
    </xf>
    <xf numFmtId="3" fontId="16" fillId="16" borderId="77" xfId="0" applyNumberFormat="1" applyFont="1" applyFill="1" applyBorder="1"/>
    <xf numFmtId="3" fontId="16" fillId="45" borderId="5" xfId="0" applyNumberFormat="1" applyFont="1" applyFill="1" applyBorder="1"/>
    <xf numFmtId="3" fontId="16" fillId="27" borderId="12" xfId="0" applyNumberFormat="1" applyFont="1" applyFill="1" applyBorder="1"/>
    <xf numFmtId="3" fontId="16" fillId="27" borderId="14" xfId="0" applyNumberFormat="1" applyFont="1" applyFill="1" applyBorder="1"/>
    <xf numFmtId="3" fontId="16" fillId="27" borderId="7" xfId="0" applyNumberFormat="1" applyFont="1" applyFill="1" applyBorder="1"/>
    <xf numFmtId="3" fontId="16" fillId="16" borderId="41" xfId="0" applyNumberFormat="1" applyFont="1" applyFill="1" applyBorder="1"/>
    <xf numFmtId="3" fontId="16" fillId="27" borderId="5" xfId="0" applyNumberFormat="1" applyFont="1" applyFill="1" applyBorder="1"/>
    <xf numFmtId="3" fontId="16" fillId="27" borderId="1" xfId="0" applyNumberFormat="1" applyFont="1" applyFill="1" applyBorder="1"/>
    <xf numFmtId="3" fontId="16" fillId="27" borderId="56" xfId="0" applyNumberFormat="1" applyFont="1" applyFill="1" applyBorder="1"/>
    <xf numFmtId="3" fontId="16" fillId="25" borderId="2" xfId="0" applyNumberFormat="1" applyFont="1" applyFill="1" applyBorder="1"/>
    <xf numFmtId="3" fontId="16" fillId="25" borderId="19" xfId="0" applyNumberFormat="1" applyFont="1" applyFill="1" applyBorder="1"/>
    <xf numFmtId="3" fontId="16" fillId="25" borderId="34" xfId="0" applyNumberFormat="1" applyFont="1" applyFill="1" applyBorder="1"/>
    <xf numFmtId="3" fontId="16" fillId="7" borderId="41" xfId="0" applyNumberFormat="1" applyFont="1" applyFill="1" applyBorder="1"/>
    <xf numFmtId="3" fontId="16" fillId="12" borderId="57" xfId="0" applyNumberFormat="1" applyFont="1" applyFill="1" applyBorder="1"/>
    <xf numFmtId="3" fontId="16" fillId="12" borderId="27" xfId="0" applyNumberFormat="1" applyFont="1" applyFill="1" applyBorder="1"/>
    <xf numFmtId="3" fontId="16" fillId="0" borderId="57" xfId="0" applyNumberFormat="1" applyFont="1" applyBorder="1"/>
    <xf numFmtId="3" fontId="16" fillId="0" borderId="28" xfId="0" applyNumberFormat="1" applyFont="1" applyFill="1" applyBorder="1" applyAlignment="1">
      <alignment horizontal="center" vertical="center" wrapText="1"/>
    </xf>
    <xf numFmtId="0" fontId="0" fillId="34" borderId="24" xfId="0" applyFill="1" applyBorder="1"/>
    <xf numFmtId="3" fontId="4" fillId="0" borderId="98" xfId="0" applyNumberFormat="1" applyFont="1" applyBorder="1"/>
    <xf numFmtId="3" fontId="16" fillId="0" borderId="23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4" fillId="16" borderId="98" xfId="0" applyNumberFormat="1" applyFont="1" applyFill="1" applyBorder="1"/>
    <xf numFmtId="0" fontId="0" fillId="34" borderId="2" xfId="0" applyFill="1" applyBorder="1" applyAlignment="1">
      <alignment wrapText="1"/>
    </xf>
    <xf numFmtId="0" fontId="0" fillId="34" borderId="3" xfId="0" applyFill="1" applyBorder="1"/>
    <xf numFmtId="0" fontId="0" fillId="34" borderId="3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0" fillId="7" borderId="8" xfId="0" applyNumberFormat="1" applyFill="1" applyBorder="1"/>
    <xf numFmtId="3" fontId="4" fillId="0" borderId="72" xfId="0" applyNumberFormat="1" applyFont="1" applyBorder="1"/>
    <xf numFmtId="3" fontId="0" fillId="0" borderId="96" xfId="0" applyNumberFormat="1" applyBorder="1"/>
    <xf numFmtId="3" fontId="4" fillId="0" borderId="96" xfId="0" applyNumberFormat="1" applyFont="1" applyFill="1" applyBorder="1"/>
    <xf numFmtId="3" fontId="4" fillId="16" borderId="72" xfId="0" applyNumberFormat="1" applyFont="1" applyFill="1" applyBorder="1"/>
    <xf numFmtId="169" fontId="0" fillId="0" borderId="98" xfId="0" applyNumberFormat="1" applyBorder="1"/>
    <xf numFmtId="3" fontId="0" fillId="0" borderId="105" xfId="0" applyNumberFormat="1" applyFill="1" applyBorder="1"/>
    <xf numFmtId="0" fontId="0" fillId="0" borderId="37" xfId="0" applyBorder="1"/>
    <xf numFmtId="3" fontId="16" fillId="0" borderId="8" xfId="0" applyNumberFormat="1" applyFont="1" applyBorder="1" applyAlignment="1">
      <alignment horizontal="center" vertical="center" wrapText="1"/>
    </xf>
    <xf numFmtId="9" fontId="16" fillId="0" borderId="0" xfId="9" applyFont="1" applyFill="1" applyBorder="1" applyAlignment="1">
      <alignment horizontal="center" vertical="center"/>
    </xf>
    <xf numFmtId="0" fontId="4" fillId="0" borderId="0" xfId="5" applyFont="1"/>
    <xf numFmtId="0" fontId="16" fillId="10" borderId="0" xfId="0" applyFont="1" applyFill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/>
    </xf>
    <xf numFmtId="4" fontId="23" fillId="0" borderId="0" xfId="0" applyNumberFormat="1" applyFont="1"/>
    <xf numFmtId="10" fontId="0" fillId="49" borderId="31" xfId="3" applyNumberFormat="1" applyFont="1" applyFill="1" applyBorder="1"/>
    <xf numFmtId="3" fontId="72" fillId="0" borderId="0" xfId="16" applyNumberFormat="1" applyFont="1"/>
    <xf numFmtId="10" fontId="0" fillId="49" borderId="20" xfId="3" applyNumberFormat="1" applyFont="1" applyFill="1" applyBorder="1"/>
    <xf numFmtId="3" fontId="14" fillId="0" borderId="0" xfId="16" applyNumberFormat="1" applyFont="1"/>
    <xf numFmtId="0" fontId="0" fillId="0" borderId="0" xfId="0"/>
    <xf numFmtId="0" fontId="0" fillId="49" borderId="93" xfId="0" applyFill="1" applyBorder="1" applyAlignment="1">
      <alignment horizontal="center"/>
    </xf>
    <xf numFmtId="0" fontId="0" fillId="34" borderId="39" xfId="0" applyFill="1" applyBorder="1"/>
    <xf numFmtId="0" fontId="23" fillId="0" borderId="0" xfId="0" applyFont="1"/>
    <xf numFmtId="4" fontId="0" fillId="0" borderId="130" xfId="0" applyNumberFormat="1" applyBorder="1"/>
    <xf numFmtId="0" fontId="0" fillId="0" borderId="130" xfId="0" applyBorder="1" applyAlignment="1">
      <alignment horizontal="center"/>
    </xf>
    <xf numFmtId="4" fontId="69" fillId="0" borderId="130" xfId="0" applyNumberFormat="1" applyFont="1" applyBorder="1" applyAlignment="1">
      <alignment horizontal="right"/>
    </xf>
    <xf numFmtId="4" fontId="23" fillId="0" borderId="130" xfId="0" applyNumberFormat="1" applyFont="1" applyBorder="1" applyAlignment="1">
      <alignment horizontal="right"/>
    </xf>
    <xf numFmtId="0" fontId="0" fillId="0" borderId="130" xfId="0" applyFont="1" applyBorder="1" applyAlignment="1">
      <alignment horizontal="center"/>
    </xf>
    <xf numFmtId="4" fontId="0" fillId="0" borderId="130" xfId="0" applyNumberFormat="1" applyFont="1" applyBorder="1"/>
    <xf numFmtId="4" fontId="69" fillId="16" borderId="130" xfId="0" applyNumberFormat="1" applyFont="1" applyFill="1" applyBorder="1" applyAlignment="1">
      <alignment horizontal="right"/>
    </xf>
    <xf numFmtId="0" fontId="0" fillId="0" borderId="130" xfId="0" applyBorder="1"/>
    <xf numFmtId="0" fontId="0" fillId="0" borderId="131" xfId="0" applyBorder="1"/>
    <xf numFmtId="0" fontId="0" fillId="0" borderId="13" xfId="0" applyBorder="1"/>
    <xf numFmtId="0" fontId="0" fillId="0" borderId="14" xfId="0" applyBorder="1"/>
    <xf numFmtId="0" fontId="0" fillId="82" borderId="39" xfId="0" applyFill="1" applyBorder="1" applyAlignment="1">
      <alignment horizontal="center"/>
    </xf>
    <xf numFmtId="0" fontId="76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69" fillId="36" borderId="20" xfId="0" applyFont="1" applyFill="1" applyBorder="1" applyAlignment="1">
      <alignment horizontal="center"/>
    </xf>
    <xf numFmtId="0" fontId="23" fillId="36" borderId="20" xfId="0" applyFont="1" applyFill="1" applyBorder="1" applyAlignment="1">
      <alignment horizontal="center"/>
    </xf>
    <xf numFmtId="0" fontId="23" fillId="82" borderId="93" xfId="0" applyFont="1" applyFill="1" applyBorder="1" applyAlignment="1">
      <alignment horizontal="center"/>
    </xf>
    <xf numFmtId="0" fontId="77" fillId="36" borderId="40" xfId="0" applyFont="1" applyFill="1" applyBorder="1" applyAlignment="1">
      <alignment horizontal="center"/>
    </xf>
    <xf numFmtId="3" fontId="77" fillId="0" borderId="131" xfId="0" applyNumberFormat="1" applyFont="1" applyBorder="1"/>
    <xf numFmtId="0" fontId="4" fillId="7" borderId="130" xfId="0" applyFont="1" applyFill="1" applyBorder="1" applyAlignment="1">
      <alignment horizontal="center"/>
    </xf>
    <xf numFmtId="4" fontId="0" fillId="49" borderId="20" xfId="0" applyNumberFormat="1" applyFill="1" applyBorder="1"/>
    <xf numFmtId="4" fontId="0" fillId="49" borderId="78" xfId="0" applyNumberFormat="1" applyFill="1" applyBorder="1"/>
    <xf numFmtId="4" fontId="0" fillId="49" borderId="13" xfId="0" applyNumberFormat="1" applyFill="1" applyBorder="1"/>
    <xf numFmtId="4" fontId="0" fillId="49" borderId="31" xfId="0" applyNumberFormat="1" applyFill="1" applyBorder="1"/>
    <xf numFmtId="4" fontId="0" fillId="49" borderId="40" xfId="0" applyNumberFormat="1" applyFill="1" applyBorder="1"/>
    <xf numFmtId="4" fontId="0" fillId="49" borderId="90" xfId="0" applyNumberFormat="1" applyFill="1" applyBorder="1"/>
    <xf numFmtId="4" fontId="0" fillId="49" borderId="14" xfId="0" applyNumberFormat="1" applyFill="1" applyBorder="1"/>
    <xf numFmtId="0" fontId="78" fillId="0" borderId="130" xfId="0" applyFont="1" applyBorder="1"/>
    <xf numFmtId="0" fontId="78" fillId="0" borderId="130" xfId="132" applyFont="1" applyBorder="1"/>
    <xf numFmtId="0" fontId="78" fillId="0" borderId="0" xfId="0" applyFont="1"/>
    <xf numFmtId="0" fontId="69" fillId="0" borderId="130" xfId="0" applyFont="1" applyBorder="1"/>
    <xf numFmtId="0" fontId="23" fillId="0" borderId="130" xfId="0" applyFont="1" applyBorder="1"/>
    <xf numFmtId="0" fontId="69" fillId="0" borderId="13" xfId="0" applyFont="1" applyBorder="1"/>
    <xf numFmtId="0" fontId="23" fillId="0" borderId="13" xfId="0" applyFont="1" applyBorder="1"/>
    <xf numFmtId="0" fontId="0" fillId="34" borderId="132" xfId="0" applyFill="1" applyBorder="1"/>
    <xf numFmtId="0" fontId="0" fillId="34" borderId="91" xfId="0" applyFill="1" applyBorder="1" applyAlignment="1">
      <alignment horizontal="left"/>
    </xf>
    <xf numFmtId="0" fontId="78" fillId="0" borderId="20" xfId="0" applyFont="1" applyBorder="1"/>
    <xf numFmtId="0" fontId="0" fillId="82" borderId="133" xfId="0" applyFill="1" applyBorder="1" applyAlignment="1">
      <alignment horizontal="center"/>
    </xf>
    <xf numFmtId="0" fontId="0" fillId="7" borderId="133" xfId="0" applyFill="1" applyBorder="1" applyAlignment="1">
      <alignment horizontal="center"/>
    </xf>
    <xf numFmtId="0" fontId="74" fillId="7" borderId="133" xfId="0" applyFont="1" applyFill="1" applyBorder="1" applyAlignment="1">
      <alignment horizontal="center"/>
    </xf>
    <xf numFmtId="0" fontId="78" fillId="7" borderId="130" xfId="0" applyFont="1" applyFill="1" applyBorder="1"/>
    <xf numFmtId="0" fontId="78" fillId="7" borderId="133" xfId="0" applyFont="1" applyFill="1" applyBorder="1"/>
    <xf numFmtId="0" fontId="0" fillId="0" borderId="107" xfId="0" applyBorder="1" applyAlignment="1">
      <alignment horizontal="center"/>
    </xf>
    <xf numFmtId="0" fontId="78" fillId="0" borderId="107" xfId="0" applyFont="1" applyBorder="1"/>
    <xf numFmtId="4" fontId="0" fillId="0" borderId="0" xfId="0" applyNumberFormat="1"/>
    <xf numFmtId="3" fontId="16" fillId="7" borderId="43" xfId="10" applyNumberFormat="1" applyFont="1" applyFill="1" applyBorder="1" applyAlignment="1">
      <alignment horizontal="right"/>
    </xf>
    <xf numFmtId="3" fontId="16" fillId="33" borderId="43" xfId="4" applyNumberFormat="1" applyFont="1" applyFill="1" applyBorder="1" applyAlignment="1">
      <alignment horizontal="right"/>
    </xf>
    <xf numFmtId="4" fontId="16" fillId="7" borderId="57" xfId="0" applyNumberFormat="1" applyFont="1" applyFill="1" applyBorder="1"/>
    <xf numFmtId="3" fontId="16" fillId="4" borderId="149" xfId="4" applyNumberFormat="1" applyFont="1" applyBorder="1" applyAlignment="1">
      <alignment horizontal="right"/>
    </xf>
    <xf numFmtId="4" fontId="16" fillId="13" borderId="57" xfId="0" applyNumberFormat="1" applyFont="1" applyFill="1" applyBorder="1" applyAlignment="1">
      <alignment horizontal="right"/>
    </xf>
    <xf numFmtId="0" fontId="0" fillId="0" borderId="0" xfId="0"/>
    <xf numFmtId="171" fontId="16" fillId="13" borderId="41" xfId="3" applyNumberFormat="1" applyFont="1" applyFill="1" applyBorder="1" applyAlignment="1">
      <alignment horizontal="right"/>
    </xf>
    <xf numFmtId="4" fontId="16" fillId="0" borderId="20" xfId="0" applyNumberFormat="1" applyFont="1" applyBorder="1"/>
    <xf numFmtId="9" fontId="16" fillId="7" borderId="43" xfId="3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4" fontId="16" fillId="7" borderId="8" xfId="0" applyNumberFormat="1" applyFont="1" applyFill="1" applyBorder="1"/>
    <xf numFmtId="4" fontId="16" fillId="7" borderId="54" xfId="0" applyNumberFormat="1" applyFont="1" applyFill="1" applyBorder="1"/>
    <xf numFmtId="169" fontId="16" fillId="7" borderId="11" xfId="0" applyNumberFormat="1" applyFont="1" applyFill="1" applyBorder="1"/>
    <xf numFmtId="169" fontId="16" fillId="7" borderId="12" xfId="0" applyNumberFormat="1" applyFont="1" applyFill="1" applyBorder="1"/>
    <xf numFmtId="3" fontId="16" fillId="13" borderId="41" xfId="10" applyNumberFormat="1" applyFont="1" applyFill="1" applyBorder="1" applyAlignment="1">
      <alignment horizontal="right"/>
    </xf>
    <xf numFmtId="0" fontId="0" fillId="0" borderId="161" xfId="0" applyBorder="1" applyAlignment="1">
      <alignment horizontal="center"/>
    </xf>
    <xf numFmtId="3" fontId="16" fillId="0" borderId="77" xfId="0" applyNumberFormat="1" applyFont="1" applyBorder="1" applyAlignment="1">
      <alignment horizontal="right" indent="1"/>
    </xf>
    <xf numFmtId="3" fontId="16" fillId="7" borderId="56" xfId="0" applyNumberFormat="1" applyFont="1" applyFill="1" applyBorder="1" applyAlignment="1">
      <alignment horizontal="right" indent="1"/>
    </xf>
    <xf numFmtId="0" fontId="0" fillId="0" borderId="0" xfId="0" applyFill="1" applyBorder="1"/>
    <xf numFmtId="4" fontId="0" fillId="0" borderId="0" xfId="0" applyNumberFormat="1" applyBorder="1"/>
    <xf numFmtId="3" fontId="0" fillId="0" borderId="0" xfId="0" applyNumberFormat="1" applyFill="1" applyBorder="1" applyAlignment="1">
      <alignment horizontal="center" vertical="center"/>
    </xf>
    <xf numFmtId="10" fontId="0" fillId="0" borderId="0" xfId="3" applyNumberFormat="1" applyFont="1" applyFill="1" applyBorder="1"/>
    <xf numFmtId="0" fontId="15" fillId="54" borderId="57" xfId="16" applyFont="1" applyFill="1" applyBorder="1" applyAlignment="1">
      <alignment horizontal="center" vertical="center" wrapText="1"/>
    </xf>
    <xf numFmtId="0" fontId="0" fillId="82" borderId="165" xfId="0" applyFill="1" applyBorder="1" applyAlignment="1">
      <alignment horizontal="center"/>
    </xf>
    <xf numFmtId="3" fontId="71" fillId="0" borderId="167" xfId="16" applyNumberFormat="1" applyFont="1" applyBorder="1" applyAlignment="1">
      <alignment horizontal="left" vertical="center" wrapText="1"/>
    </xf>
    <xf numFmtId="3" fontId="71" fillId="0" borderId="166" xfId="16" applyNumberFormat="1" applyFont="1" applyBorder="1" applyAlignment="1">
      <alignment vertical="center" wrapText="1"/>
    </xf>
    <xf numFmtId="3" fontId="71" fillId="0" borderId="166" xfId="16" applyNumberFormat="1" applyFont="1" applyBorder="1" applyAlignment="1">
      <alignment horizontal="left" vertical="center"/>
    </xf>
    <xf numFmtId="0" fontId="71" fillId="16" borderId="166" xfId="16" applyFont="1" applyFill="1" applyBorder="1" applyAlignment="1">
      <alignment horizontal="left" vertical="center"/>
    </xf>
    <xf numFmtId="0" fontId="75" fillId="0" borderId="166" xfId="16" applyFont="1" applyFill="1" applyBorder="1" applyAlignment="1">
      <alignment horizontal="left" vertical="center" wrapText="1"/>
    </xf>
    <xf numFmtId="0" fontId="73" fillId="7" borderId="165" xfId="16" applyFont="1" applyFill="1" applyBorder="1" applyAlignment="1">
      <alignment horizontal="left" vertical="center" wrapText="1"/>
    </xf>
    <xf numFmtId="0" fontId="0" fillId="82" borderId="168" xfId="0" applyFill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4" xfId="0" applyBorder="1" applyAlignment="1">
      <alignment horizontal="center"/>
    </xf>
    <xf numFmtId="0" fontId="0" fillId="7" borderId="168" xfId="0" applyFill="1" applyBorder="1" applyAlignment="1">
      <alignment horizontal="center"/>
    </xf>
    <xf numFmtId="0" fontId="0" fillId="0" borderId="163" xfId="0" applyFont="1" applyBorder="1" applyAlignment="1">
      <alignment horizontal="center"/>
    </xf>
    <xf numFmtId="0" fontId="0" fillId="7" borderId="168" xfId="0" applyFont="1" applyFill="1" applyBorder="1" applyAlignment="1">
      <alignment horizontal="center"/>
    </xf>
    <xf numFmtId="0" fontId="4" fillId="7" borderId="163" xfId="0" applyFont="1" applyFill="1" applyBorder="1" applyAlignment="1">
      <alignment horizontal="center"/>
    </xf>
    <xf numFmtId="0" fontId="80" fillId="82" borderId="112" xfId="0" applyFont="1" applyFill="1" applyBorder="1" applyAlignment="1">
      <alignment horizontal="center"/>
    </xf>
    <xf numFmtId="4" fontId="80" fillId="0" borderId="149" xfId="0" applyNumberFormat="1" applyFont="1" applyBorder="1"/>
    <xf numFmtId="4" fontId="80" fillId="0" borderId="169" xfId="0" applyNumberFormat="1" applyFont="1" applyBorder="1"/>
    <xf numFmtId="4" fontId="80" fillId="7" borderId="115" xfId="0" applyNumberFormat="1" applyFont="1" applyFill="1" applyBorder="1"/>
    <xf numFmtId="4" fontId="17" fillId="16" borderId="149" xfId="0" applyNumberFormat="1" applyFont="1" applyFill="1" applyBorder="1"/>
    <xf numFmtId="4" fontId="80" fillId="16" borderId="149" xfId="0" applyNumberFormat="1" applyFont="1" applyFill="1" applyBorder="1"/>
    <xf numFmtId="4" fontId="80" fillId="7" borderId="56" xfId="0" applyNumberFormat="1" applyFont="1" applyFill="1" applyBorder="1"/>
    <xf numFmtId="0" fontId="69" fillId="82" borderId="165" xfId="0" applyFont="1" applyFill="1" applyBorder="1" applyAlignment="1">
      <alignment horizontal="center"/>
    </xf>
    <xf numFmtId="4" fontId="69" fillId="0" borderId="166" xfId="0" applyNumberFormat="1" applyFont="1" applyBorder="1" applyAlignment="1">
      <alignment horizontal="right"/>
    </xf>
    <xf numFmtId="4" fontId="69" fillId="0" borderId="167" xfId="0" applyNumberFormat="1" applyFont="1" applyBorder="1" applyAlignment="1">
      <alignment horizontal="center"/>
    </xf>
    <xf numFmtId="4" fontId="69" fillId="7" borderId="165" xfId="0" applyNumberFormat="1" applyFont="1" applyFill="1" applyBorder="1" applyAlignment="1">
      <alignment horizontal="right"/>
    </xf>
    <xf numFmtId="4" fontId="70" fillId="0" borderId="166" xfId="0" applyNumberFormat="1" applyFont="1" applyBorder="1" applyAlignment="1">
      <alignment horizontal="right"/>
    </xf>
    <xf numFmtId="4" fontId="74" fillId="7" borderId="165" xfId="0" applyNumberFormat="1" applyFont="1" applyFill="1" applyBorder="1" applyAlignment="1">
      <alignment horizontal="right"/>
    </xf>
    <xf numFmtId="4" fontId="4" fillId="7" borderId="166" xfId="0" applyNumberFormat="1" applyFont="1" applyFill="1" applyBorder="1"/>
    <xf numFmtId="3" fontId="77" fillId="0" borderId="163" xfId="0" applyNumberFormat="1" applyFont="1" applyBorder="1"/>
    <xf numFmtId="3" fontId="77" fillId="0" borderId="164" xfId="0" applyNumberFormat="1" applyFont="1" applyBorder="1"/>
    <xf numFmtId="3" fontId="77" fillId="7" borderId="168" xfId="0" applyNumberFormat="1" applyFont="1" applyFill="1" applyBorder="1"/>
    <xf numFmtId="4" fontId="77" fillId="0" borderId="163" xfId="0" applyNumberFormat="1" applyFont="1" applyBorder="1"/>
    <xf numFmtId="4" fontId="77" fillId="7" borderId="168" xfId="0" applyNumberFormat="1" applyFont="1" applyFill="1" applyBorder="1"/>
    <xf numFmtId="4" fontId="4" fillId="7" borderId="163" xfId="0" applyNumberFormat="1" applyFont="1" applyFill="1" applyBorder="1"/>
    <xf numFmtId="0" fontId="23" fillId="82" borderId="112" xfId="0" applyFont="1" applyFill="1" applyBorder="1" applyAlignment="1">
      <alignment horizontal="center"/>
    </xf>
    <xf numFmtId="4" fontId="23" fillId="0" borderId="149" xfId="0" applyNumberFormat="1" applyFont="1" applyBorder="1" applyAlignment="1">
      <alignment horizontal="right"/>
    </xf>
    <xf numFmtId="4" fontId="23" fillId="7" borderId="115" xfId="0" applyNumberFormat="1" applyFont="1" applyFill="1" applyBorder="1" applyAlignment="1">
      <alignment horizontal="right"/>
    </xf>
    <xf numFmtId="0" fontId="78" fillId="0" borderId="163" xfId="0" applyFont="1" applyBorder="1"/>
    <xf numFmtId="4" fontId="77" fillId="0" borderId="164" xfId="0" applyNumberFormat="1" applyFont="1" applyBorder="1"/>
    <xf numFmtId="4" fontId="23" fillId="0" borderId="41" xfId="0" applyNumberFormat="1" applyFont="1" applyBorder="1" applyAlignment="1">
      <alignment horizontal="right"/>
    </xf>
    <xf numFmtId="4" fontId="77" fillId="0" borderId="45" xfId="0" applyNumberFormat="1" applyFont="1" applyBorder="1"/>
    <xf numFmtId="4" fontId="23" fillId="0" borderId="43" xfId="0" applyNumberFormat="1" applyFont="1" applyBorder="1" applyAlignment="1">
      <alignment horizontal="right"/>
    </xf>
    <xf numFmtId="0" fontId="0" fillId="16" borderId="0" xfId="0" applyFill="1"/>
    <xf numFmtId="4" fontId="23" fillId="0" borderId="56" xfId="0" applyNumberFormat="1" applyFont="1" applyBorder="1" applyAlignment="1">
      <alignment horizontal="right"/>
    </xf>
    <xf numFmtId="181" fontId="16" fillId="7" borderId="40" xfId="143" applyNumberFormat="1" applyFont="1" applyFill="1" applyBorder="1" applyAlignment="1">
      <alignment horizontal="left"/>
    </xf>
    <xf numFmtId="172" fontId="16" fillId="0" borderId="132" xfId="0" applyNumberFormat="1" applyFont="1" applyBorder="1"/>
    <xf numFmtId="166" fontId="16" fillId="0" borderId="0" xfId="0" applyNumberFormat="1" applyFont="1"/>
    <xf numFmtId="4" fontId="16" fillId="0" borderId="161" xfId="0" applyNumberFormat="1" applyFont="1" applyBorder="1"/>
    <xf numFmtId="179" fontId="16" fillId="7" borderId="9" xfId="0" applyNumberFormat="1" applyFont="1" applyFill="1" applyBorder="1"/>
    <xf numFmtId="179" fontId="16" fillId="0" borderId="96" xfId="0" applyNumberFormat="1" applyFont="1" applyBorder="1"/>
    <xf numFmtId="179" fontId="16" fillId="0" borderId="162" xfId="0" applyNumberFormat="1" applyFont="1" applyBorder="1"/>
    <xf numFmtId="179" fontId="16" fillId="7" borderId="43" xfId="0" applyNumberFormat="1" applyFont="1" applyFill="1" applyBorder="1"/>
    <xf numFmtId="179" fontId="16" fillId="0" borderId="77" xfId="0" applyNumberFormat="1" applyFont="1" applyBorder="1"/>
    <xf numFmtId="179" fontId="16" fillId="7" borderId="56" xfId="0" applyNumberFormat="1" applyFont="1" applyFill="1" applyBorder="1"/>
    <xf numFmtId="179" fontId="16" fillId="11" borderId="57" xfId="0" applyNumberFormat="1" applyFont="1" applyFill="1" applyBorder="1"/>
    <xf numFmtId="0" fontId="16" fillId="0" borderId="149" xfId="0" applyFont="1" applyBorder="1"/>
    <xf numFmtId="0" fontId="16" fillId="16" borderId="149" xfId="0" applyFont="1" applyFill="1" applyBorder="1"/>
    <xf numFmtId="171" fontId="16" fillId="7" borderId="7" xfId="3" applyNumberFormat="1" applyFont="1" applyFill="1" applyBorder="1" applyAlignment="1">
      <alignment horizontal="center"/>
    </xf>
    <xf numFmtId="171" fontId="16" fillId="25" borderId="39" xfId="3" applyNumberFormat="1" applyFont="1" applyFill="1" applyBorder="1" applyAlignment="1">
      <alignment horizontal="center"/>
    </xf>
    <xf numFmtId="171" fontId="16" fillId="7" borderId="12" xfId="0" applyNumberFormat="1" applyFont="1" applyFill="1" applyBorder="1" applyAlignment="1">
      <alignment horizontal="center"/>
    </xf>
    <xf numFmtId="181" fontId="25" fillId="0" borderId="40" xfId="143" applyNumberFormat="1" applyFont="1" applyBorder="1"/>
    <xf numFmtId="0" fontId="78" fillId="0" borderId="170" xfId="0" applyFont="1" applyBorder="1"/>
    <xf numFmtId="0" fontId="0" fillId="0" borderId="166" xfId="0" applyBorder="1"/>
    <xf numFmtId="0" fontId="0" fillId="0" borderId="166" xfId="0" applyBorder="1" applyAlignment="1">
      <alignment wrapText="1"/>
    </xf>
    <xf numFmtId="0" fontId="0" fillId="16" borderId="163" xfId="0" applyFill="1" applyBorder="1" applyAlignment="1">
      <alignment horizontal="center"/>
    </xf>
    <xf numFmtId="4" fontId="0" fillId="0" borderId="41" xfId="0" applyNumberFormat="1" applyBorder="1"/>
    <xf numFmtId="4" fontId="0" fillId="0" borderId="149" xfId="0" applyNumberFormat="1" applyBorder="1"/>
    <xf numFmtId="4" fontId="0" fillId="0" borderId="56" xfId="0" applyNumberFormat="1" applyBorder="1"/>
    <xf numFmtId="4" fontId="69" fillId="16" borderId="166" xfId="0" applyNumberFormat="1" applyFont="1" applyFill="1" applyBorder="1" applyAlignment="1">
      <alignment horizontal="right"/>
    </xf>
    <xf numFmtId="4" fontId="69" fillId="0" borderId="166" xfId="0" applyNumberFormat="1" applyFont="1" applyBorder="1" applyAlignment="1">
      <alignment horizontal="center"/>
    </xf>
    <xf numFmtId="4" fontId="82" fillId="0" borderId="163" xfId="0" applyNumberFormat="1" applyFont="1" applyBorder="1" applyAlignment="1"/>
    <xf numFmtId="0" fontId="0" fillId="0" borderId="163" xfId="0" applyBorder="1"/>
    <xf numFmtId="4" fontId="23" fillId="16" borderId="149" xfId="0" applyNumberFormat="1" applyFont="1" applyFill="1" applyBorder="1" applyAlignment="1">
      <alignment horizontal="right"/>
    </xf>
    <xf numFmtId="0" fontId="0" fillId="0" borderId="172" xfId="0" applyBorder="1"/>
    <xf numFmtId="4" fontId="23" fillId="7" borderId="56" xfId="0" applyNumberFormat="1" applyFont="1" applyFill="1" applyBorder="1"/>
    <xf numFmtId="4" fontId="85" fillId="7" borderId="171" xfId="0" applyNumberFormat="1" applyFont="1" applyFill="1" applyBorder="1" applyAlignment="1">
      <alignment horizontal="right"/>
    </xf>
    <xf numFmtId="4" fontId="85" fillId="7" borderId="115" xfId="0" applyNumberFormat="1" applyFont="1" applyFill="1" applyBorder="1" applyAlignment="1">
      <alignment horizontal="right"/>
    </xf>
    <xf numFmtId="183" fontId="4" fillId="0" borderId="161" xfId="0" applyNumberFormat="1" applyFont="1" applyBorder="1"/>
    <xf numFmtId="0" fontId="0" fillId="34" borderId="30" xfId="0" applyFill="1" applyBorder="1"/>
    <xf numFmtId="3" fontId="14" fillId="34" borderId="149" xfId="16" applyNumberFormat="1" applyFont="1" applyFill="1" applyBorder="1" applyAlignment="1">
      <alignment vertical="center"/>
    </xf>
    <xf numFmtId="3" fontId="14" fillId="14" borderId="149" xfId="16" applyNumberFormat="1" applyFont="1" applyFill="1" applyBorder="1" applyAlignment="1">
      <alignment horizontal="right" vertical="center"/>
    </xf>
    <xf numFmtId="3" fontId="14" fillId="49" borderId="149" xfId="16" applyNumberFormat="1" applyFont="1" applyFill="1" applyBorder="1" applyAlignment="1">
      <alignment vertical="center"/>
    </xf>
    <xf numFmtId="0" fontId="57" fillId="0" borderId="24" xfId="16" applyFont="1" applyBorder="1" applyAlignment="1">
      <alignment horizontal="center" vertical="center"/>
    </xf>
    <xf numFmtId="0" fontId="66" fillId="54" borderId="19" xfId="16" applyFont="1" applyFill="1" applyBorder="1" applyAlignment="1">
      <alignment horizontal="center" vertical="center" wrapText="1"/>
    </xf>
    <xf numFmtId="0" fontId="57" fillId="54" borderId="25" xfId="16" applyFont="1" applyFill="1" applyBorder="1" applyAlignment="1">
      <alignment horizontal="center" vertical="center"/>
    </xf>
    <xf numFmtId="0" fontId="15" fillId="54" borderId="19" xfId="16" applyFont="1" applyFill="1" applyBorder="1" applyAlignment="1">
      <alignment horizontal="center" vertical="center" wrapText="1"/>
    </xf>
    <xf numFmtId="0" fontId="14" fillId="0" borderId="0" xfId="16" applyFont="1" applyFill="1" applyBorder="1"/>
    <xf numFmtId="3" fontId="14" fillId="0" borderId="25" xfId="16" applyNumberFormat="1" applyFont="1" applyFill="1" applyBorder="1" applyAlignment="1">
      <alignment vertical="center"/>
    </xf>
    <xf numFmtId="3" fontId="15" fillId="0" borderId="25" xfId="16" applyNumberFormat="1" applyFont="1" applyFill="1" applyBorder="1" applyAlignment="1">
      <alignment horizontal="left" vertical="center" wrapText="1"/>
    </xf>
    <xf numFmtId="3" fontId="68" fillId="0" borderId="25" xfId="16" applyNumberFormat="1" applyFont="1" applyFill="1" applyBorder="1" applyAlignment="1">
      <alignment vertical="center"/>
    </xf>
    <xf numFmtId="3" fontId="18" fillId="34" borderId="180" xfId="16" applyNumberFormat="1" applyFont="1" applyFill="1" applyBorder="1" applyAlignment="1">
      <alignment vertical="center" wrapText="1"/>
    </xf>
    <xf numFmtId="3" fontId="68" fillId="34" borderId="149" xfId="16" applyNumberFormat="1" applyFont="1" applyFill="1" applyBorder="1" applyAlignment="1">
      <alignment vertical="center" wrapText="1"/>
    </xf>
    <xf numFmtId="3" fontId="14" fillId="34" borderId="181" xfId="16" applyNumberFormat="1" applyFont="1" applyFill="1" applyBorder="1" applyAlignment="1">
      <alignment vertical="center"/>
    </xf>
    <xf numFmtId="3" fontId="14" fillId="34" borderId="149" xfId="16" applyNumberFormat="1" applyFont="1" applyFill="1" applyBorder="1" applyAlignment="1">
      <alignment vertical="center" wrapText="1"/>
    </xf>
    <xf numFmtId="3" fontId="14" fillId="34" borderId="149" xfId="16" applyNumberFormat="1" applyFont="1" applyFill="1" applyBorder="1" applyAlignment="1">
      <alignment horizontal="left" vertical="center" wrapText="1"/>
    </xf>
    <xf numFmtId="3" fontId="14" fillId="34" borderId="180" xfId="16" applyNumberFormat="1" applyFont="1" applyFill="1" applyBorder="1" applyAlignment="1">
      <alignment horizontal="left" vertical="center" wrapText="1"/>
    </xf>
    <xf numFmtId="3" fontId="18" fillId="34" borderId="180" xfId="16" applyNumberFormat="1" applyFont="1" applyFill="1" applyBorder="1" applyAlignment="1">
      <alignment horizontal="left" vertical="center" wrapText="1"/>
    </xf>
    <xf numFmtId="3" fontId="14" fillId="34" borderId="173" xfId="16" applyNumberFormat="1" applyFont="1" applyFill="1" applyBorder="1" applyAlignment="1">
      <alignment vertical="center"/>
    </xf>
    <xf numFmtId="3" fontId="14" fillId="14" borderId="180" xfId="16" applyNumberFormat="1" applyFont="1" applyFill="1" applyBorder="1" applyAlignment="1">
      <alignment horizontal="left" vertical="center" wrapText="1"/>
    </xf>
    <xf numFmtId="3" fontId="68" fillId="14" borderId="149" xfId="16" applyNumberFormat="1" applyFont="1" applyFill="1" applyBorder="1" applyAlignment="1">
      <alignment horizontal="right" vertical="center"/>
    </xf>
    <xf numFmtId="3" fontId="14" fillId="14" borderId="181" xfId="16" applyNumberFormat="1" applyFont="1" applyFill="1" applyBorder="1" applyAlignment="1">
      <alignment horizontal="right" vertical="center"/>
    </xf>
    <xf numFmtId="3" fontId="68" fillId="14" borderId="149" xfId="16" applyNumberFormat="1" applyFont="1" applyFill="1" applyBorder="1" applyAlignment="1">
      <alignment horizontal="right" vertical="center" wrapText="1"/>
    </xf>
    <xf numFmtId="3" fontId="14" fillId="14" borderId="173" xfId="16" applyNumberFormat="1" applyFont="1" applyFill="1" applyBorder="1"/>
    <xf numFmtId="3" fontId="14" fillId="49" borderId="180" xfId="16" applyNumberFormat="1" applyFont="1" applyFill="1" applyBorder="1" applyAlignment="1">
      <alignment horizontal="left" vertical="center" wrapText="1"/>
    </xf>
    <xf numFmtId="3" fontId="68" fillId="49" borderId="149" xfId="16" applyNumberFormat="1" applyFont="1" applyFill="1" applyBorder="1" applyAlignment="1">
      <alignment horizontal="right" vertical="center" wrapText="1"/>
    </xf>
    <xf numFmtId="3" fontId="14" fillId="49" borderId="181" xfId="16" applyNumberFormat="1" applyFont="1" applyFill="1" applyBorder="1" applyAlignment="1">
      <alignment vertical="center"/>
    </xf>
    <xf numFmtId="3" fontId="18" fillId="49" borderId="180" xfId="16" applyNumberFormat="1" applyFont="1" applyFill="1" applyBorder="1" applyAlignment="1">
      <alignment horizontal="left" vertical="center" wrapText="1"/>
    </xf>
    <xf numFmtId="3" fontId="14" fillId="49" borderId="173" xfId="16" applyNumberFormat="1" applyFont="1" applyFill="1" applyBorder="1" applyAlignment="1">
      <alignment vertical="center"/>
    </xf>
    <xf numFmtId="1" fontId="14" fillId="49" borderId="173" xfId="16" applyNumberFormat="1" applyFont="1" applyFill="1" applyBorder="1" applyAlignment="1">
      <alignment vertic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Border="1" applyAlignment="1">
      <alignment horizontal="right" vertical="center"/>
    </xf>
    <xf numFmtId="0" fontId="78" fillId="0" borderId="161" xfId="0" applyFont="1" applyBorder="1"/>
    <xf numFmtId="170" fontId="14" fillId="24" borderId="37" xfId="3" applyNumberFormat="1" applyFont="1" applyFill="1" applyBorder="1" applyAlignment="1">
      <alignment vertical="center"/>
    </xf>
    <xf numFmtId="170" fontId="14" fillId="24" borderId="61" xfId="3" applyNumberFormat="1" applyFont="1" applyFill="1" applyBorder="1" applyAlignment="1">
      <alignment vertical="center"/>
    </xf>
    <xf numFmtId="170" fontId="15" fillId="24" borderId="24" xfId="3" applyNumberFormat="1" applyFont="1" applyFill="1" applyBorder="1" applyAlignment="1">
      <alignment horizontal="left" vertical="center" wrapText="1"/>
    </xf>
    <xf numFmtId="170" fontId="68" fillId="24" borderId="61" xfId="3" applyNumberFormat="1" applyFont="1" applyFill="1" applyBorder="1" applyAlignment="1">
      <alignment vertical="center"/>
    </xf>
    <xf numFmtId="3" fontId="86" fillId="0" borderId="166" xfId="16" applyNumberFormat="1" applyFont="1" applyBorder="1" applyAlignment="1">
      <alignment horizontal="left" vertical="center" wrapText="1"/>
    </xf>
    <xf numFmtId="3" fontId="86" fillId="0" borderId="167" xfId="16" applyNumberFormat="1" applyFont="1" applyBorder="1" applyAlignment="1">
      <alignment horizontal="left" vertical="center" wrapText="1"/>
    </xf>
    <xf numFmtId="3" fontId="86" fillId="0" borderId="166" xfId="16" applyNumberFormat="1" applyFont="1" applyBorder="1" applyAlignment="1">
      <alignment vertical="center" wrapText="1"/>
    </xf>
    <xf numFmtId="3" fontId="88" fillId="7" borderId="165" xfId="16" applyNumberFormat="1" applyFont="1" applyFill="1" applyBorder="1" applyAlignment="1">
      <alignment horizontal="left" vertical="center"/>
    </xf>
    <xf numFmtId="3" fontId="89" fillId="7" borderId="165" xfId="16" applyNumberFormat="1" applyFont="1" applyFill="1" applyBorder="1" applyAlignment="1">
      <alignment horizontal="left" vertical="center" wrapText="1"/>
    </xf>
    <xf numFmtId="3" fontId="89" fillId="7" borderId="165" xfId="16" applyNumberFormat="1" applyFont="1" applyFill="1" applyBorder="1" applyAlignment="1">
      <alignment vertical="center" wrapText="1"/>
    </xf>
    <xf numFmtId="0" fontId="88" fillId="7" borderId="165" xfId="16" applyFont="1" applyFill="1" applyBorder="1" applyAlignment="1">
      <alignment horizontal="left" vertical="center"/>
    </xf>
    <xf numFmtId="4" fontId="90" fillId="0" borderId="149" xfId="0" applyNumberFormat="1" applyFont="1" applyBorder="1"/>
    <xf numFmtId="0" fontId="70" fillId="0" borderId="163" xfId="0" applyFont="1" applyBorder="1" applyAlignment="1">
      <alignment horizontal="center"/>
    </xf>
    <xf numFmtId="0" fontId="70" fillId="0" borderId="130" xfId="0" applyFont="1" applyBorder="1" applyAlignment="1">
      <alignment horizontal="center"/>
    </xf>
    <xf numFmtId="4" fontId="91" fillId="0" borderId="149" xfId="0" applyNumberFormat="1" applyFont="1" applyBorder="1" applyAlignment="1">
      <alignment horizontal="right"/>
    </xf>
    <xf numFmtId="3" fontId="92" fillId="0" borderId="166" xfId="16" applyNumberFormat="1" applyFont="1" applyBorder="1" applyAlignment="1">
      <alignment horizontal="left" vertical="center" wrapText="1"/>
    </xf>
    <xf numFmtId="3" fontId="87" fillId="0" borderId="130" xfId="16" applyNumberFormat="1" applyFont="1" applyBorder="1" applyAlignment="1">
      <alignment horizontal="left" vertical="center" wrapText="1"/>
    </xf>
    <xf numFmtId="3" fontId="79" fillId="0" borderId="130" xfId="16" applyNumberFormat="1" applyFont="1" applyBorder="1" applyAlignment="1">
      <alignment horizontal="left" vertical="center" wrapText="1"/>
    </xf>
    <xf numFmtId="3" fontId="93" fillId="7" borderId="130" xfId="16" applyNumberFormat="1" applyFont="1" applyFill="1" applyBorder="1" applyAlignment="1">
      <alignment horizontal="left" vertical="center" wrapText="1"/>
    </xf>
    <xf numFmtId="4" fontId="0" fillId="7" borderId="130" xfId="0" applyNumberFormat="1" applyFill="1" applyBorder="1"/>
    <xf numFmtId="0" fontId="0" fillId="7" borderId="130" xfId="0" applyFill="1" applyBorder="1" applyAlignment="1">
      <alignment horizontal="center"/>
    </xf>
    <xf numFmtId="4" fontId="69" fillId="7" borderId="130" xfId="0" applyNumberFormat="1" applyFont="1" applyFill="1" applyBorder="1" applyAlignment="1">
      <alignment horizontal="right"/>
    </xf>
    <xf numFmtId="4" fontId="23" fillId="7" borderId="130" xfId="0" applyNumberFormat="1" applyFont="1" applyFill="1" applyBorder="1" applyAlignment="1">
      <alignment horizontal="right"/>
    </xf>
    <xf numFmtId="3" fontId="77" fillId="7" borderId="131" xfId="0" applyNumberFormat="1" applyFont="1" applyFill="1" applyBorder="1"/>
    <xf numFmtId="4" fontId="80" fillId="0" borderId="149" xfId="0" applyNumberFormat="1" applyFont="1" applyBorder="1" applyAlignment="1">
      <alignment vertical="center"/>
    </xf>
    <xf numFmtId="0" fontId="0" fillId="0" borderId="163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4" fontId="77" fillId="0" borderId="163" xfId="0" applyNumberFormat="1" applyFont="1" applyBorder="1" applyAlignment="1">
      <alignment vertical="center"/>
    </xf>
    <xf numFmtId="0" fontId="0" fillId="0" borderId="16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169" fontId="16" fillId="7" borderId="6" xfId="0" applyNumberFormat="1" applyFont="1" applyFill="1" applyBorder="1"/>
    <xf numFmtId="169" fontId="16" fillId="7" borderId="13" xfId="0" applyNumberFormat="1" applyFont="1" applyFill="1" applyBorder="1"/>
    <xf numFmtId="172" fontId="16" fillId="7" borderId="41" xfId="0" applyNumberFormat="1" applyFont="1" applyFill="1" applyBorder="1" applyAlignment="1">
      <alignment horizontal="right" indent="1"/>
    </xf>
    <xf numFmtId="172" fontId="16" fillId="7" borderId="42" xfId="0" applyNumberFormat="1" applyFont="1" applyFill="1" applyBorder="1" applyAlignment="1">
      <alignment horizontal="right" indent="1"/>
    </xf>
    <xf numFmtId="172" fontId="16" fillId="7" borderId="76" xfId="0" applyNumberFormat="1" applyFont="1" applyFill="1" applyBorder="1" applyAlignment="1">
      <alignment horizontal="right" indent="1"/>
    </xf>
    <xf numFmtId="172" fontId="16" fillId="7" borderId="43" xfId="0" applyNumberFormat="1" applyFont="1" applyFill="1" applyBorder="1" applyAlignment="1">
      <alignment horizontal="right" indent="1"/>
    </xf>
    <xf numFmtId="172" fontId="16" fillId="7" borderId="77" xfId="0" applyNumberFormat="1" applyFont="1" applyFill="1" applyBorder="1" applyAlignment="1">
      <alignment horizontal="right" indent="1"/>
    </xf>
    <xf numFmtId="172" fontId="16" fillId="7" borderId="47" xfId="0" applyNumberFormat="1" applyFont="1" applyFill="1" applyBorder="1" applyAlignment="1">
      <alignment horizontal="right" indent="1"/>
    </xf>
    <xf numFmtId="172" fontId="16" fillId="7" borderId="0" xfId="0" applyNumberFormat="1" applyFont="1" applyFill="1" applyAlignment="1">
      <alignment horizontal="right" indent="1"/>
    </xf>
    <xf numFmtId="172" fontId="16" fillId="7" borderId="103" xfId="0" applyNumberFormat="1" applyFont="1" applyFill="1" applyBorder="1" applyAlignment="1">
      <alignment horizontal="right" indent="1"/>
    </xf>
    <xf numFmtId="172" fontId="16" fillId="7" borderId="56" xfId="0" applyNumberFormat="1" applyFont="1" applyFill="1" applyBorder="1" applyAlignment="1">
      <alignment horizontal="right" indent="1"/>
    </xf>
    <xf numFmtId="172" fontId="16" fillId="7" borderId="102" xfId="0" applyNumberFormat="1" applyFont="1" applyFill="1" applyBorder="1" applyAlignment="1">
      <alignment horizontal="right" indent="1"/>
    </xf>
    <xf numFmtId="3" fontId="16" fillId="0" borderId="132" xfId="0" applyNumberFormat="1" applyFont="1" applyBorder="1"/>
    <xf numFmtId="3" fontId="16" fillId="0" borderId="162" xfId="0" applyNumberFormat="1" applyFont="1" applyBorder="1"/>
    <xf numFmtId="169" fontId="94" fillId="0" borderId="72" xfId="0" applyNumberFormat="1" applyFont="1" applyBorder="1"/>
    <xf numFmtId="4" fontId="94" fillId="0" borderId="101" xfId="0" applyNumberFormat="1" applyFont="1" applyBorder="1"/>
    <xf numFmtId="179" fontId="94" fillId="0" borderId="96" xfId="0" applyNumberFormat="1" applyFont="1" applyBorder="1"/>
    <xf numFmtId="172" fontId="94" fillId="0" borderId="132" xfId="0" applyNumberFormat="1" applyFont="1" applyBorder="1"/>
    <xf numFmtId="4" fontId="94" fillId="0" borderId="163" xfId="0" applyNumberFormat="1" applyFont="1" applyBorder="1"/>
    <xf numFmtId="179" fontId="94" fillId="0" borderId="162" xfId="0" applyNumberFormat="1" applyFont="1" applyBorder="1"/>
    <xf numFmtId="172" fontId="94" fillId="0" borderId="72" xfId="0" applyNumberFormat="1" applyFont="1" applyBorder="1"/>
    <xf numFmtId="179" fontId="94" fillId="0" borderId="77" xfId="0" applyNumberFormat="1" applyFont="1" applyBorder="1"/>
    <xf numFmtId="176" fontId="94" fillId="16" borderId="72" xfId="1" applyNumberFormat="1" applyFont="1" applyFill="1" applyBorder="1" applyAlignment="1"/>
    <xf numFmtId="176" fontId="94" fillId="16" borderId="96" xfId="1" applyNumberFormat="1" applyFont="1" applyFill="1" applyBorder="1" applyAlignment="1"/>
    <xf numFmtId="179" fontId="16" fillId="0" borderId="149" xfId="0" applyNumberFormat="1" applyFont="1" applyBorder="1"/>
    <xf numFmtId="179" fontId="94" fillId="0" borderId="149" xfId="0" applyNumberFormat="1" applyFont="1" applyBorder="1"/>
    <xf numFmtId="176" fontId="16" fillId="88" borderId="132" xfId="1" applyNumberFormat="1" applyFont="1" applyFill="1" applyBorder="1" applyAlignment="1"/>
    <xf numFmtId="176" fontId="16" fillId="88" borderId="162" xfId="1" applyNumberFormat="1" applyFont="1" applyFill="1" applyBorder="1" applyAlignment="1"/>
    <xf numFmtId="176" fontId="16" fillId="16" borderId="132" xfId="1" applyNumberFormat="1" applyFont="1" applyFill="1" applyBorder="1" applyAlignment="1"/>
    <xf numFmtId="176" fontId="16" fillId="16" borderId="162" xfId="1" applyNumberFormat="1" applyFont="1" applyFill="1" applyBorder="1" applyAlignment="1"/>
    <xf numFmtId="176" fontId="94" fillId="16" borderId="132" xfId="1" applyNumberFormat="1" applyFont="1" applyFill="1" applyBorder="1" applyAlignment="1"/>
    <xf numFmtId="176" fontId="94" fillId="16" borderId="162" xfId="1" applyNumberFormat="1" applyFont="1" applyFill="1" applyBorder="1" applyAlignment="1"/>
    <xf numFmtId="3" fontId="15" fillId="24" borderId="58" xfId="16" applyNumberFormat="1" applyFont="1" applyFill="1" applyBorder="1" applyAlignment="1">
      <alignment horizontal="left" vertical="center" wrapText="1"/>
    </xf>
    <xf numFmtId="3" fontId="14" fillId="24" borderId="47" xfId="16" applyNumberFormat="1" applyFont="1" applyFill="1" applyBorder="1" applyAlignment="1">
      <alignment vertical="center"/>
    </xf>
    <xf numFmtId="3" fontId="15" fillId="24" borderId="59" xfId="16" applyNumberFormat="1" applyFont="1" applyFill="1" applyBorder="1" applyAlignment="1">
      <alignment horizontal="left" vertical="center" wrapText="1"/>
    </xf>
    <xf numFmtId="3" fontId="14" fillId="24" borderId="62" xfId="16" applyNumberFormat="1" applyFont="1" applyFill="1" applyBorder="1" applyAlignment="1">
      <alignment vertical="center"/>
    </xf>
    <xf numFmtId="3" fontId="14" fillId="24" borderId="43" xfId="16" applyNumberFormat="1" applyFont="1" applyFill="1" applyBorder="1" applyAlignment="1">
      <alignment vertical="center"/>
    </xf>
    <xf numFmtId="3" fontId="68" fillId="24" borderId="43" xfId="16" applyNumberFormat="1" applyFont="1" applyFill="1" applyBorder="1" applyAlignment="1">
      <alignment vertical="center"/>
    </xf>
    <xf numFmtId="10" fontId="68" fillId="24" borderId="47" xfId="3" applyNumberFormat="1" applyFont="1" applyFill="1" applyBorder="1" applyAlignment="1">
      <alignment vertical="center"/>
    </xf>
    <xf numFmtId="10" fontId="14" fillId="24" borderId="0" xfId="3" applyNumberFormat="1" applyFont="1" applyFill="1" applyBorder="1" applyAlignment="1">
      <alignment vertical="center"/>
    </xf>
    <xf numFmtId="10" fontId="14" fillId="24" borderId="47" xfId="3" applyNumberFormat="1" applyFont="1" applyFill="1" applyBorder="1" applyAlignment="1">
      <alignment vertical="center"/>
    </xf>
    <xf numFmtId="10" fontId="68" fillId="24" borderId="43" xfId="3" applyNumberFormat="1" applyFont="1" applyFill="1" applyBorder="1" applyAlignment="1">
      <alignment vertical="center"/>
    </xf>
    <xf numFmtId="10" fontId="14" fillId="24" borderId="62" xfId="3" applyNumberFormat="1" applyFont="1" applyFill="1" applyBorder="1" applyAlignment="1">
      <alignment vertical="center"/>
    </xf>
    <xf numFmtId="10" fontId="14" fillId="24" borderId="43" xfId="3" applyNumberFormat="1" applyFont="1" applyFill="1" applyBorder="1" applyAlignment="1">
      <alignment vertical="center"/>
    </xf>
    <xf numFmtId="3" fontId="15" fillId="24" borderId="26" xfId="16" applyNumberFormat="1" applyFont="1" applyFill="1" applyBorder="1" applyAlignment="1">
      <alignment horizontal="left" vertical="center" wrapText="1"/>
    </xf>
    <xf numFmtId="3" fontId="14" fillId="24" borderId="47" xfId="3" applyNumberFormat="1" applyFont="1" applyFill="1" applyBorder="1" applyAlignment="1">
      <alignment vertical="center"/>
    </xf>
    <xf numFmtId="3" fontId="14" fillId="24" borderId="0" xfId="3" applyNumberFormat="1" applyFont="1" applyFill="1" applyBorder="1" applyAlignment="1">
      <alignment vertical="center"/>
    </xf>
    <xf numFmtId="10" fontId="14" fillId="24" borderId="63" xfId="3" applyNumberFormat="1" applyFont="1" applyFill="1" applyBorder="1" applyAlignment="1">
      <alignment vertical="center"/>
    </xf>
    <xf numFmtId="0" fontId="4" fillId="7" borderId="161" xfId="0" applyFont="1" applyFill="1" applyBorder="1"/>
    <xf numFmtId="168" fontId="4" fillId="7" borderId="161" xfId="0" applyNumberFormat="1" applyFont="1" applyFill="1" applyBorder="1"/>
    <xf numFmtId="0" fontId="4" fillId="0" borderId="161" xfId="0" applyFont="1" applyBorder="1"/>
    <xf numFmtId="168" fontId="4" fillId="0" borderId="161" xfId="0" applyNumberFormat="1" applyFont="1" applyBorder="1"/>
    <xf numFmtId="178" fontId="4" fillId="7" borderId="161" xfId="0" applyNumberFormat="1" applyFont="1" applyFill="1" applyBorder="1"/>
    <xf numFmtId="178" fontId="4" fillId="0" borderId="161" xfId="0" applyNumberFormat="1" applyFont="1" applyBorder="1"/>
    <xf numFmtId="0" fontId="16" fillId="0" borderId="161" xfId="8" applyFont="1" applyBorder="1" applyAlignment="1">
      <alignment wrapText="1"/>
    </xf>
    <xf numFmtId="0" fontId="16" fillId="89" borderId="161" xfId="8" applyFont="1" applyFill="1" applyBorder="1" applyAlignment="1">
      <alignment horizontal="center" vertical="center" wrapText="1"/>
    </xf>
    <xf numFmtId="0" fontId="16" fillId="0" borderId="161" xfId="8" applyFont="1" applyBorder="1" applyAlignment="1">
      <alignment horizontal="center" vertical="center" wrapText="1"/>
    </xf>
    <xf numFmtId="172" fontId="16" fillId="7" borderId="161" xfId="8" applyNumberFormat="1" applyFont="1" applyFill="1" applyBorder="1" applyAlignment="1">
      <alignment horizontal="center"/>
    </xf>
    <xf numFmtId="166" fontId="16" fillId="7" borderId="161" xfId="8" applyNumberFormat="1" applyFont="1" applyFill="1" applyBorder="1"/>
    <xf numFmtId="172" fontId="16" fillId="23" borderId="161" xfId="8" applyNumberFormat="1" applyFont="1" applyFill="1" applyBorder="1" applyAlignment="1">
      <alignment horizontal="center"/>
    </xf>
    <xf numFmtId="166" fontId="16" fillId="0" borderId="161" xfId="8" applyNumberFormat="1" applyFont="1" applyBorder="1"/>
    <xf numFmtId="168" fontId="16" fillId="0" borderId="161" xfId="8" applyNumberFormat="1" applyFont="1" applyBorder="1"/>
    <xf numFmtId="0" fontId="16" fillId="0" borderId="166" xfId="8" applyFont="1" applyBorder="1" applyAlignment="1">
      <alignment wrapText="1"/>
    </xf>
    <xf numFmtId="168" fontId="16" fillId="7" borderId="166" xfId="8" applyNumberFormat="1" applyFont="1" applyFill="1" applyBorder="1"/>
    <xf numFmtId="168" fontId="16" fillId="0" borderId="166" xfId="8" applyNumberFormat="1" applyFont="1" applyBorder="1"/>
    <xf numFmtId="10" fontId="16" fillId="7" borderId="161" xfId="9" applyNumberFormat="1" applyFont="1" applyFill="1" applyBorder="1"/>
    <xf numFmtId="10" fontId="16" fillId="0" borderId="161" xfId="3" applyNumberFormat="1" applyFont="1" applyBorder="1"/>
    <xf numFmtId="10" fontId="16" fillId="7" borderId="161" xfId="3" applyNumberFormat="1" applyFont="1" applyFill="1" applyBorder="1"/>
    <xf numFmtId="183" fontId="4" fillId="7" borderId="161" xfId="0" applyNumberFormat="1" applyFont="1" applyFill="1" applyBorder="1"/>
    <xf numFmtId="10" fontId="4" fillId="7" borderId="7" xfId="3" applyNumberFormat="1" applyFont="1" applyFill="1" applyBorder="1"/>
    <xf numFmtId="10" fontId="4" fillId="0" borderId="5" xfId="3" applyNumberFormat="1" applyFont="1" applyBorder="1"/>
    <xf numFmtId="10" fontId="4" fillId="0" borderId="106" xfId="3" applyNumberFormat="1" applyFont="1" applyBorder="1"/>
    <xf numFmtId="10" fontId="16" fillId="7" borderId="2" xfId="3" applyNumberFormat="1" applyFont="1" applyFill="1" applyBorder="1"/>
    <xf numFmtId="10" fontId="16" fillId="13" borderId="2" xfId="3" applyNumberFormat="1" applyFont="1" applyFill="1" applyBorder="1"/>
    <xf numFmtId="10" fontId="4" fillId="7" borderId="8" xfId="3" applyNumberFormat="1" applyFont="1" applyFill="1" applyBorder="1"/>
    <xf numFmtId="10" fontId="4" fillId="7" borderId="9" xfId="3" applyNumberFormat="1" applyFont="1" applyFill="1" applyBorder="1"/>
    <xf numFmtId="10" fontId="16" fillId="7" borderId="66" xfId="3" applyNumberFormat="1" applyFont="1" applyFill="1" applyBorder="1"/>
    <xf numFmtId="10" fontId="4" fillId="0" borderId="69" xfId="3" applyNumberFormat="1" applyFont="1" applyBorder="1"/>
    <xf numFmtId="10" fontId="16" fillId="0" borderId="71" xfId="3" applyNumberFormat="1" applyFont="1" applyBorder="1"/>
    <xf numFmtId="10" fontId="4" fillId="16" borderId="5" xfId="3" applyNumberFormat="1" applyFont="1" applyFill="1" applyBorder="1"/>
    <xf numFmtId="10" fontId="4" fillId="0" borderId="107" xfId="3" applyNumberFormat="1" applyFont="1" applyBorder="1"/>
    <xf numFmtId="10" fontId="16" fillId="0" borderId="109" xfId="3" applyNumberFormat="1" applyFont="1" applyBorder="1"/>
    <xf numFmtId="10" fontId="4" fillId="16" borderId="106" xfId="3" applyNumberFormat="1" applyFont="1" applyFill="1" applyBorder="1"/>
    <xf numFmtId="10" fontId="16" fillId="7" borderId="3" xfId="3" applyNumberFormat="1" applyFont="1" applyFill="1" applyBorder="1"/>
    <xf numFmtId="10" fontId="16" fillId="7" borderId="33" xfId="3" applyNumberFormat="1" applyFont="1" applyFill="1" applyBorder="1"/>
    <xf numFmtId="10" fontId="16" fillId="13" borderId="3" xfId="3" applyNumberFormat="1" applyFont="1" applyFill="1" applyBorder="1"/>
    <xf numFmtId="10" fontId="16" fillId="13" borderId="33" xfId="3" applyNumberFormat="1" applyFont="1" applyFill="1" applyBorder="1"/>
    <xf numFmtId="179" fontId="16" fillId="6" borderId="162" xfId="0" applyNumberFormat="1" applyFont="1" applyFill="1" applyBorder="1"/>
    <xf numFmtId="179" fontId="16" fillId="6" borderId="96" xfId="0" applyNumberFormat="1" applyFont="1" applyFill="1" applyBorder="1"/>
    <xf numFmtId="0" fontId="81" fillId="0" borderId="0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111" xfId="0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14" borderId="7" xfId="0" applyFill="1" applyBorder="1"/>
    <xf numFmtId="4" fontId="0" fillId="14" borderId="8" xfId="0" applyNumberFormat="1" applyFill="1" applyBorder="1"/>
    <xf numFmtId="10" fontId="0" fillId="14" borderId="8" xfId="3" applyNumberFormat="1" applyFont="1" applyFill="1" applyBorder="1"/>
    <xf numFmtId="0" fontId="0" fillId="14" borderId="132" xfId="0" applyFill="1" applyBorder="1"/>
    <xf numFmtId="4" fontId="0" fillId="14" borderId="161" xfId="0" applyNumberFormat="1" applyFill="1" applyBorder="1"/>
    <xf numFmtId="10" fontId="0" fillId="14" borderId="161" xfId="3" applyNumberFormat="1" applyFont="1" applyFill="1" applyBorder="1"/>
    <xf numFmtId="0" fontId="0" fillId="14" borderId="12" xfId="0" applyFill="1" applyBorder="1"/>
    <xf numFmtId="4" fontId="0" fillId="14" borderId="13" xfId="0" applyNumberFormat="1" applyFill="1" applyBorder="1"/>
    <xf numFmtId="3" fontId="0" fillId="14" borderId="13" xfId="0" applyNumberFormat="1" applyFill="1" applyBorder="1" applyAlignment="1">
      <alignment horizontal="center" vertical="center"/>
    </xf>
    <xf numFmtId="10" fontId="0" fillId="14" borderId="13" xfId="3" applyNumberFormat="1" applyFont="1" applyFill="1" applyBorder="1"/>
    <xf numFmtId="0" fontId="0" fillId="24" borderId="132" xfId="0" applyFill="1" applyBorder="1"/>
    <xf numFmtId="4" fontId="0" fillId="24" borderId="8" xfId="0" applyNumberFormat="1" applyFill="1" applyBorder="1"/>
    <xf numFmtId="10" fontId="0" fillId="24" borderId="8" xfId="3" applyNumberFormat="1" applyFont="1" applyFill="1" applyBorder="1"/>
    <xf numFmtId="4" fontId="0" fillId="24" borderId="161" xfId="0" applyNumberFormat="1" applyFill="1" applyBorder="1"/>
    <xf numFmtId="10" fontId="0" fillId="24" borderId="161" xfId="3" applyNumberFormat="1" applyFont="1" applyFill="1" applyBorder="1"/>
    <xf numFmtId="0" fontId="0" fillId="24" borderId="12" xfId="0" applyFill="1" applyBorder="1"/>
    <xf numFmtId="4" fontId="0" fillId="24" borderId="13" xfId="0" applyNumberFormat="1" applyFill="1" applyBorder="1"/>
    <xf numFmtId="3" fontId="0" fillId="24" borderId="13" xfId="0" applyNumberFormat="1" applyFill="1" applyBorder="1" applyAlignment="1">
      <alignment horizontal="center" vertical="center"/>
    </xf>
    <xf numFmtId="10" fontId="0" fillId="24" borderId="13" xfId="3" applyNumberFormat="1" applyFont="1" applyFill="1" applyBorder="1"/>
    <xf numFmtId="0" fontId="0" fillId="8" borderId="132" xfId="0" applyFill="1" applyBorder="1"/>
    <xf numFmtId="4" fontId="0" fillId="8" borderId="8" xfId="0" applyNumberFormat="1" applyFill="1" applyBorder="1"/>
    <xf numFmtId="10" fontId="0" fillId="8" borderId="8" xfId="3" applyNumberFormat="1" applyFont="1" applyFill="1" applyBorder="1"/>
    <xf numFmtId="4" fontId="0" fillId="8" borderId="161" xfId="0" applyNumberFormat="1" applyFill="1" applyBorder="1"/>
    <xf numFmtId="10" fontId="0" fillId="8" borderId="161" xfId="3" applyNumberFormat="1" applyFont="1" applyFill="1" applyBorder="1"/>
    <xf numFmtId="0" fontId="0" fillId="8" borderId="12" xfId="0" applyFill="1" applyBorder="1"/>
    <xf numFmtId="4" fontId="0" fillId="8" borderId="13" xfId="0" applyNumberFormat="1" applyFill="1" applyBorder="1"/>
    <xf numFmtId="3" fontId="0" fillId="8" borderId="13" xfId="0" applyNumberFormat="1" applyFill="1" applyBorder="1" applyAlignment="1">
      <alignment horizontal="center" vertical="center"/>
    </xf>
    <xf numFmtId="10" fontId="0" fillId="8" borderId="13" xfId="3" applyNumberFormat="1" applyFont="1" applyFill="1" applyBorder="1"/>
    <xf numFmtId="0" fontId="57" fillId="0" borderId="0" xfId="16" applyFont="1" applyAlignment="1">
      <alignment horizontal="center" vertical="center"/>
    </xf>
    <xf numFmtId="0" fontId="57" fillId="0" borderId="24" xfId="16" applyFont="1" applyBorder="1" applyAlignment="1">
      <alignment horizontal="center" vertical="center"/>
    </xf>
    <xf numFmtId="0" fontId="57" fillId="0" borderId="25" xfId="16" applyFont="1" applyBorder="1" applyAlignment="1">
      <alignment horizontal="center" vertical="center"/>
    </xf>
    <xf numFmtId="0" fontId="57" fillId="0" borderId="23" xfId="16" applyFont="1" applyBorder="1" applyAlignment="1">
      <alignment horizontal="center" vertical="center"/>
    </xf>
    <xf numFmtId="0" fontId="4" fillId="34" borderId="130" xfId="0" applyFont="1" applyFill="1" applyBorder="1" applyAlignment="1">
      <alignment horizontal="left"/>
    </xf>
    <xf numFmtId="0" fontId="4" fillId="34" borderId="131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61" xfId="0" applyFill="1" applyBorder="1" applyAlignment="1">
      <alignment horizontal="left"/>
    </xf>
    <xf numFmtId="0" fontId="0" fillId="34" borderId="162" xfId="0" applyFill="1" applyBorder="1" applyAlignment="1">
      <alignment horizontal="left"/>
    </xf>
    <xf numFmtId="0" fontId="0" fillId="34" borderId="93" xfId="0" applyFill="1" applyBorder="1" applyAlignment="1">
      <alignment horizontal="left"/>
    </xf>
    <xf numFmtId="0" fontId="0" fillId="34" borderId="92" xfId="0" applyFill="1" applyBorder="1" applyAlignment="1">
      <alignment horizontal="left"/>
    </xf>
    <xf numFmtId="0" fontId="4" fillId="34" borderId="20" xfId="0" applyFont="1" applyFill="1" applyBorder="1" applyAlignment="1">
      <alignment horizontal="left"/>
    </xf>
    <xf numFmtId="0" fontId="4" fillId="34" borderId="40" xfId="0" applyFont="1" applyFill="1" applyBorder="1" applyAlignment="1">
      <alignment horizontal="left"/>
    </xf>
    <xf numFmtId="0" fontId="83" fillId="87" borderId="0" xfId="0" applyFont="1" applyFill="1" applyAlignment="1">
      <alignment horizontal="center"/>
    </xf>
    <xf numFmtId="0" fontId="79" fillId="0" borderId="27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81" fillId="0" borderId="7" xfId="0" applyFont="1" applyBorder="1" applyAlignment="1">
      <alignment horizontal="center" vertical="center"/>
    </xf>
    <xf numFmtId="0" fontId="81" fillId="0" borderId="180" xfId="0" applyFont="1" applyBorder="1" applyAlignment="1">
      <alignment horizontal="center" vertical="center"/>
    </xf>
    <xf numFmtId="0" fontId="81" fillId="0" borderId="51" xfId="0" applyFont="1" applyBorder="1" applyAlignment="1">
      <alignment horizontal="center" vertical="center"/>
    </xf>
    <xf numFmtId="0" fontId="81" fillId="0" borderId="106" xfId="0" applyFont="1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14" borderId="183" xfId="0" applyFont="1" applyFill="1" applyBorder="1" applyAlignment="1">
      <alignment horizontal="center" vertical="center"/>
    </xf>
    <xf numFmtId="0" fontId="23" fillId="14" borderId="32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0" fontId="23" fillId="24" borderId="183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183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/>
    </xf>
    <xf numFmtId="3" fontId="0" fillId="14" borderId="111" xfId="0" applyNumberFormat="1" applyFill="1" applyBorder="1" applyAlignment="1">
      <alignment horizontal="center" vertical="center"/>
    </xf>
    <xf numFmtId="3" fontId="0" fillId="14" borderId="104" xfId="0" applyNumberFormat="1" applyFill="1" applyBorder="1" applyAlignment="1">
      <alignment horizontal="center" vertical="center"/>
    </xf>
    <xf numFmtId="3" fontId="0" fillId="14" borderId="20" xfId="0" applyNumberFormat="1" applyFill="1" applyBorder="1" applyAlignment="1">
      <alignment horizontal="center" vertical="center"/>
    </xf>
    <xf numFmtId="3" fontId="0" fillId="24" borderId="111" xfId="0" applyNumberFormat="1" applyFill="1" applyBorder="1" applyAlignment="1">
      <alignment horizontal="center" vertical="center"/>
    </xf>
    <xf numFmtId="3" fontId="0" fillId="24" borderId="20" xfId="0" applyNumberFormat="1" applyFill="1" applyBorder="1" applyAlignment="1">
      <alignment horizontal="center" vertical="center"/>
    </xf>
    <xf numFmtId="3" fontId="0" fillId="8" borderId="111" xfId="0" applyNumberFormat="1" applyFill="1" applyBorder="1" applyAlignment="1">
      <alignment horizontal="center" vertical="center"/>
    </xf>
    <xf numFmtId="3" fontId="0" fillId="8" borderId="20" xfId="0" applyNumberFormat="1" applyFill="1" applyBorder="1" applyAlignment="1">
      <alignment horizontal="center" vertical="center"/>
    </xf>
    <xf numFmtId="3" fontId="57" fillId="36" borderId="174" xfId="16" quotePrefix="1" applyNumberFormat="1" applyFont="1" applyFill="1" applyBorder="1" applyAlignment="1">
      <alignment horizontal="left" vertical="center" wrapText="1"/>
    </xf>
    <xf numFmtId="3" fontId="57" fillId="36" borderId="175" xfId="16" quotePrefix="1" applyNumberFormat="1" applyFont="1" applyFill="1" applyBorder="1" applyAlignment="1">
      <alignment horizontal="left" vertical="center" wrapText="1"/>
    </xf>
    <xf numFmtId="3" fontId="57" fillId="36" borderId="176" xfId="16" quotePrefix="1" applyNumberFormat="1" applyFont="1" applyFill="1" applyBorder="1" applyAlignment="1">
      <alignment horizontal="left" vertical="center" wrapText="1"/>
    </xf>
    <xf numFmtId="3" fontId="57" fillId="36" borderId="177" xfId="16" quotePrefix="1" applyNumberFormat="1" applyFont="1" applyFill="1" applyBorder="1" applyAlignment="1">
      <alignment horizontal="left" vertical="center" wrapText="1"/>
    </xf>
    <xf numFmtId="3" fontId="57" fillId="36" borderId="178" xfId="16" quotePrefix="1" applyNumberFormat="1" applyFont="1" applyFill="1" applyBorder="1" applyAlignment="1">
      <alignment horizontal="left" vertical="center" wrapText="1"/>
    </xf>
    <xf numFmtId="3" fontId="57" fillId="36" borderId="179" xfId="16" quotePrefix="1" applyNumberFormat="1" applyFont="1" applyFill="1" applyBorder="1" applyAlignment="1">
      <alignment horizontal="left" vertical="center" wrapText="1"/>
    </xf>
    <xf numFmtId="0" fontId="84" fillId="87" borderId="0" xfId="0" applyFont="1" applyFill="1" applyAlignment="1">
      <alignment horizont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Border="1" applyAlignment="1">
      <alignment horizontal="right" vertical="center"/>
    </xf>
    <xf numFmtId="4" fontId="77" fillId="0" borderId="163" xfId="0" applyNumberFormat="1" applyFont="1" applyBorder="1" applyAlignment="1">
      <alignment horizontal="right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3" fontId="16" fillId="0" borderId="26" xfId="0" applyNumberFormat="1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6" fillId="13" borderId="61" xfId="0" applyNumberFormat="1" applyFont="1" applyFill="1" applyBorder="1" applyAlignment="1">
      <alignment horizontal="center" vertical="center" wrapText="1"/>
    </xf>
    <xf numFmtId="3" fontId="16" fillId="13" borderId="57" xfId="0" applyNumberFormat="1" applyFont="1" applyFill="1" applyBorder="1" applyAlignment="1">
      <alignment horizontal="center" vertical="center" wrapText="1"/>
    </xf>
    <xf numFmtId="3" fontId="16" fillId="29" borderId="6" xfId="0" applyNumberFormat="1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3" fontId="16" fillId="29" borderId="9" xfId="0" applyNumberFormat="1" applyFont="1" applyFill="1" applyBorder="1" applyAlignment="1">
      <alignment horizontal="center" vertical="center" wrapText="1"/>
    </xf>
    <xf numFmtId="0" fontId="16" fillId="29" borderId="14" xfId="0" applyFont="1" applyFill="1" applyBorder="1" applyAlignment="1">
      <alignment vertical="center"/>
    </xf>
    <xf numFmtId="164" fontId="16" fillId="30" borderId="43" xfId="2" applyFont="1" applyFill="1" applyBorder="1" applyAlignment="1">
      <alignment horizontal="center" vertical="center" wrapText="1"/>
    </xf>
    <xf numFmtId="164" fontId="16" fillId="30" borderId="56" xfId="2" applyFont="1" applyFill="1" applyBorder="1" applyAlignment="1">
      <alignment horizontal="center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0" fontId="16" fillId="0" borderId="57" xfId="0" applyFont="1" applyBorder="1" applyAlignment="1">
      <alignment vertical="center"/>
    </xf>
    <xf numFmtId="3" fontId="16" fillId="0" borderId="6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/>
    </xf>
    <xf numFmtId="0" fontId="16" fillId="11" borderId="0" xfId="0" applyFont="1" applyFill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16" fillId="39" borderId="24" xfId="0" applyFont="1" applyFill="1" applyBorder="1" applyAlignment="1">
      <alignment horizontal="center" vertical="center" wrapText="1"/>
    </xf>
    <xf numFmtId="0" fontId="16" fillId="39" borderId="25" xfId="0" applyFont="1" applyFill="1" applyBorder="1" applyAlignment="1">
      <alignment horizontal="center" vertical="center" wrapText="1"/>
    </xf>
    <xf numFmtId="0" fontId="16" fillId="39" borderId="23" xfId="0" applyFont="1" applyFill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wrapText="1"/>
    </xf>
    <xf numFmtId="3" fontId="16" fillId="0" borderId="23" xfId="0" applyNumberFormat="1" applyFont="1" applyBorder="1" applyAlignment="1">
      <alignment horizont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83" borderId="24" xfId="0" applyNumberFormat="1" applyFont="1" applyFill="1" applyBorder="1" applyAlignment="1">
      <alignment horizontal="center" vertical="center" wrapText="1"/>
    </xf>
    <xf numFmtId="3" fontId="16" fillId="83" borderId="25" xfId="0" applyNumberFormat="1" applyFont="1" applyFill="1" applyBorder="1" applyAlignment="1">
      <alignment horizontal="center" vertical="center" wrapText="1"/>
    </xf>
    <xf numFmtId="3" fontId="16" fillId="83" borderId="2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22" borderId="61" xfId="0" applyNumberFormat="1" applyFont="1" applyFill="1" applyBorder="1" applyAlignment="1">
      <alignment horizontal="center" vertical="center" wrapText="1"/>
    </xf>
    <xf numFmtId="3" fontId="16" fillId="22" borderId="57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42" borderId="24" xfId="0" applyNumberFormat="1" applyFont="1" applyFill="1" applyBorder="1" applyAlignment="1">
      <alignment horizontal="center" vertical="center" wrapText="1"/>
    </xf>
    <xf numFmtId="3" fontId="16" fillId="42" borderId="25" xfId="0" applyNumberFormat="1" applyFont="1" applyFill="1" applyBorder="1" applyAlignment="1">
      <alignment horizontal="center" vertical="center" wrapText="1"/>
    </xf>
    <xf numFmtId="3" fontId="16" fillId="42" borderId="23" xfId="0" applyNumberFormat="1" applyFont="1" applyFill="1" applyBorder="1" applyAlignment="1">
      <alignment horizontal="center" vertical="center" wrapText="1"/>
    </xf>
    <xf numFmtId="3" fontId="16" fillId="10" borderId="67" xfId="0" applyNumberFormat="1" applyFont="1" applyFill="1" applyBorder="1" applyAlignment="1">
      <alignment horizont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center" vertical="center"/>
    </xf>
    <xf numFmtId="3" fontId="16" fillId="42" borderId="60" xfId="0" applyNumberFormat="1" applyFont="1" applyFill="1" applyBorder="1" applyAlignment="1">
      <alignment horizontal="center" vertical="center" wrapText="1"/>
    </xf>
    <xf numFmtId="3" fontId="16" fillId="42" borderId="4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32" borderId="9" xfId="0" applyFont="1" applyFill="1" applyBorder="1" applyAlignment="1">
      <alignment horizontal="center" wrapText="1"/>
    </xf>
    <xf numFmtId="0" fontId="16" fillId="32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3" fontId="25" fillId="0" borderId="5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57" xfId="0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14" borderId="61" xfId="0" quotePrefix="1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16" fillId="49" borderId="37" xfId="0" quotePrefix="1" applyFont="1" applyFill="1" applyBorder="1" applyAlignment="1">
      <alignment horizontal="center" vertical="center" wrapText="1"/>
    </xf>
    <xf numFmtId="0" fontId="16" fillId="49" borderId="27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14" borderId="37" xfId="0" quotePrefix="1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49" borderId="61" xfId="0" quotePrefix="1" applyFont="1" applyFill="1" applyBorder="1" applyAlignment="1">
      <alignment horizontal="center" vertical="center" wrapText="1"/>
    </xf>
    <xf numFmtId="0" fontId="16" fillId="49" borderId="5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</cellXfs>
  <cellStyles count="201">
    <cellStyle name="20 % – Zvýraznění3" xfId="4" builtinId="38"/>
    <cellStyle name="20% - Accent1" xfId="36"/>
    <cellStyle name="20% - Accent2" xfId="37"/>
    <cellStyle name="20% - Accent3" xfId="38"/>
    <cellStyle name="20% - Accent4" xfId="39"/>
    <cellStyle name="20% - Accent5" xfId="40"/>
    <cellStyle name="20% - Accent6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Bad" xfId="60"/>
    <cellStyle name="Calculation" xfId="61"/>
    <cellStyle name="Calculation 2" xfId="149"/>
    <cellStyle name="Calculation 2 2" xfId="177"/>
    <cellStyle name="Calculation 2 3" xfId="191"/>
    <cellStyle name="Calculation 3" xfId="146"/>
    <cellStyle name="Calculation 3 2" xfId="174"/>
    <cellStyle name="Calculation 3 3" xfId="188"/>
    <cellStyle name="Calculation 4" xfId="163"/>
    <cellStyle name="Calculation 5" xfId="160"/>
    <cellStyle name="cf1" xfId="62"/>
    <cellStyle name="cf10" xfId="63"/>
    <cellStyle name="cf11" xfId="64"/>
    <cellStyle name="cf12" xfId="65"/>
    <cellStyle name="cf13" xfId="66"/>
    <cellStyle name="cf14" xfId="67"/>
    <cellStyle name="cf15" xfId="68"/>
    <cellStyle name="cf16" xfId="69"/>
    <cellStyle name="cf17" xfId="70"/>
    <cellStyle name="cf18" xfId="71"/>
    <cellStyle name="cf19" xfId="72"/>
    <cellStyle name="cf2" xfId="73"/>
    <cellStyle name="cf20" xfId="74"/>
    <cellStyle name="cf3" xfId="75"/>
    <cellStyle name="cf4" xfId="76"/>
    <cellStyle name="cf5" xfId="77"/>
    <cellStyle name="cf6" xfId="78"/>
    <cellStyle name="cf7" xfId="79"/>
    <cellStyle name="cf8" xfId="80"/>
    <cellStyle name="cf9" xfId="81"/>
    <cellStyle name="Čárka" xfId="1" builtinId="3"/>
    <cellStyle name="Čiarka 2" xfId="25"/>
    <cellStyle name="Čiarka 2 2" xfId="83"/>
    <cellStyle name="Čiarka 2 2 2" xfId="84"/>
    <cellStyle name="Čiarka 2 3" xfId="82"/>
    <cellStyle name="Čiarka 3" xfId="143"/>
    <cellStyle name="Čiarka 4" xfId="7"/>
    <cellStyle name="Data-vstup" xfId="85"/>
    <cellStyle name="Data-vstup 2" xfId="153"/>
    <cellStyle name="Data-vstup 2 2" xfId="181"/>
    <cellStyle name="Data-vstup 2 3" xfId="195"/>
    <cellStyle name="Data-vstup 3" xfId="145"/>
    <cellStyle name="Data-vstup 3 2" xfId="173"/>
    <cellStyle name="Data-vstup 3 3" xfId="187"/>
    <cellStyle name="Data-vstup 4" xfId="167"/>
    <cellStyle name="Data-vstup 5" xfId="159"/>
    <cellStyle name="Dobrá 2" xfId="139"/>
    <cellStyle name="Explanatory Text" xfId="86"/>
    <cellStyle name="Good" xfId="87"/>
    <cellStyle name="Heading 1" xfId="88"/>
    <cellStyle name="Heading 2" xfId="89"/>
    <cellStyle name="Heading 3" xfId="90"/>
    <cellStyle name="Heading 4" xfId="91"/>
    <cellStyle name="Hlav-stlpcov" xfId="92"/>
    <cellStyle name="Hypertextové prepojenie 2" xfId="93"/>
    <cellStyle name="Hypertextový odkaz" xfId="12" builtinId="8"/>
    <cellStyle name="Check Cell" xfId="94"/>
    <cellStyle name="Input" xfId="95"/>
    <cellStyle name="Input 2" xfId="154"/>
    <cellStyle name="Input 2 2" xfId="182"/>
    <cellStyle name="Input 2 3" xfId="196"/>
    <cellStyle name="Input 3" xfId="152"/>
    <cellStyle name="Input 3 2" xfId="180"/>
    <cellStyle name="Input 3 3" xfId="194"/>
    <cellStyle name="Input 4" xfId="168"/>
    <cellStyle name="Input 5" xfId="166"/>
    <cellStyle name="KT-stlpec" xfId="96"/>
    <cellStyle name="KT-stlpec 2" xfId="155"/>
    <cellStyle name="KT-stlpec 2 2" xfId="183"/>
    <cellStyle name="KT-stlpec 2 3" xfId="197"/>
    <cellStyle name="KT-stlpec 3" xfId="151"/>
    <cellStyle name="KT-stlpec 3 2" xfId="179"/>
    <cellStyle name="KT-stlpec 3 3" xfId="193"/>
    <cellStyle name="KT-stlpec 4" xfId="169"/>
    <cellStyle name="KT-stlpec 5" xfId="165"/>
    <cellStyle name="KT-sučet" xfId="97"/>
    <cellStyle name="KT-sučet 2" xfId="156"/>
    <cellStyle name="KT-sučet 2 2" xfId="184"/>
    <cellStyle name="KT-sučet 2 3" xfId="198"/>
    <cellStyle name="KT-sučet 3" xfId="150"/>
    <cellStyle name="KT-sučet 3 2" xfId="178"/>
    <cellStyle name="KT-sučet 3 3" xfId="192"/>
    <cellStyle name="KT-sučet 4" xfId="170"/>
    <cellStyle name="KT-sučet 5" xfId="164"/>
    <cellStyle name="Linked Cell" xfId="98"/>
    <cellStyle name="Měna" xfId="2" builtinId="4"/>
    <cellStyle name="Mena 2" xfId="19"/>
    <cellStyle name="Neutral" xfId="99"/>
    <cellStyle name="Neutrálna 2" xfId="27"/>
    <cellStyle name="Normal_1 Prir.vedy" xfId="100"/>
    <cellStyle name="Normálna 10" xfId="132"/>
    <cellStyle name="Normálna 11" xfId="14"/>
    <cellStyle name="Normálna 11 2" xfId="133"/>
    <cellStyle name="Normálna 12" xfId="34"/>
    <cellStyle name="Normálna 13" xfId="134"/>
    <cellStyle name="Normálna 19" xfId="32"/>
    <cellStyle name="Normálna 2" xfId="17"/>
    <cellStyle name="Normálna 2 2" xfId="26"/>
    <cellStyle name="Normálna 2 2 2" xfId="102"/>
    <cellStyle name="Normálna 2 2 2 2" xfId="5"/>
    <cellStyle name="Normálna 2 2 2 2 3" xfId="138"/>
    <cellStyle name="Normálna 2 2 3" xfId="103"/>
    <cellStyle name="Normálna 2 2 4" xfId="141"/>
    <cellStyle name="Normálna 2 2 5" xfId="101"/>
    <cellStyle name="Normálna 2 3 2" xfId="135"/>
    <cellStyle name="Normálna 23" xfId="140"/>
    <cellStyle name="Normálna 3" xfId="23"/>
    <cellStyle name="Normálna 3 2" xfId="31"/>
    <cellStyle name="Normálna 3 2 2" xfId="137"/>
    <cellStyle name="Normálna 3 3" xfId="104"/>
    <cellStyle name="Normálna 4" xfId="21"/>
    <cellStyle name="Normálna 4 2" xfId="22"/>
    <cellStyle name="Normálna 4 2 2" xfId="136"/>
    <cellStyle name="Normálna 5" xfId="29"/>
    <cellStyle name="Normálna 5 2" xfId="105"/>
    <cellStyle name="Normálna 6" xfId="106"/>
    <cellStyle name="Normálna 7" xfId="35"/>
    <cellStyle name="Normálna 8" xfId="107"/>
    <cellStyle name="Normálna 9" xfId="108"/>
    <cellStyle name="normálne 2" xfId="109"/>
    <cellStyle name="normálne 2 2" xfId="110"/>
    <cellStyle name="normálne 2_PP 077 15    inventúra soc št a stravy 2010 odLV" xfId="144"/>
    <cellStyle name="normálne 3" xfId="111"/>
    <cellStyle name="normálne 3 4" xfId="33"/>
    <cellStyle name="normálne 4" xfId="112"/>
    <cellStyle name="normálne 5" xfId="113"/>
    <cellStyle name="normálne 6" xfId="13"/>
    <cellStyle name="normálne 6 2" xfId="114"/>
    <cellStyle name="normálne 6 2 2" xfId="115"/>
    <cellStyle name="normálne_euca_sumar08_v2" xfId="116"/>
    <cellStyle name="normálne_Suhrn DOT 2005 dofinanc v maji + korekcia v dec05" xfId="16"/>
    <cellStyle name="normálne_vykon2008_v2" xfId="8"/>
    <cellStyle name="Normální" xfId="0" builtinId="0"/>
    <cellStyle name="normální 2" xfId="117"/>
    <cellStyle name="Note" xfId="118"/>
    <cellStyle name="Note 2" xfId="157"/>
    <cellStyle name="Note 2 2" xfId="185"/>
    <cellStyle name="Note 2 3" xfId="199"/>
    <cellStyle name="Note 3" xfId="148"/>
    <cellStyle name="Note 3 2" xfId="176"/>
    <cellStyle name="Note 3 3" xfId="190"/>
    <cellStyle name="Note 4" xfId="171"/>
    <cellStyle name="Note 5" xfId="162"/>
    <cellStyle name="Percentá 10" xfId="6"/>
    <cellStyle name="Percentá 13" xfId="142"/>
    <cellStyle name="Percentá 2" xfId="24"/>
    <cellStyle name="Percentá 2 2" xfId="9"/>
    <cellStyle name="Percentá 2 2 2" xfId="120"/>
    <cellStyle name="Percentá 2 2 3" xfId="28"/>
    <cellStyle name="percentá 2 3" xfId="119"/>
    <cellStyle name="Percentá 3" xfId="30"/>
    <cellStyle name="percentá 3 2" xfId="121"/>
    <cellStyle name="Percentá 4" xfId="122"/>
    <cellStyle name="Percentá 5" xfId="123"/>
    <cellStyle name="Percentá 6" xfId="124"/>
    <cellStyle name="Percentá 7" xfId="131"/>
    <cellStyle name="procent 2" xfId="125"/>
    <cellStyle name="Procenta" xfId="3" builtinId="5"/>
    <cellStyle name="RD_pred_rokom" xfId="15"/>
    <cellStyle name="Title" xfId="126"/>
    <cellStyle name="Total" xfId="127"/>
    <cellStyle name="Total 2" xfId="158"/>
    <cellStyle name="Total 2 2" xfId="186"/>
    <cellStyle name="Total 2 3" xfId="200"/>
    <cellStyle name="Total 3" xfId="147"/>
    <cellStyle name="Total 3 2" xfId="175"/>
    <cellStyle name="Total 3 3" xfId="189"/>
    <cellStyle name="Total 4" xfId="172"/>
    <cellStyle name="Total 5" xfId="161"/>
    <cellStyle name="vstu_oby_cele" xfId="18"/>
    <cellStyle name="VVŠ" xfId="20"/>
    <cellStyle name="VVŠ 2" xfId="11"/>
    <cellStyle name="VVŠ 2 2" xfId="128"/>
    <cellStyle name="VVŠ Modre" xfId="129"/>
    <cellStyle name="výstup koncový" xfId="10"/>
    <cellStyle name="Warning Text" xfId="130"/>
  </cellStyles>
  <dxfs count="3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CC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1628028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jova/AppData/Local/Temp/Rozpis%20dot&#225;cie_11022021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%20USB%20na%20MTF%20k%2020032020\MTF\RP%202021\Rozpis%20dot&#225;cie%20Q_10022021\Rozpis%20dot&#225;cie_13022021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Desktop/Rozpocet/MS_R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Evidenčné počty zamestnancov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</sheetNames>
    <sheetDataSet>
      <sheetData sheetId="0"/>
      <sheetData sheetId="1"/>
      <sheetData sheetId="2"/>
      <sheetData sheetId="3">
        <row r="5">
          <cell r="B5">
            <v>1</v>
          </cell>
          <cell r="C5">
            <v>5</v>
          </cell>
          <cell r="D5">
            <v>0.6</v>
          </cell>
          <cell r="E5">
            <v>0.2</v>
          </cell>
          <cell r="F5">
            <v>0.12</v>
          </cell>
          <cell r="G5">
            <v>0.108</v>
          </cell>
          <cell r="H5">
            <v>0.308</v>
          </cell>
          <cell r="I5">
            <v>3.1322033898305084</v>
          </cell>
          <cell r="J5">
            <v>3.13</v>
          </cell>
          <cell r="K5">
            <v>0</v>
          </cell>
        </row>
        <row r="6">
          <cell r="B6">
            <v>2</v>
          </cell>
          <cell r="C6">
            <v>4</v>
          </cell>
          <cell r="D6">
            <v>0.3</v>
          </cell>
          <cell r="E6">
            <v>0.25</v>
          </cell>
          <cell r="F6">
            <v>7.4999999999999997E-2</v>
          </cell>
          <cell r="G6">
            <v>6.7500000000000004E-2</v>
          </cell>
          <cell r="H6">
            <v>0.3175</v>
          </cell>
          <cell r="I6">
            <v>3.2288135593220342</v>
          </cell>
          <cell r="J6">
            <v>3.23</v>
          </cell>
          <cell r="K6">
            <v>0</v>
          </cell>
        </row>
        <row r="7">
          <cell r="B7">
            <v>3</v>
          </cell>
          <cell r="C7">
            <v>5</v>
          </cell>
          <cell r="D7">
            <v>1.3</v>
          </cell>
          <cell r="E7">
            <v>0.2</v>
          </cell>
          <cell r="F7">
            <v>0.26</v>
          </cell>
          <cell r="G7">
            <v>0.23400000000000001</v>
          </cell>
          <cell r="H7">
            <v>0.43400000000000005</v>
          </cell>
          <cell r="I7">
            <v>4.4135593220338993</v>
          </cell>
          <cell r="J7">
            <v>4.41</v>
          </cell>
          <cell r="K7">
            <v>0</v>
          </cell>
        </row>
        <row r="8">
          <cell r="B8">
            <v>4</v>
          </cell>
          <cell r="C8">
            <v>10</v>
          </cell>
          <cell r="D8">
            <v>0.5</v>
          </cell>
          <cell r="E8">
            <v>0.1</v>
          </cell>
          <cell r="F8">
            <v>0.05</v>
          </cell>
          <cell r="G8">
            <v>4.5100000000000008E-2</v>
          </cell>
          <cell r="H8">
            <v>0.14510000000000001</v>
          </cell>
          <cell r="I8">
            <v>1.4755932203389832</v>
          </cell>
          <cell r="J8">
            <v>1.48</v>
          </cell>
          <cell r="K8">
            <v>0</v>
          </cell>
        </row>
        <row r="9">
          <cell r="B9">
            <v>5</v>
          </cell>
          <cell r="C9">
            <v>11</v>
          </cell>
          <cell r="D9">
            <v>0.8</v>
          </cell>
          <cell r="E9">
            <v>9.0909090909090912E-2</v>
          </cell>
          <cell r="F9">
            <v>7.2727272727272738E-2</v>
          </cell>
          <cell r="G9">
            <v>6.545454545454546E-2</v>
          </cell>
          <cell r="H9">
            <v>0.15636363636363637</v>
          </cell>
          <cell r="I9">
            <v>1.5901386748844377</v>
          </cell>
          <cell r="J9">
            <v>1.59</v>
          </cell>
          <cell r="K9">
            <v>0</v>
          </cell>
        </row>
        <row r="10">
          <cell r="B10">
            <v>6</v>
          </cell>
          <cell r="C10">
            <v>8</v>
          </cell>
          <cell r="D10">
            <v>0.2</v>
          </cell>
          <cell r="E10">
            <v>0.125</v>
          </cell>
          <cell r="F10">
            <v>2.5000000000000001E-2</v>
          </cell>
          <cell r="G10">
            <v>2.2500000000000003E-2</v>
          </cell>
          <cell r="H10">
            <v>0.14749999999999999</v>
          </cell>
          <cell r="I10">
            <v>1.5</v>
          </cell>
          <cell r="J10">
            <v>1.5</v>
          </cell>
          <cell r="K10">
            <v>0</v>
          </cell>
        </row>
        <row r="11">
          <cell r="B11">
            <v>7</v>
          </cell>
          <cell r="C11">
            <v>10.5</v>
          </cell>
          <cell r="D11">
            <v>0.25</v>
          </cell>
          <cell r="E11">
            <v>9.5238095238095233E-2</v>
          </cell>
          <cell r="F11">
            <v>2.3809523809523808E-2</v>
          </cell>
          <cell r="G11">
            <v>2.1428571428571429E-2</v>
          </cell>
          <cell r="H11">
            <v>0.11666666666666667</v>
          </cell>
          <cell r="I11">
            <v>1.1864406779661019</v>
          </cell>
          <cell r="J11">
            <v>1.19</v>
          </cell>
          <cell r="K11">
            <v>0</v>
          </cell>
        </row>
        <row r="12">
          <cell r="B12">
            <v>8</v>
          </cell>
          <cell r="C12">
            <v>10.5</v>
          </cell>
          <cell r="D12">
            <v>0.4</v>
          </cell>
          <cell r="E12">
            <v>9.5238095238095233E-2</v>
          </cell>
          <cell r="F12">
            <v>3.8095238095238099E-2</v>
          </cell>
          <cell r="G12">
            <v>3.4285714285714287E-2</v>
          </cell>
          <cell r="H12">
            <v>0.12952380952380951</v>
          </cell>
          <cell r="I12">
            <v>1.3171912832929782</v>
          </cell>
          <cell r="J12">
            <v>1.32</v>
          </cell>
          <cell r="K12">
            <v>0</v>
          </cell>
        </row>
        <row r="13">
          <cell r="B13">
            <v>9</v>
          </cell>
          <cell r="C13">
            <v>12</v>
          </cell>
          <cell r="D13">
            <v>0.25</v>
          </cell>
          <cell r="E13">
            <v>8.3333333333333329E-2</v>
          </cell>
          <cell r="F13">
            <v>2.0833333333333332E-2</v>
          </cell>
          <cell r="G13">
            <v>1.8749999999999999E-2</v>
          </cell>
          <cell r="H13">
            <v>0.10208333333333333</v>
          </cell>
          <cell r="I13">
            <v>1.0381355932203391</v>
          </cell>
          <cell r="J13">
            <v>1.04</v>
          </cell>
          <cell r="K13">
            <v>0</v>
          </cell>
        </row>
        <row r="14">
          <cell r="B14">
            <v>10</v>
          </cell>
          <cell r="C14">
            <v>12</v>
          </cell>
          <cell r="D14">
            <v>0.2</v>
          </cell>
          <cell r="E14">
            <v>8.3333333333333329E-2</v>
          </cell>
          <cell r="F14">
            <v>1.6666666666666666E-2</v>
          </cell>
          <cell r="G14">
            <v>1.4999999999999999E-2</v>
          </cell>
          <cell r="H14">
            <v>9.8333333333333328E-2</v>
          </cell>
          <cell r="I14">
            <v>1</v>
          </cell>
          <cell r="J14">
            <v>1</v>
          </cell>
          <cell r="K14">
            <v>0</v>
          </cell>
        </row>
        <row r="15">
          <cell r="B15">
            <v>11</v>
          </cell>
          <cell r="C15">
            <v>12</v>
          </cell>
          <cell r="D15">
            <v>0.2</v>
          </cell>
          <cell r="E15">
            <v>8.3333333333333329E-2</v>
          </cell>
          <cell r="F15">
            <v>1.6666666666666666E-2</v>
          </cell>
          <cell r="G15">
            <v>1.4999999999999999E-2</v>
          </cell>
          <cell r="H15">
            <v>9.8333333333333328E-2</v>
          </cell>
          <cell r="I15">
            <v>1</v>
          </cell>
          <cell r="J15">
            <v>1</v>
          </cell>
          <cell r="K15">
            <v>0</v>
          </cell>
        </row>
        <row r="16">
          <cell r="B16">
            <v>12</v>
          </cell>
          <cell r="C16">
            <v>9</v>
          </cell>
          <cell r="D16">
            <v>0.3</v>
          </cell>
          <cell r="E16">
            <v>0.1111111111111111</v>
          </cell>
          <cell r="F16">
            <v>3.3333333333333333E-2</v>
          </cell>
          <cell r="G16">
            <v>0.03</v>
          </cell>
          <cell r="H16">
            <v>0.1411111111111111</v>
          </cell>
          <cell r="I16">
            <v>1.4350282485875707</v>
          </cell>
          <cell r="J16">
            <v>1.44</v>
          </cell>
          <cell r="K16">
            <v>0</v>
          </cell>
        </row>
        <row r="17">
          <cell r="B17">
            <v>13</v>
          </cell>
          <cell r="C17">
            <v>11</v>
          </cell>
          <cell r="D17">
            <v>0.2</v>
          </cell>
          <cell r="E17">
            <v>9.0909090909090912E-2</v>
          </cell>
          <cell r="F17">
            <v>1.8181818181818184E-2</v>
          </cell>
          <cell r="G17">
            <v>1.6363636363636365E-2</v>
          </cell>
          <cell r="H17">
            <v>0.10727272727272727</v>
          </cell>
          <cell r="I17">
            <v>1.0909090909090908</v>
          </cell>
          <cell r="J17">
            <v>1.0900000000000001</v>
          </cell>
          <cell r="K17">
            <v>0</v>
          </cell>
        </row>
        <row r="18">
          <cell r="B18">
            <v>14</v>
          </cell>
          <cell r="C18">
            <v>10.5</v>
          </cell>
          <cell r="D18">
            <v>0.25</v>
          </cell>
          <cell r="E18">
            <v>9.5238095238095233E-2</v>
          </cell>
          <cell r="F18">
            <v>2.3809523809523808E-2</v>
          </cell>
          <cell r="G18">
            <v>2.1428571428571429E-2</v>
          </cell>
          <cell r="H18">
            <v>0.11666666666666667</v>
          </cell>
          <cell r="I18">
            <v>1.1864406779661019</v>
          </cell>
          <cell r="J18">
            <v>1.19</v>
          </cell>
          <cell r="K18">
            <v>0</v>
          </cell>
        </row>
        <row r="19">
          <cell r="B19">
            <v>15</v>
          </cell>
          <cell r="C19">
            <v>11</v>
          </cell>
          <cell r="D19">
            <v>0.2</v>
          </cell>
          <cell r="E19">
            <v>9.0909090909090912E-2</v>
          </cell>
          <cell r="F19">
            <v>1.8181818181818184E-2</v>
          </cell>
          <cell r="G19">
            <v>1.6363636363636365E-2</v>
          </cell>
          <cell r="H19">
            <v>0.10727272727272727</v>
          </cell>
          <cell r="I19">
            <v>1.0909090909090908</v>
          </cell>
          <cell r="J19">
            <v>1.0900000000000001</v>
          </cell>
          <cell r="K19">
            <v>0</v>
          </cell>
        </row>
        <row r="20">
          <cell r="B20">
            <v>16</v>
          </cell>
          <cell r="C20">
            <v>6.5</v>
          </cell>
          <cell r="D20">
            <v>0.6</v>
          </cell>
          <cell r="E20">
            <v>0.15384615384615385</v>
          </cell>
          <cell r="F20">
            <v>9.2307692307692299E-2</v>
          </cell>
          <cell r="G20">
            <v>8.3176923076923079E-2</v>
          </cell>
          <cell r="H20">
            <v>0.23702307692307695</v>
          </cell>
          <cell r="I20">
            <v>2.4104041720990876</v>
          </cell>
          <cell r="J20">
            <v>2.41</v>
          </cell>
          <cell r="K20">
            <v>0</v>
          </cell>
        </row>
        <row r="21">
          <cell r="B21">
            <v>17</v>
          </cell>
          <cell r="C21">
            <v>6</v>
          </cell>
          <cell r="D21">
            <v>0.3</v>
          </cell>
          <cell r="E21">
            <v>0.16666666666666666</v>
          </cell>
          <cell r="F21">
            <v>4.9999999999999996E-2</v>
          </cell>
          <cell r="G21">
            <v>4.4999999999999998E-2</v>
          </cell>
          <cell r="H21">
            <v>0.21166666666666667</v>
          </cell>
          <cell r="I21">
            <v>2.152542372881356</v>
          </cell>
          <cell r="J21">
            <v>2.15</v>
          </cell>
          <cell r="K21">
            <v>0</v>
          </cell>
        </row>
        <row r="22">
          <cell r="B22">
            <v>18</v>
          </cell>
          <cell r="C22">
            <v>5</v>
          </cell>
          <cell r="D22">
            <v>0.75</v>
          </cell>
          <cell r="E22">
            <v>0.2</v>
          </cell>
          <cell r="F22">
            <v>0.15</v>
          </cell>
          <cell r="G22">
            <v>0.13500000000000001</v>
          </cell>
          <cell r="H22">
            <v>0.33500000000000002</v>
          </cell>
          <cell r="I22">
            <v>3.4067796610169494</v>
          </cell>
          <cell r="J22">
            <v>3.41</v>
          </cell>
          <cell r="K22">
            <v>0</v>
          </cell>
        </row>
        <row r="23">
          <cell r="B23">
            <v>19</v>
          </cell>
          <cell r="C23">
            <v>8</v>
          </cell>
          <cell r="D23">
            <v>0.75</v>
          </cell>
          <cell r="E23">
            <v>0.125</v>
          </cell>
          <cell r="F23">
            <v>9.375E-2</v>
          </cell>
          <cell r="G23">
            <v>8.4375000000000006E-2</v>
          </cell>
          <cell r="H23">
            <v>0.20937500000000001</v>
          </cell>
          <cell r="I23">
            <v>2.1292372881355934</v>
          </cell>
          <cell r="J23">
            <v>2.13</v>
          </cell>
          <cell r="K23">
            <v>0</v>
          </cell>
        </row>
        <row r="24">
          <cell r="B24">
            <v>20</v>
          </cell>
          <cell r="C24">
            <v>13</v>
          </cell>
          <cell r="D24">
            <v>0.45</v>
          </cell>
          <cell r="E24">
            <v>7.6923076923076927E-2</v>
          </cell>
          <cell r="F24">
            <v>3.4615384615384617E-2</v>
          </cell>
          <cell r="G24">
            <v>3.1153846153846157E-2</v>
          </cell>
          <cell r="H24">
            <v>0.10807692307692308</v>
          </cell>
          <cell r="I24">
            <v>1.0990873533246417</v>
          </cell>
          <cell r="J24">
            <v>1.1000000000000001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K1</v>
          </cell>
          <cell r="C26" t="str">
            <v>modelový pomer priemerného platu odborných  zamestnancov k priemernému platu učiteľov bez PhD</v>
          </cell>
          <cell r="D26">
            <v>0</v>
          </cell>
          <cell r="E26">
            <v>0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J29">
            <v>0.31073446327683618</v>
          </cell>
        </row>
        <row r="30">
          <cell r="J30">
            <v>0.24858757062146894</v>
          </cell>
        </row>
        <row r="34">
          <cell r="E34">
            <v>0.7</v>
          </cell>
          <cell r="G34">
            <v>1</v>
          </cell>
        </row>
        <row r="35">
          <cell r="E35">
            <v>1.5</v>
          </cell>
        </row>
        <row r="36">
          <cell r="E36">
            <v>4</v>
          </cell>
        </row>
        <row r="37">
          <cell r="E37">
            <v>0.7</v>
          </cell>
          <cell r="G37">
            <v>1</v>
          </cell>
        </row>
        <row r="38">
          <cell r="E38">
            <v>0.7</v>
          </cell>
          <cell r="G38">
            <v>1</v>
          </cell>
        </row>
      </sheetData>
      <sheetData sheetId="4"/>
      <sheetData sheetId="5"/>
      <sheetData sheetId="6">
        <row r="11">
          <cell r="C11">
            <v>0.35199999999999998</v>
          </cell>
        </row>
        <row r="29">
          <cell r="C29">
            <v>2486425</v>
          </cell>
        </row>
        <row r="32">
          <cell r="C32">
            <v>199451210</v>
          </cell>
        </row>
        <row r="33">
          <cell r="C33">
            <v>169533529</v>
          </cell>
        </row>
        <row r="34">
          <cell r="C34">
            <v>29917681</v>
          </cell>
        </row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  <row r="47">
          <cell r="C47">
            <v>100000</v>
          </cell>
        </row>
        <row r="48">
          <cell r="C48">
            <v>2000000</v>
          </cell>
        </row>
        <row r="49">
          <cell r="C49">
            <v>1200000</v>
          </cell>
        </row>
        <row r="51">
          <cell r="C51">
            <v>1000000</v>
          </cell>
        </row>
        <row r="53">
          <cell r="C53">
            <v>5000000</v>
          </cell>
        </row>
        <row r="57">
          <cell r="C57">
            <v>5225696</v>
          </cell>
        </row>
        <row r="60">
          <cell r="C60">
            <v>10327612</v>
          </cell>
        </row>
        <row r="62">
          <cell r="C62">
            <v>28982836</v>
          </cell>
        </row>
        <row r="67">
          <cell r="C67">
            <v>160588271</v>
          </cell>
        </row>
        <row r="69">
          <cell r="C69">
            <v>159428271</v>
          </cell>
        </row>
        <row r="70">
          <cell r="C70">
            <v>1160000</v>
          </cell>
        </row>
        <row r="73">
          <cell r="C73">
            <v>0.85</v>
          </cell>
        </row>
        <row r="74">
          <cell r="C74">
            <v>0.15</v>
          </cell>
        </row>
        <row r="75">
          <cell r="C75">
            <v>0.92</v>
          </cell>
        </row>
        <row r="76">
          <cell r="C76">
            <v>0.08</v>
          </cell>
        </row>
        <row r="78">
          <cell r="C78">
            <v>0.9</v>
          </cell>
        </row>
        <row r="79">
          <cell r="C79">
            <v>0.9</v>
          </cell>
        </row>
        <row r="80">
          <cell r="C80">
            <v>0.43</v>
          </cell>
        </row>
        <row r="81">
          <cell r="C81">
            <v>0.17200000000000001</v>
          </cell>
        </row>
        <row r="82">
          <cell r="C82">
            <v>0.25800000000000001</v>
          </cell>
        </row>
        <row r="84">
          <cell r="C84">
            <v>0.03</v>
          </cell>
        </row>
        <row r="85">
          <cell r="C85">
            <v>0.09</v>
          </cell>
        </row>
        <row r="86">
          <cell r="C86">
            <v>0.1</v>
          </cell>
        </row>
        <row r="87">
          <cell r="C87">
            <v>0.1</v>
          </cell>
        </row>
        <row r="88">
          <cell r="C88">
            <v>0.22500000000000001</v>
          </cell>
        </row>
        <row r="89">
          <cell r="C89">
            <v>0</v>
          </cell>
        </row>
        <row r="90">
          <cell r="C90">
            <v>2.5000000000000105E-2</v>
          </cell>
        </row>
        <row r="121">
          <cell r="C121">
            <v>1.4000000000000001</v>
          </cell>
        </row>
        <row r="125">
          <cell r="C125">
            <v>7</v>
          </cell>
        </row>
        <row r="126">
          <cell r="C126">
            <v>7</v>
          </cell>
        </row>
        <row r="132">
          <cell r="C132">
            <v>0.94</v>
          </cell>
        </row>
        <row r="133">
          <cell r="C133">
            <v>2</v>
          </cell>
        </row>
        <row r="134">
          <cell r="C134">
            <v>500</v>
          </cell>
        </row>
        <row r="135">
          <cell r="C135">
            <v>1200</v>
          </cell>
        </row>
        <row r="137">
          <cell r="C137">
            <v>2021</v>
          </cell>
        </row>
        <row r="138">
          <cell r="C138">
            <v>2020</v>
          </cell>
        </row>
        <row r="139">
          <cell r="C139">
            <v>2019</v>
          </cell>
        </row>
        <row r="140">
          <cell r="C140">
            <v>2018</v>
          </cell>
        </row>
        <row r="141">
          <cell r="C141">
            <v>2017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>
            <v>0</v>
          </cell>
          <cell r="BI1">
            <v>139987.5</v>
          </cell>
          <cell r="BJ1">
            <v>3485</v>
          </cell>
        </row>
        <row r="2">
          <cell r="D2" t="str">
            <v>university</v>
          </cell>
          <cell r="E2" t="str">
            <v>fakulta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E3" t="str">
            <v>Filozofická fakulta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E4" t="str">
            <v>Fakulta prírodných vied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E5">
            <v>0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E6" t="str">
            <v>Lekárska fakulta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E7" t="str">
            <v>Lekárska fakulta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E8" t="str">
            <v>Právnická fakulta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E12" t="str">
            <v>Prírodovedecká fakulta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E15" t="str">
            <v>Letecká fakulta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E16" t="str">
            <v>Stavebná fakulta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E17" t="str">
            <v>Strojnícka fakulta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E18">
            <v>0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E19">
            <v>0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E20">
            <v>0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E21">
            <v>0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E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E23">
            <v>0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E24">
            <v>0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E25">
            <v>0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E26">
            <v>0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E27">
            <v>0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E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E29">
            <v>0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E30">
            <v>0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E31" t="str">
            <v>Stavebná fakulta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E32" t="str">
            <v>Fakulta elektrotechniky a informatiky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E33" t="str">
            <v>Fakulta elektrotechniky a informatiky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E34" t="str">
            <v>Materiálovotechnologická fakulta so sídlom v Trnave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E35" t="str">
            <v>Lesnícka fakulta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E36" t="str">
            <v>Fakulta elektrotechniky a informatiky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E37" t="str">
            <v>Fakulta chemickej a potravinárskej technológie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E38" t="str">
            <v>Fakulta architektúry a dizajnu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E39" t="str">
            <v>Strojnícka fakulta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E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E41" t="str">
            <v>Fakulta architektúry a dizajnu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E42" t="str">
            <v>Strojnícka fakulta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E43" t="str">
            <v>Fakulta ekonomiky a manažmentu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E44">
            <v>0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E45">
            <v>0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E46">
            <v>0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E47">
            <v>0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E48" t="str">
            <v>Stavebná fakulta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E49" t="str">
            <v>Fakulta materiálov, metalurgie a recyklácie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E50" t="str">
            <v>Fakulta baníctva, ekológie, riadenia a geotechnológií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E51" t="str">
            <v>Lekárska fakulta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E52" t="str">
            <v>Prírodovedecká fakulta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E53" t="str">
            <v>Lekárska fakulta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E54" t="str">
            <v>Fakulta humanitných a prírodných vied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E55" t="str">
            <v>Filozofická fakulta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E56" t="str">
            <v>Teologická fakulta v Košiciach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E57" t="str">
            <v>Pedagogická fakulta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E58" t="str">
            <v>Filozofická fakulta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E59" t="str">
            <v>Fakulta riadenia a informatiky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E60" t="str">
            <v>Lekárska fakulta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E61" t="str">
            <v>Lekárska fakulta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E62" t="str">
            <v>Fakulta humanitných vied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E63" t="str">
            <v>Fakulta humanitných vied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E64" t="str">
            <v>Fakulta masmediálnej komunikácie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E65" t="str">
            <v>Fakulta bezpečnostného inžinierstva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E66">
            <v>0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E67">
            <v>0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E68">
            <v>0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E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E70" t="str">
            <v>Teologická fakulta v Košiciach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E71" t="str">
            <v>Teologická fakulta v Košiciach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E72" t="str">
            <v>Pedagogická fakulta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E73">
            <v>0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E74" t="str">
            <v>Fakulta práva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E75">
            <v>0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E76">
            <v>0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E77">
            <v>0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E78">
            <v>0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E79">
            <v>0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E80">
            <v>0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E81">
            <v>0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E82">
            <v>0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E83">
            <v>0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E84">
            <v>0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E85">
            <v>0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E86" t="str">
            <v>Lekárska fakulta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E87" t="str">
            <v>Prírodovedecká fakulta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E88" t="str">
            <v>Farmaceutická fakulta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E89" t="str">
            <v>Filozofická fakulta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E90" t="str">
            <v>Lekárska fakulta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E91" t="str">
            <v>Lekárska fakulta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E92" t="str">
            <v>Prírodovedecká fakulta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E93" t="str">
            <v>Lekárska fakulta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E94" t="str">
            <v>Lekárska fakulta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E95" t="str">
            <v>Fakulta managementu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E96" t="str">
            <v>Jesseniova lekárska fakulta v Martine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E97" t="str">
            <v>Fakulta managementu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E98" t="str">
            <v>Jesseniova lekárska fakulta v Martine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E99" t="str">
            <v>Lekárska fakulta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E100" t="str">
            <v>Lekárska fakulta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E101" t="str">
            <v>Filozofická fakulta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E102" t="str">
            <v>Prírodovedecká fakulta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E103" t="str">
            <v>Prírodovedecká fakulta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E104" t="str">
            <v>Fakulta matematiky, fyziky a informatiky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E105" t="str">
            <v>Filozofická fakulta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E106" t="str">
            <v>Právnická fakulta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E107" t="str">
            <v>Lekárska fakulta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E108" t="str">
            <v>Rímskokatolícka cyrilometodská bohoslovecká fakulta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E109" t="str">
            <v>Lekárska fakulta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E110" t="str">
            <v>Lekárska fakulta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E111" t="str">
            <v>Právnická fakulta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E112" t="str">
            <v>Strojnícka fakulta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E113" t="str">
            <v>Fakulta elektrotechniky a informačných technológií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E114" t="str">
            <v>Fakulta elektrotechniky a informačných technológií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E115" t="str">
            <v>Fakulta zdravotníctva a sociálnej práce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E116" t="str">
            <v>Fakulta ošetrovateľstva a zdravotníckych odborných štúdií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E117" t="str">
            <v>Fakulta ošetrovateľstva a zdravotníckych odborných štúdií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E118" t="str">
            <v>Fakulta ošetrovateľstva a zdravotníckych odborných štúdií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E119" t="str">
            <v>Fakulta ošetrovateľstva a zdravotníckych odborných štúdií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E120" t="str">
            <v>Fakulta ošetrovateľstva a zdravotníckych odborných štúdií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E121" t="str">
            <v>Fakulta ošetrovateľstva a zdravotníckych odborných štúdií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E122" t="str">
            <v>Právnická fakulta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E123" t="str">
            <v>Lekárska fakulta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E124" t="str">
            <v>Lekárska fakulta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E125" t="str">
            <v>Lekárska fakulta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E126">
            <v>0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E127" t="str">
            <v>Fakulta verejného zdravotníctva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E128" t="str">
            <v>Fakulta verejného zdravotníctva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E129" t="str">
            <v>Fakulta materiálov, metalurgie a recyklácie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E130" t="str">
            <v>Fakulta baníctva, ekológie, riadenia a geotechnológií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E131" t="str">
            <v>Fakulta baníctva, ekológie, riadenia a geotechnológií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E132" t="str">
            <v>Fakulta elektrotechniky a informatiky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E133" t="str">
            <v>Ekonomická fakulta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E134" t="str">
            <v>Filozofická fakulta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E135" t="str">
            <v>Filozofická fakulta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E136">
            <v>0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E137">
            <v>0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E138">
            <v>0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E139">
            <v>0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E140">
            <v>0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E141">
            <v>0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E142">
            <v>0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E143" t="str">
            <v>Fakulta práva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E144" t="str">
            <v>Fakulta ekonómie a podnikania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E145" t="str">
            <v>Fakulta práva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E146" t="str">
            <v>Stavebná fakulta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E147" t="str">
            <v>Fakulta elektrotechniky a informatiky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E148" t="str">
            <v>Fakulta architektúry a dizajnu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E149" t="str">
            <v>Fakulta architektúry a dizajnu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E150" t="str">
            <v>Fakulta chemickej a potravinárskej technológie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E151" t="str">
            <v>Stavebná fakulta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E152" t="str">
            <v>Materiálovotechnologická fakulta so sídlom v Trnave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E153" t="str">
            <v>Fakulta architektúry a dizajnu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E154" t="str">
            <v>Fakulta zdravotníctva so sídlom v Banskej Bystrici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E155" t="str">
            <v>Filozofická fakulta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E156" t="str">
            <v>Filozofická fakulta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E157" t="str">
            <v>Filozofická fakulta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E158" t="str">
            <v>Gréckokatolícka teologická fakulta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E159" t="str">
            <v>Pravoslávna bohoslovecká fakulta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E160" t="str">
            <v>Fakulta verejnej správy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E161">
            <v>0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E162">
            <v>0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E163">
            <v>0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E164" t="str">
            <v>Pedagogická fakulta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E165" t="str">
            <v>Prírodovedecká fakulta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E166" t="str">
            <v>Prírodovedecká fakulta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E167" t="str">
            <v>Prírodovedecká fakulta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E168" t="str">
            <v>Fakulta hospodárskej informatiky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E169" t="str">
            <v>Lekárska fakulta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E170" t="str">
            <v>Lekárska fakulta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E171" t="str">
            <v>Fakulta matematiky, fyziky a informatiky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E172" t="str">
            <v>Fakulta matematiky, fyziky a informatiky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E173" t="str">
            <v>Fakulta matematiky, fyziky a informatiky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E174" t="str">
            <v>Právnická fakulta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E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E176">
            <v>0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E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E178" t="str">
            <v>Lekárska fakulta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E179" t="str">
            <v>Lekárska fakulta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E180" t="str">
            <v>Lekárska fakulta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E181" t="str">
            <v>Lekárska fakulta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E182" t="str">
            <v>Lekárska fakulta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E183" t="str">
            <v>Lekárska fakulta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E184" t="str">
            <v>Jesseniova lekárska fakulta v Martine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E186" t="str">
            <v>Jesseniova lekárska fakulta v Martine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E187" t="str">
            <v>Jesseniova lekárska fakulta v Martine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E188" t="str">
            <v>Fakulta sociálnych a ekonomických vied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E189" t="str">
            <v>Lekárska fakulta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E190" t="str">
            <v>Filozofická fakulta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E191" t="str">
            <v>Filozofická fakulta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E192" t="str">
            <v>Filozofická fakulta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E193" t="str">
            <v>Filozofická fakulta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E194">
            <v>0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E195" t="str">
            <v>Rímskokatolícka cyrilometodská bohoslovecká fakulta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E196" t="str">
            <v>Farmaceutická fakulta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E197" t="str">
            <v>Farmaceutická fakulta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E198" t="str">
            <v>Farmaceutická fakulta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E199" t="str">
            <v>Prírodovedecká fakulta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E201" t="str">
            <v>Prírodovedecká fakulta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E202" t="str">
            <v>Prírodovedecká fakulta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E203" t="str">
            <v>Prírodovedecká fakulta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E204" t="str">
            <v>Teologická fakulta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E205" t="str">
            <v>Filozofická fakulta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E206" t="str">
            <v>Filozofická fakulta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E207" t="str">
            <v>Prírodovedecká fakulta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E208" t="str">
            <v>Prírodovedecká fakulta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E209" t="str">
            <v>Filozofická fakulta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E210" t="str">
            <v>Prírodovedecká fakulta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E211" t="str">
            <v>Lekárska fakulta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E212" t="str">
            <v>Lekárska fakulta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E213" t="str">
            <v>Lekárska fakulta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E214" t="str">
            <v>Rímskokatolícka cyrilometodská bohoslovecká fakulta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E215" t="str">
            <v>Právnická fakulta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E216" t="str">
            <v>Ekonomická fakulta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E217" t="str">
            <v>Evanjelická bohoslovecká fakulta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E218" t="str">
            <v>Fakulta sociálnych vied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E219" t="str">
            <v>Fakulta prírodných vied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E220" t="str">
            <v>Fakulta telesnej výchovy a športu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E221" t="str">
            <v>Filozofická fakulta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E222" t="str">
            <v>Filozofická fakulta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E223" t="str">
            <v>Filozofická fakulta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E224" t="str">
            <v>Filozofická fakulta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E225" t="str">
            <v>Filozofická fakulta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E226" t="str">
            <v>Filozofická fakulta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E227" t="str">
            <v>Filozofická fakulta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E228" t="str">
            <v>Filozofická fakulta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E229" t="str">
            <v>Filozofická fakulta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E230" t="str">
            <v>Filozofická fakulta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E231" t="str">
            <v>Pedagogická fakulta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E232" t="str">
            <v>Pedagogická fakulta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E233">
            <v>0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E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E235" t="str">
            <v>Filozofická fakulta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E236" t="str">
            <v>Jesseniova lekárska fakulta v Martine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E237" t="str">
            <v>Jesseniova lekárska fakulta v Martine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E238" t="str">
            <v>Jesseniova lekárska fakulta v Martine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E239" t="str">
            <v>Národohospodárska fakulta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E240" t="str">
            <v>Fakulta medzinárodných vzťahov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E241" t="str">
            <v>Národohospodárska fakulta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E242" t="str">
            <v>Národohospodárska fakulta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E243" t="str">
            <v>Fakulta medzinárodných vzťahov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E244" t="str">
            <v>Fakulta matematiky, fyziky a informatiky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E245" t="str">
            <v>Fakulta matematiky, fyziky a informatiky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E246" t="str">
            <v>Fakulta matematiky, fyziky a informatiky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E247" t="str">
            <v>Fakulta matematiky, fyziky a informatiky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E248" t="str">
            <v>Fakulta matematiky, fyziky a informatiky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E249" t="str">
            <v>Fakulta matematiky, fyziky a informatiky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E250" t="str">
            <v>Farmaceutická fakulta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E251" t="str">
            <v>Drevárska fakulta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E252" t="str">
            <v>Drevárska fakulta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E253" t="str">
            <v>Strojnícka fakulta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E254" t="str">
            <v>Fakulta baníctva, ekológie, riadenia a geotechnológií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E255" t="str">
            <v>Pedagogická fakulta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E256" t="str">
            <v>Filozofická fakulta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E257" t="str">
            <v>Filozofická fakulta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E258" t="str">
            <v>Lekárska fakulta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E259" t="str">
            <v>Lekárska fakulta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E260" t="str">
            <v>Lekárska fakulta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E261">
            <v>0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E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E263">
            <v>0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E264" t="str">
            <v>Filozofická fakulta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E265" t="str">
            <v>Fakulta sociálnych a ekonomických vied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E266" t="str">
            <v>Právnická fakulta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E267" t="str">
            <v>Právnická fakulta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E268" t="str">
            <v>Právnická fakulta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E269" t="str">
            <v>Fakulta elektrotechniky a informatiky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E270" t="str">
            <v>Fakulta informatiky a informačných technológií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E271" t="str">
            <v>Stavebná fakulta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E272" t="str">
            <v>Stavebná fakulta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E273" t="str">
            <v>Stavebná fakulta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E274" t="str">
            <v>Stavebná fakulta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E275" t="str">
            <v>Materiálovotechnologická fakulta so sídlom v Trnave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E276" t="str">
            <v>Fakulta informatiky a informačných technológií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E277">
            <v>0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E278" t="str">
            <v>Fakulta elektrotechniky a informatiky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E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E280" t="str">
            <v>Fakulta chemickej a potravinárskej technológie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E281" t="str">
            <v>Fakulta architektúry a dizajnu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E282" t="str">
            <v>Fakulta informatiky a informačných technológií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E283" t="str">
            <v>Fakulta elektrotechniky a informatiky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E284">
            <v>0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E285" t="str">
            <v>Fakulta priemyselných technológií v Púchove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E286">
            <v>0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E287" t="str">
            <v>Prírodovedecká fakulta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E288" t="str">
            <v>Prírodovedecká fakulta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E289" t="str">
            <v>Prírodovedecká fakulta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E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E291" t="str">
            <v>Pedagogická fakulta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E292" t="str">
            <v>Filozofická fakulta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E293" t="str">
            <v>Fakulta zdravotníckych odborov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E294" t="str">
            <v>Fakulta humanitných a prírodných vied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E295" t="str">
            <v>Filozofická fakulta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E296" t="str">
            <v>Filozofická fakulta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E297" t="str">
            <v>Fakulta agrobiológie a potravinových zdrojov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E298" t="str">
            <v>Právnická fakulta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E299" t="str">
            <v>Fakulta zdravotníctva so sídlom v Banskej Bystrici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E300" t="str">
            <v>Fakulta záhradníctva a krajinného inžinierstva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E301" t="str">
            <v>Fakulta záhradníctva a krajinného inžinierstva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E302" t="str">
            <v>Fakulta prevádzky a ekonomiky dopravy a spojov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E303" t="str">
            <v>Prírodovedecká fakulta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E304" t="str">
            <v>Pedagogická fakulta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E305">
            <v>0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E306">
            <v>0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E307">
            <v>0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E308">
            <v>0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E309">
            <v>0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E310">
            <v>0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E311">
            <v>0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E312">
            <v>0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E313">
            <v>0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E314" t="str">
            <v>Lekárska fakulta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E315">
            <v>0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E316">
            <v>0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E317" t="str">
            <v>Fakulta práva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E318" t="str">
            <v>Fakulta práva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E319" t="str">
            <v>Fakulta psychológie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E320">
            <v>0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E321">
            <v>0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E322" t="str">
            <v>Prírodovedecká fakulta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E323">
            <v>0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E324">
            <v>0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E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E326">
            <v>0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E327">
            <v>0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E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E329">
            <v>0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E330">
            <v>0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E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E332">
            <v>0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E333">
            <v>0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E334">
            <v>0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E335">
            <v>0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E336">
            <v>0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E337">
            <v>0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E338">
            <v>0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E339" t="str">
            <v>Fakulta sociálnych vied a zdravotníctva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E340">
            <v>0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E341">
            <v>0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E342">
            <v>0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E343">
            <v>0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E344">
            <v>0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E345">
            <v>0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E346" t="str">
            <v>Lekárska fakulta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E347" t="str">
            <v>Lekárska fakulta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E348" t="str">
            <v>Fakulta prírodných vied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E349" t="str">
            <v>Ekonomická fakulta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E350" t="str">
            <v>Ekonomická fakulta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E351" t="str">
            <v>Teologická fakulta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E352" t="str">
            <v>Fakulta politických vied a medzinárodných vzťahov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E353" t="str">
            <v>Prírodovedecká fakulta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E354" t="str">
            <v>Pedagogická fakulta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E355" t="str">
            <v>Filozofická fakulta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E356" t="str">
            <v>Filozofická fakulta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E357" t="str">
            <v>Filozofická fakulta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E358" t="str">
            <v>Filozofická fakulta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E359" t="str">
            <v>Filozofická fakulta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E360" t="str">
            <v>Filozofická fakulta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E361" t="str">
            <v>Fakulta výrobných technológií so sídlom v Prešove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E362" t="str">
            <v>Fakulta výrobných technológií so sídlom v Prešove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E363" t="str">
            <v>Fakulta umení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E364" t="str">
            <v>Fakulta umení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E365" t="str">
            <v>Fakulta umení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E366" t="str">
            <v>Fakulta verejnej správy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E367" t="str">
            <v>Fakulta baníctva, ekológie, riadenia a geotechnológií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E368" t="str">
            <v>Fakulta baníctva, ekológie, riadenia a geotechnológií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E369" t="str">
            <v>Filozofická fakulta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E370" t="str">
            <v>Letecká fakulta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E371" t="str">
            <v>Prírodovedecká fakulta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E372" t="str">
            <v>Prírodovedecká fakulta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E373" t="str">
            <v>Fakulta elektrotechniky a informatiky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E374" t="str">
            <v>Fakulta elektrotechniky a informatiky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E375" t="str">
            <v>Stavebná fakulta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E376" t="str">
            <v>Stavebná fakulta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E377" t="str">
            <v>Fakulta výtvarných umení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E378" t="str">
            <v>Strojnícka fakulta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E379" t="str">
            <v>Strojnícka fakulta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E383" t="str">
            <v>Filozofická fakulta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E384" t="str">
            <v>Filozofická fakulta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E385" t="str">
            <v>Filozofická fakulta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E386" t="str">
            <v>Filozofická fakulta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E387" t="str">
            <v>Filozofická fakulta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E388" t="str">
            <v>Filozofická fakulta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E389" t="str">
            <v>Filozofická fakulta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E390" t="str">
            <v>Fakulta sociálnych vied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E391" t="str">
            <v>Fakulta sociálnych vied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E392" t="str">
            <v>Fakulta sociálnych vied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E393" t="str">
            <v>Fakulta masmediálnej komunikácie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E394" t="str">
            <v>Fakulta sociálnych vied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E395" t="str">
            <v>Fakulta sociálnych vied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E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E397" t="str">
            <v>Fakulta prírodných vied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E398" t="str">
            <v>Fakulta psychológie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E399" t="str">
            <v>Drevárska fakulta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E400" t="str">
            <v>Drevárska fakulta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E401" t="str">
            <v>Drevárska fakulta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E402" t="str">
            <v>Drevárska fakulta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E403">
            <v>0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E404" t="str">
            <v>Fakulta stredoeurópskych štúdií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E405" t="str">
            <v>Fakulta stredoeurópskych štúdií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E406" t="str">
            <v>Obchodná fakulta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E407" t="str">
            <v>Fakulta hospodárskej informatiky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E408" t="str">
            <v>Národohospodárska fakulta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E409" t="str">
            <v>Hudobná a tanečná fakulta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E410" t="str">
            <v>Divadelná fakulta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E411" t="str">
            <v>Hudobná a tanečná fakulta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E412">
            <v>0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E413">
            <v>0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E414" t="str">
            <v>Pedagogická fakulta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E415" t="str">
            <v>Pedagogická fakulta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E416" t="str">
            <v>Pedagogická fakulta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E417" t="str">
            <v>Pedagogická fakulta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E418" t="str">
            <v>Filozofická fakulta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E419" t="str">
            <v>Pedagogická fakulta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E420" t="str">
            <v>Pedagogická fakulta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E421" t="str">
            <v>Pedagogická fakulta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E422" t="str">
            <v>Pedagogická fakulta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E423" t="str">
            <v>Pedagogická fakulta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E424" t="str">
            <v>Inštitút zdravotníctva a sociálnej práce sv. Ladislava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E425">
            <v>0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E426" t="str">
            <v>Fakulta matematiky, fyziky a informatiky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E427" t="str">
            <v>Fakulta matematiky, fyziky a informatiky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E428" t="str">
            <v>Fakulta matematiky, fyziky a informatiky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E429" t="str">
            <v>Fakulta matematiky, fyziky a informatiky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E430" t="str">
            <v>Fakulta matematiky, fyziky a informatiky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E431" t="str">
            <v>Fakulta matematiky, fyziky a informatiky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E432" t="str">
            <v>Fakulta matematiky, fyziky a informatiky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E433" t="str">
            <v>Fakulta matematiky, fyziky a informatiky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E434" t="str">
            <v>Fakulta matematiky, fyziky a informatiky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E435" t="str">
            <v>Fakulta telesnej výchovy a športu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E436" t="str">
            <v>Lekárska fakulta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E437" t="str">
            <v>Lekárska fakulta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E438" t="str">
            <v>Fakulta agrobiológie a potravinových zdrojov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E439" t="str">
            <v>Fakulta biotechnológie a potravinárstva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E440" t="str">
            <v>Fakulta biotechnológie a potravinárstva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E441" t="str">
            <v>Technická fakulta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E442" t="str">
            <v>Fakulta agrobiológie a potravinových zdrojov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E443" t="str">
            <v>Fakulta ekonomiky a manažmentu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E444" t="str">
            <v>Fakulta ekonomiky a manažmentu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E445" t="str">
            <v>Fakulta biotechnológie a potravinárstva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E446" t="str">
            <v>Fakulta agrobiológie a potravinových zdrojov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E447" t="str">
            <v>Fakulta ekonomiky a manažmentu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E448" t="str">
            <v>Fakulta chemickej a potravinárskej technológie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E449" t="str">
            <v>Fakulta architektúry a dizajnu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E450" t="str">
            <v>Stavebná fakulta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E451" t="str">
            <v>Stavebná fakulta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E452" t="str">
            <v>Fakulta chemickej a potravinárskej technológie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E453" t="str">
            <v>Fakulta elektrotechniky a informatiky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E454" t="str">
            <v>Fakulta informatiky a informačných technológií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E455" t="str">
            <v>Fakulta informatiky a informačných technológií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E456" t="str">
            <v>Fakulta informatiky a informačných technológií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E457" t="str">
            <v>Fakulta elektrotechniky a informatiky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E458" t="str">
            <v>Stavebná fakulta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E459" t="str">
            <v>Stavebná fakulta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E460" t="str">
            <v>Fakulta chemickej a potravinárskej technológie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E461" t="str">
            <v>Stavebná fakulta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E462" t="str">
            <v>Fakulta elektrotechniky a informatiky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E463" t="str">
            <v>Stavebná fakulta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E464" t="str">
            <v>Fakulta chemickej a potravinárskej technológie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E465" t="str">
            <v>Stavebná fakulta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E466" t="str">
            <v>Fakulta prevádzky a ekonomiky dopravy a spojov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E467" t="str">
            <v>Fakulta riadenia a informatiky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E468" t="str">
            <v>Fakulta bezpečnostného inžinierstva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E469" t="str">
            <v>Fakulta bezpečnostného inžinierstva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E470" t="str">
            <v>Fakulta elektrotechniky a informačných technológií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E471" t="str">
            <v>Fakulta bezpečnostného inžinierstva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E472" t="str">
            <v>Strojnícka fakulta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E473" t="str">
            <v>Fakulta prírodných vied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E474" t="str">
            <v>Fakulta zdravotníctva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E475" t="str">
            <v>Fakulta zdravotníctva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E476" t="str">
            <v>Pedagogická fakulta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E477" t="str">
            <v>Fakulta sociálnych vied a zdravotníctva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E478" t="str">
            <v>Jesseniova lekárska fakulta v Martine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E479" t="str">
            <v>Jesseniova lekárska fakulta v Martine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E480" t="str">
            <v>Jesseniova lekárska fakulta v Martine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E481" t="str">
            <v>Jesseniova lekárska fakulta v Martine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E482" t="str">
            <v>Jesseniova lekárska fakulta v Martine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E483" t="str">
            <v>Jesseniova lekárska fakulta v Martine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E484" t="str">
            <v>Jesseniova lekárska fakulta v Martine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E485" t="str">
            <v>Jesseniova lekárska fakulta v Martine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E486" t="str">
            <v>Fakulta sociálnych a ekonomických vied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E487" t="str">
            <v>Teologická fakulta v Košiciach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E488" t="str">
            <v>Teologická fakulta v Košiciach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E489" t="str">
            <v>Teologická fakulta v Košiciach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E490" t="str">
            <v>Fakulta politických vied a medzinárodných vzťahov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E491" t="str">
            <v>Filozofická fakulta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E492" t="str">
            <v>Filozofická fakulta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E493" t="str">
            <v>Filozofická fakulta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E494" t="str">
            <v>Filozofická fakulta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E495" t="str">
            <v>Filozofická fakulta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E496" t="str">
            <v>Filozofická fakulta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E497" t="str">
            <v>Filozofická fakulta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E498" t="str">
            <v>Filozofická fakulta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E499" t="str">
            <v>Filozofická fakulta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E500" t="str">
            <v>Filozofická fakulta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E501" t="str">
            <v>Prírodovedecká fakulta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E502" t="str">
            <v>Prírodovedecká fakulta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E503" t="str">
            <v>Prírodovedecká fakulta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E504" t="str">
            <v>Prírodovedecká fakulta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E505" t="str">
            <v>Prírodovedecká fakulta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E506" t="str">
            <v>Prírodovedecká fakulta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E507" t="str">
            <v>Prírodovedecká fakulta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E508" t="str">
            <v>Prírodovedecká fakulta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E509" t="str">
            <v>Prírodovedecká fakulta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E510" t="str">
            <v>Prírodovedecká fakulta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E511" t="str">
            <v>Prírodovedecká fakulta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E512" t="str">
            <v>Filozofická fakulta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E513" t="str">
            <v>Filozofická fakulta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E514" t="str">
            <v>Filozofická fakulta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E515" t="str">
            <v>Filozofická fakulta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E516" t="str">
            <v>Filozofická fakulta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E517" t="str">
            <v>Filozofická fakulta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E518" t="str">
            <v>Filozofická fakulta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E519" t="str">
            <v>Filozofická fakulta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E520" t="str">
            <v>Filozofická fakulta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E521" t="str">
            <v>Filozofická fakulta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E522" t="str">
            <v>Filozofická fakulta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E523" t="str">
            <v>Filozofická fakulta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E524" t="str">
            <v>Filozofická fakulta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E525" t="str">
            <v>Filozofická fakulta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E526" t="str">
            <v>Filozofická fakulta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E527" t="str">
            <v>Filozofická fakulta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E528" t="str">
            <v>Filozofická fakulta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E529" t="str">
            <v>Filozofická fakulta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E530" t="str">
            <v>Filozofická fakulta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E531" t="str">
            <v>Filozofická fakulta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E532" t="str">
            <v>Filozofická fakulta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E533" t="str">
            <v>Filozofická fakulta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E534" t="str">
            <v>Pravoslávna bohoslovecká fakulta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E535" t="str">
            <v>Filozofická fakulta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E536" t="str">
            <v>Fakulta humanitných a prírodných vied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E537" t="str">
            <v>Filozofická fakulta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E538" t="str">
            <v>Filozofická fakulta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E539" t="str">
            <v>Fakulta manažmentu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E540" t="str">
            <v>Pedagogická fakulta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E541" t="str">
            <v>Filozofická fakulta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E542" t="str">
            <v>Filozofická fakulta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E543" t="str">
            <v>Filozofická fakulta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E544" t="str">
            <v>Filozofická fakulta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E545" t="str">
            <v>Filozofická fakulta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E546" t="str">
            <v>Fakulta manažmentu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E547" t="str">
            <v>Pravoslávna bohoslovecká fakulta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E548" t="str">
            <v>Fakulta humanitných a prírodných vied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E549" t="str">
            <v>Fakulta humanitných a prírodných vied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E550" t="str">
            <v>Fakulta zdravotníckych odborov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E551" t="str">
            <v>Pravoslávna bohoslovecká fakulta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E552" t="str">
            <v>Fakulta športu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E553" t="str">
            <v>Fakulta ekonómie a informatiky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E554" t="str">
            <v>Právnická fakulta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E555" t="str">
            <v>Právnická fakulta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E556" t="str">
            <v>Fakulta managementu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E557" t="str">
            <v>Fakulta managementu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E558" t="str">
            <v>Fakulta managementu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E559" t="str">
            <v>Filozofická fakulta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E560" t="str">
            <v>Filozofická fakulta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E561" t="str">
            <v>Lekárska fakulta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E562" t="str">
            <v>Lekárska fakulta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E563" t="str">
            <v>Lekárska fakulta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E564" t="str">
            <v>Lekárska fakulta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E565" t="str">
            <v>Pedagogická fakulta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E566" t="str">
            <v>Pedagogická fakulta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E567" t="str">
            <v>Pedagogická fakulta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E568" t="str">
            <v>Filozofická fakulta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E569" t="str">
            <v>Právnická fakulta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E570" t="str">
            <v>Právnická fakulta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E571" t="str">
            <v>Právnická fakulta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E572" t="str">
            <v>Fakulta prírodných vied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E573" t="str">
            <v>Filozofická fakulta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E574">
            <v>0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E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E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E577">
            <v>0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E578">
            <v>0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E579" t="str">
            <v>Pedagogická fakulta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E580" t="str">
            <v>Pedagogická fakulta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E581" t="str">
            <v>Pedagogická fakulta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E582" t="str">
            <v>Pedagogická fakulta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E583" t="str">
            <v>Pedagogická fakulta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E584" t="str">
            <v>Pedagogická fakulta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E585" t="str">
            <v>Právnická fakulta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E586" t="str">
            <v>Právnická fakulta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E587" t="str">
            <v>Právnická fakulta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E588" t="str">
            <v>Filozofická fakulta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E589" t="str">
            <v>Fakulta zdravotníctva a sociálnej práce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E590" t="str">
            <v>Fakulta zdravotníctva a sociálnej práce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E591" t="str">
            <v>Fakulta práva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E592" t="str">
            <v>Fakulta psychológie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E593" t="str">
            <v>Fakulta masmédií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E594" t="str">
            <v>Lekárska fakulta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E595" t="str">
            <v>Pedagogická fakulta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E596" t="str">
            <v>Pedagogická fakulta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E597" t="str">
            <v>Pedagogická fakulta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E598" t="str">
            <v>Pedagogická fakulta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E599" t="str">
            <v>Pedagogická fakulta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E600" t="str">
            <v>Pedagogická fakulta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E601" t="str">
            <v>Prírodovedecká fakulta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E602" t="str">
            <v>Pedagogická fakulta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E603" t="str">
            <v>Fakulta práva Janka Jesenského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E604" t="str">
            <v>Fakulta sociálnych a ekonomických vied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E605">
            <v>0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E606">
            <v>0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E607">
            <v>0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E608">
            <v>0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E609">
            <v>0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E610">
            <v>0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E611" t="str">
            <v>Fakulta baníctva, ekológie, riadenia a geotechnológií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E612" t="str">
            <v>Strojnícka fakulta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E613" t="str">
            <v>Strojnícka fakulta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E614" t="str">
            <v>Strojnícka fakulta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E615" t="str">
            <v>Strojnícka fakulta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E616" t="str">
            <v>Stavebná fakulta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E617" t="str">
            <v>Fakulta materiálov, metalurgie a recyklácie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E618" t="str">
            <v>Fakulta materiálov, metalurgie a recyklácie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E619" t="str">
            <v>Fakulta elektrotechniky a informatiky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E620" t="str">
            <v>Fakulta elektrotechniky a informatiky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E621" t="str">
            <v>Fakulta elektrotechniky a informatiky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E622" t="str">
            <v>Pedagogická fakulta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E623" t="str">
            <v>Fakulta podnikového manažmentu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E624" t="str">
            <v>Národohospodárska fakulta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E625" t="str">
            <v>Obchodná fakulta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E626" t="str">
            <v>Obchodná fakulta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E627" t="str">
            <v>Národohospodárska fakulta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E628" t="str">
            <v>Fakulta biotechnológie a potravinárstva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E629" t="str">
            <v>Fakulta biotechnológie a potravinárstva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E630" t="str">
            <v>Fakulta informatiky a informačných technológií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E631" t="str">
            <v>Fakulta informatiky a informačných technológií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E632" t="str">
            <v>Fakulta politických vied a medzinárodných vzťahov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E633" t="str">
            <v>Pedagogická fakulta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E634" t="str">
            <v>Fakulta prírodných vied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E635" t="str">
            <v>Fakulta prírodných vied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E636" t="str">
            <v>Ekonomická fakulta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E637" t="str">
            <v>Ekonomická fakulta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E638" t="str">
            <v>Fakulta prírodných vied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E639">
            <v>0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E640" t="str">
            <v>Filozofická fakulta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E641" t="str">
            <v>Divadelná fakulta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E642" t="str">
            <v>Divadelná fakulta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E643" t="str">
            <v>Hudobná a tanečná fakulta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E644" t="str">
            <v>Filmová a televízna fakulta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E645" t="str">
            <v>Filmová a televízna fakulta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E646" t="str">
            <v>Filmová a televízna fakulta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E647" t="str">
            <v>Filozofická fakulta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E648" t="str">
            <v>Fakulta prírodných vied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E649" t="str">
            <v>Filozofická fakulta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E650" t="str">
            <v>Filozofická fakulta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E651" t="str">
            <v>Filozofická fakulta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E652" t="str">
            <v>Filozofická fakulta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E653" t="str">
            <v>Filozofická fakulta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E654" t="str">
            <v>Filozofická fakulta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E655" t="str">
            <v>Fakulta masmediálnej komunikácie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E656" t="str">
            <v>Fakulta masmediálnej komunikácie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E657" t="str">
            <v>Fakulta sociálnych vied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E658" t="str">
            <v>Fakulta prírodných vied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E659" t="str">
            <v>Fakulta elektrotechniky a informatiky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E660" t="str">
            <v>Ekonomická fakulta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E661" t="str">
            <v>Fakulta stredoeurópskych štúdií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E662" t="str">
            <v>Podnikovohospodárska fakulta v Košiciach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E663" t="str">
            <v>Fakulta prevádzky a ekonomiky dopravy a spojov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E664" t="str">
            <v>Fakulta riadenia a informatiky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E665">
            <v>0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E666" t="str">
            <v>Fakulta prevádzky a ekonomiky dopravy a spojov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E667" t="str">
            <v>Fakulta riadenia a informatiky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E668" t="str">
            <v>Fakulta humanitných vied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E669" t="str">
            <v>Fakulta humanitných vied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E670" t="str">
            <v>Stavebná fakulta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E671" t="str">
            <v>Stavebná fakulta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E672" t="str">
            <v>Strojnícka fakulta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E673">
            <v>0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E674">
            <v>0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E675" t="str">
            <v>Fakulta biotechnológie a potravinárstva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E676" t="str">
            <v>Pedagogická fakulta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E677" t="str">
            <v>Fakulta manažmentu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E678" t="str">
            <v>Fakulta manažmentu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E679" t="str">
            <v>Filozofická fakulta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E680" t="str">
            <v>Filozofická fakulta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E681" t="str">
            <v>Filozofická fakulta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E682" t="str">
            <v>Filozofická fakulta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E683" t="str">
            <v>Filozofická fakulta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E684" t="str">
            <v>Filozofická fakulta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E685">
            <v>0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E686" t="str">
            <v>Fakulta elektrotechniky a informatiky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E687" t="str">
            <v>Fakulta elektrotechniky a informatiky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E688" t="str">
            <v>Fakulta elektrotechniky a informatiky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E689" t="str">
            <v>Fakulta elektrotechniky a informatiky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E690" t="str">
            <v>Fakulta elektrotechniky a informatiky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E691" t="str">
            <v>Fakulta elektrotechniky a informatiky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E692" t="str">
            <v>Fakulta elektrotechniky a informatiky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E693" t="str">
            <v>Fakulta elektrotechniky a informatiky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E694" t="str">
            <v>Fakulta ekológie a environmentalistiky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E695">
            <v>0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E696" t="str">
            <v>Drevárska fakulta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E697" t="str">
            <v>Pedagogická fakulta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E698" t="str">
            <v>Hudobná a tanečná fakulta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E699" t="str">
            <v>Hudobná a tanečná fakulta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E700" t="str">
            <v>Hudobná a tanečná fakulta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E701" t="str">
            <v>Hudobná a tanečná fakulta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E702" t="str">
            <v>Hudobná a tanečná fakulta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E703" t="str">
            <v>Hudobná a tanečná fakulta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E704" t="str">
            <v>Filmová a televízna fakulta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E705">
            <v>0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E706">
            <v>0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E707">
            <v>0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E708">
            <v>0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E709">
            <v>0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E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E711" t="str">
            <v>Fakulta humanitných vied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E712" t="str">
            <v>Gréckokatolícka teologická fakulta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E713" t="str">
            <v>Fakulta zdravotníckych odborov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E714" t="str">
            <v>Materiálovotechnologická fakulta so sídlom v Trnave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E715" t="str">
            <v>Materiálovotechnologická fakulta so sídlom v Trnave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E716" t="str">
            <v>Materiálovotechnologická fakulta so sídlom v Trnave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E717" t="str">
            <v>Materiálovotechnologická fakulta so sídlom v Trnave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E718" t="str">
            <v>Materiálovotechnologická fakulta so sídlom v Trnave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E719" t="str">
            <v>Materiálovotechnologická fakulta so sídlom v Trnave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E720" t="str">
            <v>Fakulta architektúry a dizajnu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E721" t="str">
            <v>Strojnícka fakulta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E722" t="str">
            <v>Strojnícka fakulta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E723" t="str">
            <v>Strojnícka fakulta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E724">
            <v>0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E725" t="str">
            <v>Fakulta špeciálnej techniky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E726" t="str">
            <v>Stavebná fakulta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E727" t="str">
            <v>Stavebná fakulta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E728" t="str">
            <v>Fakulta informatiky a informačných technológií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E729" t="str">
            <v>Fakulta prírodných vied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E730" t="str">
            <v>Strojnícka fakulta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E731" t="str">
            <v>Fakulta matematiky, fyziky a informatiky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E732" t="str">
            <v>Filmová a televízna fakulta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E733" t="str">
            <v>Prírodovedecká fakulta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E734" t="str">
            <v>Filozofická fakulta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E735" t="str">
            <v>Materiálovotechnologická fakulta so sídlom v Trnave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E736" t="str">
            <v>Strojnícka fakulta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E737" t="str">
            <v>Filozofická fakulta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E738" t="str">
            <v>Prírodovedecká fakulta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E739" t="str">
            <v>Filozofická fakulta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E741" t="str">
            <v>Prírodovedecká fakulta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E742" t="str">
            <v>Prírodovedecká fakulta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E743" t="str">
            <v>Prírodovedecká fakulta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E744" t="str">
            <v>Prírodovedecká fakulta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E745" t="str">
            <v>Prírodovedecká fakulta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E746" t="str">
            <v>Prírodovedecká fakulta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E747" t="str">
            <v>Prírodovedecká fakulta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E748" t="str">
            <v>Prírodovedecká fakulta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E749" t="str">
            <v>Prírodovedecká fakulta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E750" t="str">
            <v>Prírodovedecká fakulta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E751" t="str">
            <v>Prírodovedecká fakulta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E753" t="str">
            <v>Prírodovedecká fakulta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E754" t="str">
            <v>Prírodovedecká fakulta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E755" t="str">
            <v>Prírodovedecká fakulta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E757" t="str">
            <v>Fakulta verejnej správy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E758" t="str">
            <v>Fakulta verejnej správy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E759" t="str">
            <v>Ekonomická fakulta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E760" t="str">
            <v>Ekonomická fakulta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E761" t="str">
            <v>Ekonomická fakulta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E762" t="str">
            <v>Ekonomická fakulta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E763" t="str">
            <v>Ekonomická fakulta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E764" t="str">
            <v>Ekonomická fakulta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E765" t="str">
            <v>Ekonomická fakulta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E766" t="str">
            <v>Ekonomická fakulta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E767" t="str">
            <v>Pedagogická fakulta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E768" t="str">
            <v>Pedagogická fakulta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E769" t="str">
            <v>Pedagogická fakulta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E770" t="str">
            <v>Pedagogická fakulta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E771" t="str">
            <v>Pedagogická fakulta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E772" t="str">
            <v>Pedagogická fakulta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E773" t="str">
            <v>Pedagogická fakulta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E774" t="str">
            <v>Fakulta prírodných vied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E775" t="str">
            <v>Pedagogická fakulta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E776" t="str">
            <v>Filozofická fakulta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E777" t="str">
            <v>Pedagogická fakulta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E778" t="str">
            <v>Fakulta prírodných vied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E779" t="str">
            <v>Fakulta prírodných vied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E780" t="str">
            <v>Fakulta prírodných vied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E781" t="str">
            <v>Fakulta prírodných vied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E782" t="str">
            <v>Fakulta prírodných vied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E783" t="str">
            <v>Fakulta prírodných vied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E784" t="str">
            <v>Fakulta prírodných vied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E785" t="str">
            <v>Fakulta prírodných vied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E786" t="str">
            <v>Filozofická fakulta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E787" t="str">
            <v>Fakulta prírodných vied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E788" t="str">
            <v>Fakulta prírodných vied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E789" t="str">
            <v>Fakulta prírodných vied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E790" t="str">
            <v>Fakulta prírodných vied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E791" t="str">
            <v>Fakulta politických vied a medzinárodných vzťahov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E792" t="str">
            <v>Fakulta politických vied a medzinárodných vzťahov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E793" t="str">
            <v>Fakulta politických vied a medzinárodných vzťahov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E794" t="str">
            <v>Fakulta politických vied a medzinárodných vzťahov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E795" t="str">
            <v>Fakulta politických vied a medzinárodných vzťahov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E796" t="str">
            <v>Fakulta politických vied a medzinárodných vzťahov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E797" t="str">
            <v>Fakulta výtvarných umení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E798" t="str">
            <v>Fakulta výtvarných umení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E799" t="str">
            <v>Fakulta výtvarných umení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E800" t="str">
            <v>Fakulta výtvarných umení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E801" t="str">
            <v>Právnická fakulta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E802" t="str">
            <v>Právnická fakulta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E803" t="str">
            <v>Fakulta dramatických umení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E804" t="str">
            <v>Fakulta dramatických umení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E805" t="str">
            <v>Teologická fakulta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E806" t="str">
            <v>Teologická fakulta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E807" t="str">
            <v>Teologická fakulta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E808" t="str">
            <v>Fakulta múzických umení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E809" t="str">
            <v>Prírodovedecká fakulta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E810" t="str">
            <v>Prírodovedecká fakulta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E811" t="str">
            <v>Prírodovedecká fakulta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E812" t="str">
            <v>Prírodovedecká fakulta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E813" t="str">
            <v>Prírodovedecká fakulta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E814" t="str">
            <v>Prírodovedecká fakulta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E815" t="str">
            <v>Prírodovedecká fakulta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E816" t="str">
            <v>Prírodovedecká fakulta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E817" t="str">
            <v>Prírodovedecká fakulta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E818" t="str">
            <v>Fakulta verejnej správy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E819" t="str">
            <v>Fakulta verejnej správy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E820" t="str">
            <v>Fakulta verejnej správy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E830" t="str">
            <v>Filozofická fakulta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E833" t="str">
            <v>Filozofická fakulta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E834" t="str">
            <v>Fakulta prírodných vied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E835" t="str">
            <v>Filozofická fakulta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E836" t="str">
            <v>Filozofická fakulta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E837" t="str">
            <v>Filozofická fakulta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E838" t="str">
            <v>Filozofická fakulta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E839" t="str">
            <v>Strojnícka fakulta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E840" t="str">
            <v>Strojnícka fakulta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E841" t="str">
            <v>Strojnícka fakulta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E842" t="str">
            <v>Strojnícka fakulta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E843" t="str">
            <v>Strojnícka fakulta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E844" t="str">
            <v>Strojnícka fakulta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E845" t="str">
            <v>Strojnícka fakulta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E846" t="str">
            <v>Strojnícka fakulta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E847" t="str">
            <v>Strojnícka fakulta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E848" t="str">
            <v>Strojnícka fakulta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E849" t="str">
            <v>Letecká fakulta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E850" t="str">
            <v>Letecká fakulta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E851" t="str">
            <v>Letecká fakulta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E852" t="str">
            <v>Letecká fakulta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E853" t="str">
            <v>Ekonomická fakulta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E854" t="str">
            <v>Ekonomická fakulta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E855" t="str">
            <v>Ekonomická fakulta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E856" t="str">
            <v>Ekonomická fakulta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E857">
            <v>0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E858">
            <v>0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E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E860" t="str">
            <v>Právnická fakulta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E861" t="str">
            <v>Právnická fakulta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E862" t="str">
            <v>Právnická fakulta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E863" t="str">
            <v>Fakulta materiálov, metalurgie a recyklácie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E864" t="str">
            <v>Fakulta materiálov, metalurgie a recyklácie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E865" t="str">
            <v>Fakulta materiálov, metalurgie a recyklácie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E866" t="str">
            <v>Fakulta materiálov, metalurgie a recyklácie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E867" t="str">
            <v>Fakulta umení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E868" t="str">
            <v>Fakulta umení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E869" t="str">
            <v>Fakulta umení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E870" t="str">
            <v>Fakulta umení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E871" t="str">
            <v>Stavebná fakulta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E872" t="str">
            <v>Stavebná fakulta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E873" t="str">
            <v>Stavebná fakulta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E874" t="str">
            <v>Stavebná fakulta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E875" t="str">
            <v>Stavebná fakulta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E876" t="str">
            <v>Lekárska fakulta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E877" t="str">
            <v>Lekárska fakulta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E878" t="str">
            <v>Lekárska fakulta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E879" t="str">
            <v>Lekárska fakulta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E880" t="str">
            <v>Lekárska fakulta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E881" t="str">
            <v>Právnická fakulta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E882" t="str">
            <v>Právnická fakulta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E883" t="str">
            <v>Právnická fakulta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E884" t="str">
            <v>Rímskokatolícka cyrilometodská bohoslovecká fakulta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E885" t="str">
            <v>Fakulta výrobných technológií so sídlom v Prešove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E886" t="str">
            <v>Fakulta výrobných technológií so sídlom v Prešove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E887" t="str">
            <v>Fakulta výrobných technológií so sídlom v Prešove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E888" t="str">
            <v>Fakulta výrobných technológií so sídlom v Prešove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E889" t="str">
            <v>Fakulta výrobných technológií so sídlom v Prešove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E890" t="str">
            <v>Fakulta výrobných technológií so sídlom v Prešove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E891" t="str">
            <v>Fakulta výrobných technológií so sídlom v Prešove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E892" t="str">
            <v>Fakulta výrobných technológií so sídlom v Prešove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E893" t="str">
            <v>Fakulta elektrotechniky a informatiky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E894" t="str">
            <v>Fakulta elektrotechniky a informatiky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E895" t="str">
            <v>Fakulta elektrotechniky a informatiky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E896" t="str">
            <v>Fakulta elektrotechniky a informatiky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E897" t="str">
            <v>Fakulta elektrotechniky a informatiky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E898" t="str">
            <v>Fakulta elektrotechniky a informatiky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E899" t="str">
            <v>Fakulta elektrotechniky a informatiky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E900" t="str">
            <v>Fakulta elektrotechniky a informatiky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E901" t="str">
            <v>Fakulta elektrotechniky a informatiky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E902" t="str">
            <v>Fakulta elektrotechniky a informatiky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E903" t="str">
            <v>Fakulta elektrotechniky a informatiky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E904" t="str">
            <v>Fakulta elektrotechniky a informatiky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E905" t="str">
            <v>Fakulta elektrotechniky a informatiky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E906" t="str">
            <v>Fakulta elektrotechniky a informatiky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E907" t="str">
            <v>Fakulta elektrotechniky a informatiky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E908" t="str">
            <v>Fakulta baníctva, ekológie, riadenia a geotechnológií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E909" t="str">
            <v>Fakulta baníctva, ekológie, riadenia a geotechnológií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E910" t="str">
            <v>Fakulta baníctva, ekológie, riadenia a geotechnológií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E911" t="str">
            <v>Fakulta baníctva, ekológie, riadenia a geotechnológií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E912" t="str">
            <v>Fakulta baníctva, ekológie, riadenia a geotechnológií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E913" t="str">
            <v>Fakulta baníctva, ekológie, riadenia a geotechnológií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E914" t="str">
            <v>Fakulta baníctva, ekológie, riadenia a geotechnológií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E915" t="str">
            <v>Fakulta baníctva, ekológie, riadenia a geotechnológií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E916" t="str">
            <v>Fakulta baníctva, ekológie, riadenia a geotechnológií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E917" t="str">
            <v>Fakulta baníctva, ekológie, riadenia a geotechnológií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E918" t="str">
            <v>Fakulta baníctva, ekológie, riadenia a geotechnológií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E919" t="str">
            <v>Fakulta prírodných vied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E920" t="str">
            <v>Fakulta prírodných vied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E921" t="str">
            <v>Fakulta prírodných vied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E922" t="str">
            <v>Fakulta prírodných vied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E923" t="str">
            <v>Fakulta prírodných vied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E924" t="str">
            <v>Fakulta prírodných vied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E925" t="str">
            <v>Fakulta prírodných vied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E926" t="str">
            <v>Fakulta prírodných vied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E927" t="str">
            <v>Fakulta prírodných vied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E928" t="str">
            <v>Fakulta prírodných vied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E929" t="str">
            <v>Fakulta prírodných vied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E930" t="str">
            <v>Filozofická fakulta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E931" t="str">
            <v>Fakulta prírodných vied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E932" t="str">
            <v>Fakulta prírodných vied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E933" t="str">
            <v>Fakulta prírodných vied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E934" t="str">
            <v>Filozofická fakulta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E935" t="str">
            <v>Fakulta prírodných vied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E936" t="str">
            <v>Fakulta prírodných vied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E937" t="str">
            <v>Fakulta prírodných vied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E938" t="str">
            <v>Fakulta prírodných vied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E939" t="str">
            <v>Fakulta prírodných vied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E940" t="str">
            <v>Pedagogická fakulta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E941" t="str">
            <v>Filozofická fakulta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E942" t="str">
            <v>Fakulta prírodných vied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E943" t="str">
            <v>Fakulta sociálnych vied a zdravotníctva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E944" t="str">
            <v>Fakulta sociálnych vied a zdravotníctva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E945" t="str">
            <v>Fakulta sociálnych vied a zdravotníctva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E946" t="str">
            <v>Fakulta sociálnych vied a zdravotníctva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E947" t="str">
            <v>Fakulta sociálnych vied a zdravotníctva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E948" t="str">
            <v>Fakulta sociálnych vied a zdravotníctva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E949" t="str">
            <v>Fakulta sociálnych vied a zdravotníctva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E950" t="str">
            <v>Filozofická fakulta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E951" t="str">
            <v>Filozofická fakulta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E952" t="str">
            <v>Filozofická fakulta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E953" t="str">
            <v>Filozofická fakulta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E954" t="str">
            <v>Filozofická fakulta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E955" t="str">
            <v>Filozofická fakulta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E956" t="str">
            <v>Filozofická fakulta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E957" t="str">
            <v>Filozofická fakulta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E958" t="str">
            <v>Filozofická fakulta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E959" t="str">
            <v>Filozofická fakulta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E960" t="str">
            <v>Filozofická fakulta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E961" t="str">
            <v>Filozofická fakulta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E962" t="str">
            <v>Filozofická fakulta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E963" t="str">
            <v>Filozofická fakulta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E964" t="str">
            <v>Filozofická fakulta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E965" t="str">
            <v>Filozofická fakulta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E966" t="str">
            <v>Filozofická fakulta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E967" t="str">
            <v>Filozofická fakulta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E968" t="str">
            <v>Filozofická fakulta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E969" t="str">
            <v>Fakulta zdravotníctva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E970" t="str">
            <v>Fakulta zdravotníctva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E971" t="str">
            <v>Fakulta zdravotníctva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E972" t="str">
            <v>Filozofická fakulta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E973" t="str">
            <v>Filozofická fakulta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E974" t="str">
            <v>Filozofická fakulta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E975" t="str">
            <v>Filozofická fakulta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E976" t="str">
            <v>Filozofická fakulta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E977" t="str">
            <v>Filozofická fakulta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E978" t="str">
            <v>Filozofická fakulta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E979" t="str">
            <v>Filozofická fakulta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E980" t="str">
            <v>Filozofická fakulta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E981" t="str">
            <v>Filozofická fakulta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E982" t="str">
            <v>Filozofická fakulta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E983" t="str">
            <v>Filozofická fakulta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E984" t="str">
            <v>Filozofická fakulta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E985" t="str">
            <v>Filozofická fakulta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E986" t="str">
            <v>Filozofická fakulta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E987" t="str">
            <v>Filozofická fakulta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E988" t="str">
            <v>Filozofická fakulta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E989" t="str">
            <v>Filozofická fakulta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E990" t="str">
            <v>Filozofická fakulta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E991" t="str">
            <v>Filozofická fakulta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E992" t="str">
            <v>Filozofická fakulta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E993" t="str">
            <v>Filozofická fakulta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E994" t="str">
            <v>Filozofická fakulta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E995" t="str">
            <v>Filozofická fakulta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E996" t="str">
            <v>Filozofická fakulta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E997" t="str">
            <v>Filozofická fakulta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E998" t="str">
            <v>Filozofická fakulta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E999" t="str">
            <v>Filozofická fakulta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E1000" t="str">
            <v>Filozofická fakulta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E1001" t="str">
            <v>Filozofická fakulta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E1002" t="str">
            <v>Filozofická fakulta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E1003" t="str">
            <v>Filozofická fakulta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E1004" t="str">
            <v>Filozofická fakulta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E1005" t="str">
            <v>Filozofická fakulta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E1006" t="str">
            <v>Filozofická fakulta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E1007" t="str">
            <v>Filozofická fakulta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E1008" t="str">
            <v>Filozofická fakulta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E1009" t="str">
            <v>Filozofická fakulta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E1010" t="str">
            <v>Pedagogická fakulta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E1011" t="str">
            <v>Pedagogická fakulta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E1012" t="str">
            <v>Pedagogická fakulta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E1013" t="str">
            <v>Pedagogická fakulta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E1014" t="str">
            <v>Pedagogická fakulta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E1015" t="str">
            <v>Pedagogická fakulta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E1016" t="str">
            <v>Pedagogická fakulta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E1017" t="str">
            <v>Filozofická fakulta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E1018" t="str">
            <v>Pedagogická fakulta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E1019" t="str">
            <v>Pedagogická fakulta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E1020" t="str">
            <v>Pedagogická fakulta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E1021" t="str">
            <v>Pedagogická fakulta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E1022" t="str">
            <v>Pedagogická fakulta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E1024" t="str">
            <v>Pedagogická fakulta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E1025" t="str">
            <v>Pedagogická fakulta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E1026" t="str">
            <v>Pedagogická fakulta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E1027" t="str">
            <v>Pedagogická fakulta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E1028" t="str">
            <v>Pedagogická fakulta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E1029" t="str">
            <v>Pedagogická fakulta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E1030" t="str">
            <v>Pedagogická fakulta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E1031" t="str">
            <v>Pedagogická fakulta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E1032" t="str">
            <v>Filozofická fakulta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E1033" t="str">
            <v>Pedagogická fakulta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E1034" t="str">
            <v>Pedagogická fakulta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E1035" t="str">
            <v>Pedagogická fakulta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E1036" t="str">
            <v>Pedagogická fakulta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E1037" t="str">
            <v>Pedagogická fakulta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E1038" t="str">
            <v>Fakulta stredoeurópskych štúdií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E1039" t="str">
            <v>Fakulta stredoeurópskych štúdií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E1040">
            <v>0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E1041">
            <v>0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E1042">
            <v>0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E1043">
            <v>0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E1044">
            <v>0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E1045">
            <v>0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E1046">
            <v>0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E1047">
            <v>0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E1048">
            <v>0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E1049">
            <v>0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E1050">
            <v>0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E1051">
            <v>0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E1052">
            <v>0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E1053">
            <v>0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E1054" t="str">
            <v>Teologická fakulta v Košiciach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E1055" t="str">
            <v>Teologická fakulta v Košiciach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E1056" t="str">
            <v>Teologická fakulta v Košiciach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E1057" t="str">
            <v>Teologická fakulta v Košiciach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E1058" t="str">
            <v>Fakulta špeciálnej techniky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E1059" t="str">
            <v>Fakulta špeciálnej techniky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E1060" t="str">
            <v>Fakulta sociálno-ekonomických vzťahov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E1061" t="str">
            <v>Fakulta priemyselných technológií v Púchove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E1062" t="str">
            <v>Fakulta priemyselných technológií v Púchove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E1063" t="str">
            <v>Fakulta zdravotníctva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E1064" t="str">
            <v>Fakulta priemyselných technológií v Púchove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E1065" t="str">
            <v>Fakulta sociálno-ekonomických vzťahov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E1066" t="str">
            <v>Fakulta špeciálnej techniky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E1067" t="str">
            <v>Fakulta sociálno-ekonomických vzťahov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E1068" t="str">
            <v>Fakulta zdravotníctva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E1069" t="str">
            <v>Fakulta sociálno-ekonomických vzťahov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E1070" t="str">
            <v>Fakulta špeciálnej techniky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E1071" t="str">
            <v>Fakulta zdravotníctva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E1072" t="str">
            <v>Fakulta priemyselných technológií v Púchove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E1073" t="str">
            <v>Fakulta priemyselných technológií v Púchove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E1074" t="str">
            <v>Fakulta sociálno-ekonomických vzťahov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E1075">
            <v>0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E1076">
            <v>0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E1077" t="str">
            <v>Fakulta zdravotníctva a sociálnej práce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E1078" t="str">
            <v>Fakulta zdravotníctva a sociálnej práce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E1079" t="str">
            <v>Fakulta zdravotníctva a sociálnej práce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E1080" t="str">
            <v>Fakulta zdravotníctva a sociálnej práce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E1081" t="str">
            <v>Fakulta zdravotníctva a sociálnej práce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E1082" t="str">
            <v>Fakulta zdravotníctva a sociálnej práce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E1083" t="str">
            <v>Fakulta zdravotníctva a sociálnej práce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E1084" t="str">
            <v>Fakulta zdravotníctva a sociálnej práce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E1085" t="str">
            <v>Fakulta zdravotníctva a sociálnej práce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E1086" t="str">
            <v>Pedagogická fakulta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E1087" t="str">
            <v>Pedagogická fakulta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E1088" t="str">
            <v>Pedagogická fakulta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E1089" t="str">
            <v>Pedagogická fakulta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E1090" t="str">
            <v>Pedagogická fakulta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E1091" t="str">
            <v>Pedagogická fakulta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E1092" t="str">
            <v>Pedagogická fakulta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E1093" t="str">
            <v>Pedagogická fakulta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E1094" t="str">
            <v>Pedagogická fakulta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E1095" t="str">
            <v>Pedagogická fakulta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E1096" t="str">
            <v>Pedagogická fakulta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E1097" t="str">
            <v>Pedagogická fakulta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E1098" t="str">
            <v>Pedagogická fakulta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E1099" t="str">
            <v>Pedagogická fakulta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E1100" t="str">
            <v>Pedagogická fakulta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E1101" t="str">
            <v>Pedagogická fakulta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E1102" t="str">
            <v>Pedagogická fakulta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E1103" t="str">
            <v>Pedagogická fakulta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E1104" t="str">
            <v>Právnická fakulta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E1105" t="str">
            <v>Právnická fakulta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E1106" t="str">
            <v>Právnická fakulta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E1107" t="str">
            <v>Právnická fakulta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E1108" t="str">
            <v>Právnická fakulta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E1109" t="str">
            <v>Právnická fakulta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E1110" t="str">
            <v>Právnická fakulta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E1111" t="str">
            <v>Filozofická fakulta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E1112" t="str">
            <v>Filozofická fakulta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E1113" t="str">
            <v>Filozofická fakulta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E1114" t="str">
            <v>Filozofická fakulta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E1115" t="str">
            <v>Filozofická fakulta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E1116" t="str">
            <v>Filozofická fakulta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E1117" t="str">
            <v>Filozofická fakulta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E1118" t="str">
            <v>Filozofická fakulta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E1119">
            <v>0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E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E1121">
            <v>0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E1122">
            <v>0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E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E1124">
            <v>0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E1125">
            <v>0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E1126" t="str">
            <v>Fakulta záhradníctva a krajinného inžinierstva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E1127" t="str">
            <v>Fakulta európskych štúdií a regionálneho rozvoja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E1128" t="str">
            <v>Fakulta záhradníctva a krajinného inžinierstva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E1129" t="str">
            <v>Technická fakulta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E1130" t="str">
            <v>Fakulta biotechnológie a potravinárstva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E1131" t="str">
            <v>Fakulta biotechnológie a potravinárstva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E1132" t="str">
            <v>Fakulta záhradníctva a krajinného inžinierstva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E1133" t="str">
            <v>Fakulta agrobiológie a potravinových zdrojov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E1134" t="str">
            <v>Technická fakulta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E1135" t="str">
            <v>Technická fakulta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E1136" t="str">
            <v>Technická fakulta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E1137" t="str">
            <v>Fakulta agrobiológie a potravinových zdrojov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E1138" t="str">
            <v>Fakulta agrobiológie a potravinových zdrojov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E1139" t="str">
            <v>Fakulta agrobiológie a potravinových zdrojov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E1140" t="str">
            <v>Fakulta ekonomiky a manažmentu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E1141" t="str">
            <v>Fakulta agrobiológie a potravinových zdrojov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E1142" t="str">
            <v>Technická fakulta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E1143" t="str">
            <v>Fakulta európskych štúdií a regionálneho rozvoja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E1144" t="str">
            <v>Technická fakulta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E1145" t="str">
            <v>Fakulta agrobiológie a potravinových zdrojov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E1146" t="str">
            <v>Fakulta agrobiológie a potravinových zdrojov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E1147" t="str">
            <v>Fakulta ekonomiky a manažmentu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E1148" t="str">
            <v>Technická fakulta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E1149" t="str">
            <v>Technická fakulta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E1150" t="str">
            <v>Fakulta agrobiológie a potravinových zdrojov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E1151" t="str">
            <v>Fakulta agrobiológie a potravinových zdrojov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E1152" t="str">
            <v>Technická fakulta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E1153" t="str">
            <v>Fakulta ekonomiky a manažmentu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E1154" t="str">
            <v>Fakulta agrobiológie a potravinových zdrojov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E1155" t="str">
            <v>Fakulta agrobiológie a potravinových zdrojov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E1156" t="str">
            <v>Fakulta agrobiológie a potravinových zdrojov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E1157" t="str">
            <v>Fakulta európskych štúdií a regionálneho rozvoja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E1158" t="str">
            <v>Fakulta biotechnológie a potravinárstva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E1159" t="str">
            <v>Technická fakulta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E1160" t="str">
            <v>Fakulta agrobiológie a potravinových zdrojov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E1161" t="str">
            <v>Fakulta ekonomiky a manažmentu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E1162" t="str">
            <v>Fakulta európskych štúdií a regionálneho rozvoja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E1163" t="str">
            <v>Fakulta ekonomiky a manažmentu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E1164" t="str">
            <v>Fakulta biotechnológie a potravinárstva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E1165" t="str">
            <v>Fakulta ekonomiky a manažmentu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E1166" t="str">
            <v>Technická fakulta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E1167" t="str">
            <v>Fakulta ekonomiky a manažmentu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E1168" t="str">
            <v>Fakulta ekonomiky a manažmentu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E1169" t="str">
            <v>Technická fakulta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E1170" t="str">
            <v>Fakulta biotechnológie a potravinárstva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E1171" t="str">
            <v>Fakulta záhradníctva a krajinného inžinierstva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E1172" t="str">
            <v>Fakulta ekonomiky a manažmentu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E1173" t="str">
            <v>Fakulta ekonomiky a manažmentu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E1174" t="str">
            <v>Fakulta záhradníctva a krajinného inžinierstva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E1175" t="str">
            <v>Fakulta agrobiológie a potravinových zdrojov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E1176" t="str">
            <v>Fakulta záhradníctva a krajinného inžinierstva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E1177">
            <v>0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E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E1179">
            <v>0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E1180">
            <v>0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E1181">
            <v>0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E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E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E1184">
            <v>0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E1185">
            <v>0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E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E1187" t="str">
            <v>Evanjelická bohoslovecká fakulta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E1188" t="str">
            <v>Evanjelická bohoslovecká fakulta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E1189" t="str">
            <v>Národohospodárska fakulta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E1190" t="str">
            <v>Fakulta podnikového manažmentu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E1191" t="str">
            <v>Podnikovohospodárska fakulta v Košiciach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E1192" t="str">
            <v>Národohospodárska fakulta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E1193" t="str">
            <v>Obchodná fakulta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E1194" t="str">
            <v>Fakulta podnikového manažmentu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E1195" t="str">
            <v>Obchodná fakulta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E1196" t="str">
            <v>Podnikovohospodárska fakulta v Košiciach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E1197" t="str">
            <v>Fakulta hospodárskej informatiky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E1198" t="str">
            <v>Národohospodárska fakulta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E1199" t="str">
            <v>Obchodná fakulta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E1200" t="str">
            <v>Národohospodárska fakulta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E1201" t="str">
            <v>Fakulta medzinárodných vzťahov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E1202" t="str">
            <v>Obchodná fakulta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E1203" t="str">
            <v>Fakulta hospodárskej informatiky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E1204" t="str">
            <v>Národohospodárska fakulta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E1205" t="str">
            <v>Fakulta hospodárskej informatiky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E1206" t="str">
            <v>Fakulta podnikového manažmentu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E1207" t="str">
            <v>Fakulta medzinárodných vzťahov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E1208" t="str">
            <v>Podnikovohospodárska fakulta v Košiciach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E1209" t="str">
            <v>Podnikovohospodárska fakulta v Košiciach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E1210" t="str">
            <v>Národohospodárska fakulta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E1211" t="str">
            <v>Fakulta aplikovaných jazykov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E1212" t="str">
            <v>Podnikovohospodárska fakulta v Košiciach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E1213" t="str">
            <v>Podnikovohospodárska fakulta v Košiciach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E1214" t="str">
            <v>Fakulta hospodárskej informatiky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E1215" t="str">
            <v>Národohospodárska fakulta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E1216" t="str">
            <v>Fakulta aplikovaných jazykov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E1217" t="str">
            <v>Fakulta hospodárskej informatiky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E1218" t="str">
            <v>Národohospodárska fakulta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E1219" t="str">
            <v>Fakulta podnikového manažmentu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E1220" t="str">
            <v>Fakulta podnikového manažmentu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E1221" t="str">
            <v>Fakulta telesnej výchovy a športu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E1222" t="str">
            <v>Fakulta telesnej výchovy a športu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E1223" t="str">
            <v>Fakulta telesnej výchovy a športu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E1224" t="str">
            <v>Fakulta telesnej výchovy a športu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E1225" t="str">
            <v>Fakulta telesnej výchovy a športu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E1226" t="str">
            <v>Fakulta telesnej výchovy a športu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E1227" t="str">
            <v>Prírodovedecká fakulta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E1228" t="str">
            <v>Fakulta telesnej výchovy a športu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E1229" t="str">
            <v>Fakulta telesnej výchovy a športu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E1230" t="str">
            <v>Prírodovedecká fakulta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E1231" t="str">
            <v>Pedagogická fakulta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E1232" t="str">
            <v>Fakulta telesnej výchovy a športu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E1233" t="str">
            <v>Fakulta telesnej výchovy a športu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E1234" t="str">
            <v>Fakulta sociálnych a ekonomických vied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E1235" t="str">
            <v>Fakulta sociálnych a ekonomických vied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E1236" t="str">
            <v>Fakulta sociálnych a ekonomických vied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E1237" t="str">
            <v>Fakulta práva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E1238" t="str">
            <v>Fakulta masmédií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E1239" t="str">
            <v>Fakulta informatiky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E1240" t="str">
            <v>Fakulta ekonómie a podnikania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E1241" t="str">
            <v>Filozofická fakulta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E1242" t="str">
            <v>Filozofická fakulta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E1243" t="str">
            <v>Filozofická fakulta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E1244" t="str">
            <v>Filozofická fakulta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E1245" t="str">
            <v>Filozofická fakulta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E1246" t="str">
            <v>Fakulta matematiky, fyziky a informatiky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E1247" t="str">
            <v>Fakulta matematiky, fyziky a informatiky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E1248" t="str">
            <v>Fakulta matematiky, fyziky a informatiky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E1249" t="str">
            <v>Fakulta matematiky, fyziky a informatiky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E1250" t="str">
            <v>Fakulta matematiky, fyziky a informatiky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E1251" t="str">
            <v>Fakulta matematiky, fyziky a informatiky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E1252" t="str">
            <v>Fakulta matematiky, fyziky a informatiky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E1253" t="str">
            <v>Fakulta matematiky, fyziky a informatiky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E1254" t="str">
            <v>Fakulta matematiky, fyziky a informatiky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E1255" t="str">
            <v>Fakulta matematiky, fyziky a informatiky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E1256" t="str">
            <v>Fakulta matematiky, fyziky a informatiky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E1257" t="str">
            <v>Fakulta matematiky, fyziky a informatiky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E1258" t="str">
            <v>Fakulta matematiky, fyziky a informatiky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E1259" t="str">
            <v>Fakulta matematiky, fyziky a informatiky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E1260" t="str">
            <v>Fakulta matematiky, fyziky a informatiky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E1261" t="str">
            <v>Fakulta matematiky, fyziky a informatiky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E1262" t="str">
            <v>Fakulta matematiky, fyziky a informatiky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E1263" t="str">
            <v>Fakulta matematiky, fyziky a informatiky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E1264" t="str">
            <v>Jesseniova lekárska fakulta v Martine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E1265" t="str">
            <v>Jesseniova lekárska fakulta v Martine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E1266" t="str">
            <v>Jesseniova lekárska fakulta v Martine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E1267" t="str">
            <v>Jesseniova lekárska fakulta v Martine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E1268" t="str">
            <v>Jesseniova lekárska fakulta v Martine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E1269" t="str">
            <v>Jesseniova lekárska fakulta v Martine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E1270" t="str">
            <v>Jesseniova lekárska fakulta v Martine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E1271" t="str">
            <v>Jesseniova lekárska fakulta v Martine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E1272" t="str">
            <v>Jesseniova lekárska fakulta v Martine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E1273" t="str">
            <v>Jesseniova lekárska fakulta v Martine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E1274" t="str">
            <v>Prírodovedecká fakulta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E1275" t="str">
            <v>Prírodovedecká fakulta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E1276" t="str">
            <v>Prírodovedecká fakulta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E1277" t="str">
            <v>Prírodovedecká fakulta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E1278" t="str">
            <v>Prírodovedecká fakulta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E1279" t="str">
            <v>Prírodovedecká fakulta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E1280" t="str">
            <v>Prírodovedecká fakulta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E1281" t="str">
            <v>Prírodovedecká fakulta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E1282" t="str">
            <v>Prírodovedecká fakulta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E1284" t="str">
            <v>Prírodovedecká fakulta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E1285" t="str">
            <v>Prírodovedecká fakulta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E1286" t="str">
            <v>Prírodovedecká fakulta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E1287" t="str">
            <v>Fakulta matematiky, fyziky a informatiky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E1288" t="str">
            <v>Prírodovedecká fakulta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E1289" t="str">
            <v>Prírodovedecká fakulta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E1290" t="str">
            <v>Prírodovedecká fakulta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E1291" t="str">
            <v>Prírodovedecká fakulta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E1292" t="str">
            <v>Prírodovedecká fakulta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E1293" t="str">
            <v>Prírodovedecká fakulta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E1294" t="str">
            <v>Pedagogická fakulta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E1295" t="str">
            <v>Pedagogická fakulta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E1296" t="str">
            <v>Pedagogická fakulta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E1297" t="str">
            <v>Pedagogická fakulta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E1298" t="str">
            <v>Pedagogická fakulta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E1299" t="str">
            <v>Pedagogická fakulta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E1300" t="str">
            <v>Pedagogická fakulta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E1301" t="str">
            <v>Pedagogická fakulta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E1302" t="str">
            <v>Pedagogická fakulta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E1303" t="str">
            <v>Pedagogická fakulta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E1304" t="str">
            <v>Pedagogická fakulta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E1305" t="str">
            <v>Filozofická fakulta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E1306" t="str">
            <v>Pedagogická fakulta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E1307" t="str">
            <v>Pedagogická fakulta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E1308" t="str">
            <v>Pedagogická fakulta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E1309" t="str">
            <v>Pedagogická fakulta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E1310" t="str">
            <v>Pedagogická fakulta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E1311" t="str">
            <v>Pedagogická fakulta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E1312" t="str">
            <v>Filozofická fakulta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E1313" t="str">
            <v>Filozofická fakulta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E1314" t="str">
            <v>Filozofická fakulta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E1315" t="str">
            <v>Filozofická fakulta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E1316" t="str">
            <v>Filozofická fakulta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E1317" t="str">
            <v>Filozofická fakulta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E1318" t="str">
            <v>Filozofická fakulta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E1319" t="str">
            <v>Filozofická fakulta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E1320" t="str">
            <v>Filozofická fakulta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E1321" t="str">
            <v>Filozofická fakulta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E1322" t="str">
            <v>Filozofická fakulta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E1323" t="str">
            <v>Filozofická fakulta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E1324" t="str">
            <v>Filozofická fakulta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E1325" t="str">
            <v>Filozofická fakulta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E1326" t="str">
            <v>Filozofická fakulta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E1327" t="str">
            <v>Filozofická fakulta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E1328" t="str">
            <v>Filozofická fakulta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E1329" t="str">
            <v>Filozofická fakulta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E1330" t="str">
            <v>Filozofická fakulta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E1331" t="str">
            <v>Filozofická fakulta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E1332" t="str">
            <v>Filozofická fakulta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E1333" t="str">
            <v>Filozofická fakulta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E1334" t="str">
            <v>Filozofická fakulta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E1335" t="str">
            <v>Filozofická fakulta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E1336" t="str">
            <v>Filozofická fakulta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E1337" t="str">
            <v>Filozofická fakulta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E1338" t="str">
            <v>Filozofická fakulta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E1339" t="str">
            <v>Filozofická fakulta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E1340" t="str">
            <v>Filozofická fakulta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E1341" t="str">
            <v>Filozofická fakulta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E1342" t="str">
            <v>Filozofická fakulta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E1343" t="str">
            <v>Filozofická fakulta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E1344" t="str">
            <v>Filozofická fakulta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E1345" t="str">
            <v>Filozofická fakulta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E1346" t="str">
            <v>Filozofická fakulta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E1347" t="str">
            <v>Filozofická fakulta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E1348" t="str">
            <v>Filozofická fakulta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E1349" t="str">
            <v>Filozofická fakulta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E1350" t="str">
            <v>Filozofická fakulta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E1351" t="str">
            <v>Filozofická fakulta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E1352" t="str">
            <v>Filozofická fakulta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E1353" t="str">
            <v>Filozofická fakulta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E1354" t="str">
            <v>Filozofická fakulta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E1355" t="str">
            <v>Filozofická fakulta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E1356" t="str">
            <v>Filozofická fakulta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E1357" t="str">
            <v>Filozofická fakulta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E1358" t="str">
            <v>Filozofická fakulta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E1359" t="str">
            <v>Filozofická fakulta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E1360" t="str">
            <v>Filozofická fakulta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E1361" t="str">
            <v>Filozofická fakulta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E1362" t="str">
            <v>Filozofická fakulta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E1363" t="str">
            <v>Filozofická fakulta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E1364" t="str">
            <v>Farmaceutická fakulta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E1365" t="str">
            <v>Farmaceutická fakulta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E1366" t="str">
            <v>Farmaceutická fakulta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E1367" t="str">
            <v>Farmaceutická fakulta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E1368" t="str">
            <v>Farmaceutická fakulta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E1369" t="str">
            <v>Lekárska fakulta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E1370" t="str">
            <v>Lekárska fakulta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E1371" t="str">
            <v>Lekárska fakulta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E1372" t="str">
            <v>Lekárska fakulta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E1373" t="str">
            <v>Lekárska fakulta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E1374" t="str">
            <v>Fakulta managementu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E1375" t="str">
            <v>Právnická fakulta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E1376" t="str">
            <v>Právnická fakulta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E1377" t="str">
            <v>Právnická fakulta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E1378" t="str">
            <v>Právnická fakulta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E1379" t="str">
            <v>Právnická fakulta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E1380" t="str">
            <v>Právnická fakulta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E1381" t="str">
            <v>Právnická fakulta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E1382" t="str">
            <v>Pedagogická fakulta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E1383" t="str">
            <v>Pedagogická fakulta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E1384" t="str">
            <v>Pedagogická fakulta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E1385" t="str">
            <v>Pedagogická fakulta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E1386" t="str">
            <v>Pedagogická fakulta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E1387" t="str">
            <v>Pedagogická fakulta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E1388" t="str">
            <v>Pedagogická fakulta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E1389" t="str">
            <v>Pedagogická fakulta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E1390" t="str">
            <v>Pedagogická fakulta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E1391" t="str">
            <v>Pedagogická fakulta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E1392" t="str">
            <v>Pedagogická fakulta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E1393" t="str">
            <v>Pedagogická fakulta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E1394" t="str">
            <v>Pedagogická fakulta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E1395" t="str">
            <v>Pedagogická fakulta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E1396" t="str">
            <v>Pedagogická fakulta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E1397" t="str">
            <v>Pedagogická fakulta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E1398" t="str">
            <v>Pedagogická fakulta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E1399" t="str">
            <v>Pedagogická fakulta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E1400" t="str">
            <v>Pedagogická fakulta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E1401" t="str">
            <v>Pedagogická fakulta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E1402" t="str">
            <v>Pedagogická fakulta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E1403" t="str">
            <v>Pedagogická fakulta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E1404" t="str">
            <v>Pedagogická fakulta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E1405" t="str">
            <v>Pedagogická fakulta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E1406" t="str">
            <v>Pedagogická fakulta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E1407" t="str">
            <v>Pedagogická fakulta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E1408" t="str">
            <v>Pedagogická fakulta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E1409" t="str">
            <v>Pedagogická fakulta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E1410" t="str">
            <v>Pedagogická fakulta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E1411" t="str">
            <v>Pedagogická fakulta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E1412" t="str">
            <v>Pedagogická fakulta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E1413" t="str">
            <v>Pedagogická fakulta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E1414" t="str">
            <v>Pedagogická fakulta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E1415" t="str">
            <v>Pedagogická fakulta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E1416" t="str">
            <v>Pedagogická fakulta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E1417" t="str">
            <v>Pedagogická fakulta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E1418" t="str">
            <v>Pedagogická fakulta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E1419" t="str">
            <v>Pedagogická fakulta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E1420" t="str">
            <v>Fakulta sociálnych vied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E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E1422" t="str">
            <v>Fakulta sociálnych vied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E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E1424" t="str">
            <v>Fakulta masmediálnej komunikácie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E1425" t="str">
            <v>Filozofická fakulta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E1426" t="str">
            <v>Fakulta prírodných vied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E1427" t="str">
            <v>Fakulta sociálnych vied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E1428" t="str">
            <v>Fakulta masmediálnej komunikácie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E1429" t="str">
            <v>Fakulta masmediálnej komunikácie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E1430" t="str">
            <v>Fakulta masmediálnej komunikácie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E1431" t="str">
            <v>Fakulta masmediálnej komunikácie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E1432" t="str">
            <v>Fakulta sociálnych vied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E1433" t="str">
            <v>Fakulta prírodných vied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E1434">
            <v>0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E1435" t="str">
            <v>Filozofická fakulta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E1436" t="str">
            <v>Filozofická fakulta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E1437" t="str">
            <v>Filozofická fakulta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E1438" t="str">
            <v>Fakulta masmediálnej komunikácie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E1439" t="str">
            <v>Fakulta prírodných vied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E1440" t="str">
            <v>Fakulta masmediálnej komunikácie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E1441" t="str">
            <v>Filozofická fakulta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E1442" t="str">
            <v>Filozofická fakulta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E1443" t="str">
            <v>Filozofická fakulta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E1444" t="str">
            <v>Fakulta masmediálnej komunikácie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E1445">
            <v>0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E1446" t="str">
            <v>Filozofická fakulta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E1447" t="str">
            <v>Filozofická fakulta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E1448" t="str">
            <v>Filozofická fakulta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E1449" t="str">
            <v>Filozofická fakulta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E1450" t="str">
            <v>Materiálovotechnologická fakulta so sídlom v Trnave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E1451" t="str">
            <v>Materiálovotechnologická fakulta so sídlom v Trnave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E1452" t="str">
            <v>Materiálovotechnologická fakulta so sídlom v Trnave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E1453" t="str">
            <v>Stavebná fakulta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E1454" t="str">
            <v>Fakulta elektrotechniky a informatiky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E1455" t="str">
            <v>Fakulta elektrotechniky a informatiky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E1456" t="str">
            <v>Materiálovotechnologická fakulta so sídlom v Trnave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E1457" t="str">
            <v>Fakulta architektúry a dizajnu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E1458" t="str">
            <v>Fakulta elektrotechniky a informatiky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E1459" t="str">
            <v>Fakulta chemickej a potravinárskej technológie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E1460" t="str">
            <v>Fakulta elektrotechniky a informatiky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E1461" t="str">
            <v>Fakulta chemickej a potravinárskej technológie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E1462" t="str">
            <v>Stavebná fakulta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E1463" t="str">
            <v>Fakulta elektrotechniky a informatiky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E1464" t="str">
            <v>Fakulta elektrotechniky a informatiky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E1465" t="str">
            <v>Stavebná fakulta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E1466" t="str">
            <v>Stavebná fakulta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E1468" t="str">
            <v>Fakulta chemickej a potravinárskej technológie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E1469" t="str">
            <v>Fakulta chemickej a potravinárskej technológie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E1470" t="str">
            <v>Fakulta chemickej a potravinárskej technológie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E1472" t="str">
            <v>Stavebná fakulta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E1473" t="str">
            <v>Stavebná fakulta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E1474" t="str">
            <v>Strojnícka fakulta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E1475" t="str">
            <v>Materiálovotechnologická fakulta so sídlom v Trnave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E1476" t="str">
            <v>Materiálovotechnologická fakulta so sídlom v Trnave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E1478" t="str">
            <v>Strojnícka fakulta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E1479" t="str">
            <v>Strojnícka fakulta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E1480" t="str">
            <v>Fakulta chemickej a potravinárskej technológie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E1481" t="str">
            <v>Fakulta chemickej a potravinárskej technológie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E1482" t="str">
            <v>Fakulta chemickej a potravinárskej technológie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E1483" t="str">
            <v>Fakulta chemickej a potravinárskej technológie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E1484" t="str">
            <v>Materiálovotechnologická fakulta so sídlom v Trnave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E1485" t="str">
            <v>Materiálovotechnologická fakulta so sídlom v Trnave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E1486" t="str">
            <v>Materiálovotechnologická fakulta so sídlom v Trnave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E1487" t="str">
            <v>Strojnícka fakulta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E1488" t="str">
            <v>Materiálovotechnologická fakulta so sídlom v Trnave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E1489" t="str">
            <v>Materiálovotechnologická fakulta so sídlom v Trnave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E1490" t="str">
            <v>Stavebná fakulta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E1491" t="str">
            <v>Fakulta chemickej a potravinárskej technológie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E1492">
            <v>0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E1493" t="str">
            <v>Stavebná fakulta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E1494" t="str">
            <v>Fakulta chemickej a potravinárskej technológie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E1495" t="str">
            <v>Fakulta elektrotechniky a informatiky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E1496" t="str">
            <v>Fakulta chemickej a potravinárskej technológie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E1497" t="str">
            <v>Fakulta chemickej a potravinárskej technológie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E1498" t="str">
            <v>Materiálovotechnologická fakulta so sídlom v Trnave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E1499" t="str">
            <v>Fakulta chemickej a potravinárskej technológie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E1500" t="str">
            <v>Strojnícka fakulta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E1501" t="str">
            <v>Fakulta chemickej a potravinárskej technológie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E1502" t="str">
            <v>Strojnícka fakulta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E1503" t="str">
            <v>Stavebná fakulta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E1504" t="str">
            <v>Stavebná fakulta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E1505">
            <v>0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E1506" t="str">
            <v>Fakulta architektúry a dizajnu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E1507" t="str">
            <v>Materiálovotechnologická fakulta so sídlom v Trnave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E1508" t="str">
            <v>Materiálovotechnologická fakulta so sídlom v Trnave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E1510" t="str">
            <v>Fakulta elektrotechniky a informatiky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E1512" t="str">
            <v>Fakulta informatiky a informačných technológií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E1513" t="str">
            <v>Fakulta informatiky a informačných technológií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E1514" t="str">
            <v>Fakulta elektrotechniky a informatiky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E1516" t="str">
            <v>Drevárska fakulta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E1517" t="str">
            <v>Fakulta techniky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E1518" t="str">
            <v>Fakulta techniky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E1519" t="str">
            <v>Fakulta ekológie a environmentalistiky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E1520" t="str">
            <v>Drevárska fakulta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E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E1522" t="str">
            <v>Lesnícka fakulta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E1523" t="str">
            <v>Lesnícka fakulta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E1524" t="str">
            <v>Lesnícka fakulta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E1525" t="str">
            <v>Lesnícka fakulta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E1526" t="str">
            <v>Drevárska fakulta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E1527" t="str">
            <v>Drevárska fakulta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E1528" t="str">
            <v>Drevárska fakulta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E1529" t="str">
            <v>Drevárska fakulta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E1530" t="str">
            <v>Drevárska fakulta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E1531" t="str">
            <v>Fakulta techniky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E1532" t="str">
            <v>Drevárska fakulta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E1533" t="str">
            <v>Drevárska fakulta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E1534" t="str">
            <v>Pedagogická fakulta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E1535" t="str">
            <v>Fakulta ekonómie a informatiky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E1536" t="str">
            <v>Pedagogická fakulta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E1537" t="str">
            <v>Pedagogická fakulta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E1538" t="str">
            <v>Reformovaná teologická fakulta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E1539" t="str">
            <v>Pedagogická fakulta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E1540" t="str">
            <v>Pedagogická fakulta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E1541" t="str">
            <v>Pedagogická fakulta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E1542" t="str">
            <v>Pedagogická fakulta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E1543" t="str">
            <v>Pedagogická fakulta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E1544" t="str">
            <v>Pedagogická fakulta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E1545" t="str">
            <v>Pedagogická fakulta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E1546" t="str">
            <v>Fakulta ekonómie a informatiky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E1547" t="str">
            <v>Reformovaná teologická fakulta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E1548" t="str">
            <v>Fakulta ekonómie a informatiky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E1549" t="str">
            <v>Pedagogická fakulta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E1550" t="str">
            <v>Pedagogická fakulta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E1551" t="str">
            <v>Pedagogická fakulta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E1552" t="str">
            <v>Pedagogická fakulta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E1553" t="str">
            <v>Pedagogická fakulta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E1554" t="str">
            <v>Fakulta ekonómie a informatiky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E1556">
            <v>0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E1557" t="str">
            <v>Filozofická fakulta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E1558" t="str">
            <v>Filozofická fakulta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E1559" t="str">
            <v>Filozofická fakulta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E1560" t="str">
            <v>Fakulta verejnej politiky a verejnej správy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E1561" t="str">
            <v>Fakulta práva Janka Jesenského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E1562" t="str">
            <v>Fakulta verejnej politiky a verejnej správy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E1563" t="str">
            <v>Fakulta práva Janka Jesenského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E1564" t="str">
            <v>Fakulta práva Janka Jesenského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E1565">
            <v>0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E1566" t="str">
            <v>Fakulta ošetrovateľstva a zdravotníckych odborných štúdií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E1567" t="str">
            <v>Fakulta ošetrovateľstva a zdravotníckych odborných štúdií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E1568" t="str">
            <v>Fakulta ošetrovateľstva a zdravotníckych odborných štúdií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E1569" t="str">
            <v>Fakulta verejného zdravotníctva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E1570" t="str">
            <v>Fakulta psychológie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E1571" t="str">
            <v>Fakulta managementu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E1572" t="str">
            <v>Fakulta managementu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E1573">
            <v>0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E1574" t="str">
            <v>Fakulta zdravotníctva so sídlom v Banskej Bystrici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E1575" t="str">
            <v>Filozofická fakulta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E1576" t="str">
            <v>Filozofická fakulta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E1577" t="str">
            <v>Strojnícka fakulta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E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E1579" t="str">
            <v>Fakulta elektrotechniky a informačných technológií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E1580" t="str">
            <v>Fakulta bezpečnostného inžinierstva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E1581" t="str">
            <v>Fakulta elektrotechniky a informačných technológií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E1582" t="str">
            <v>Strojnícka fakulta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E1583" t="str">
            <v>Strojnícka fakulta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E1584" t="str">
            <v>Stavebná fakulta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E1585" t="str">
            <v>Strojnícka fakulta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E1586" t="str">
            <v>Fakulta humanitných vied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E1587" t="str">
            <v>Fakulta bezpečnostného inžinierstva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E1588" t="str">
            <v>Strojnícka fakulta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E1589" t="str">
            <v>Stavebná fakulta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E1590" t="str">
            <v>Fakulta prevádzky a ekonomiky dopravy a spojov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E1591" t="str">
            <v>Fakulta bezpečnostného inžinierstva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E1592" t="str">
            <v>Fakulta prevádzky a ekonomiky dopravy a spojov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E1593" t="str">
            <v>Strojnícka fakulta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E1594" t="str">
            <v>Fakulta riadenia a informatiky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E1595" t="str">
            <v>Fakulta elektrotechniky a informačných technológií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E1596" t="str">
            <v>Fakulta humanitných vied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E1597" t="str">
            <v>Fakulta prevádzky a ekonomiky dopravy a spojov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E1598" t="str">
            <v>Stavebná fakulta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E1599" t="str">
            <v>Fakulta riadenia a informatiky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E1600" t="str">
            <v>Fakulta elektrotechniky a informačných technológií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E1601" t="str">
            <v>Fakulta riadenia a informatiky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E1602" t="str">
            <v>Fakulta humanitných vied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E1603" t="str">
            <v>Fakulta humanitných vied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E1604" t="str">
            <v>Fakulta prevádzky a ekonomiky dopravy a spojov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E1605" t="str">
            <v>Stavebná fakulta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E1606" t="str">
            <v>Fakulta prevádzky a ekonomiky dopravy a spojov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E1607" t="str">
            <v>Fakulta prevádzky a ekonomiky dopravy a spojov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E1608" t="str">
            <v>Fakulta elektrotechniky a informačných technológií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E1609" t="str">
            <v>Fakulta prevádzky a ekonomiky dopravy a spojov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E1610" t="str">
            <v>Stavebná fakulta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E1611" t="str">
            <v>Fakulta elektrotechniky a informačných technológií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E1612" t="str">
            <v>Fakulta prevádzky a ekonomiky dopravy a spojov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E1613" t="str">
            <v>Fakulta bezpečnostného inžinierstva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E1614" t="str">
            <v>Fakulta prevádzky a ekonomiky dopravy a spojov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E1615" t="str">
            <v>Strojnícka fakulta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E1616" t="str">
            <v>Fakulta elektrotechniky a informačných technológií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E1617" t="str">
            <v>Fakulta prevádzky a ekonomiky dopravy a spojov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E1618" t="str">
            <v>Fakulta prevádzky a ekonomiky dopravy a spojov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E1619" t="str">
            <v>Strojnícka fakulta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E1620" t="str">
            <v>Fakulta humanitných vied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E1621" t="str">
            <v>Fakulta bezpečnostného inžinierstva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E1622">
            <v>0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E1623">
            <v>0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E1624" t="str">
            <v>Inštitút sociálnych vied a zdravotníctva bl. P. P. Gojdiča v Prešove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E1625">
            <v>0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E1626" t="str">
            <v>Filmová a televízna fakulta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E1627" t="str">
            <v>Divadelná fakulta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E1628" t="str">
            <v>Divadelná fakulta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E1629" t="str">
            <v>Hudobná a tanečná fakulta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E1630" t="str">
            <v>Filmová a televízna fakulta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E1631" t="str">
            <v>Divadelná fakulta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E1632" t="str">
            <v>Hudobná a tanečná fakulta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E1633" t="str">
            <v>Filmová a televízna fakulta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E1634">
            <v>0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E1635">
            <v>0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E1636" t="str">
            <v>Strojnícka fakulta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E1637">
            <v>0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E1638" t="str">
            <v>Fakulta prírodných vied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E1639" t="str">
            <v>Fakulta prírodných vied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E1640" t="str">
            <v>Fakulta prírodných vied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E1641" t="str">
            <v>Fakulta prírodných vied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E1642">
            <v>0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E1643">
            <v>0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E1644">
            <v>0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E1645">
            <v>0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E1646">
            <v>0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E1647">
            <v>0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E1648">
            <v>0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E1649">
            <v>0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E1650">
            <v>0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E1651">
            <v>0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E1652">
            <v>0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E1653">
            <v>0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E1654">
            <v>0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E1655">
            <v>0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E1656">
            <v>0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E1657">
            <v>0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E1658" t="str">
            <v>Fakulta hospodárskej informatiky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E1659" t="str">
            <v>Fakulta ekonómie a podnikania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E1660">
            <v>0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E1661">
            <v>0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E1662" t="str">
            <v>Fakulta výrobných technológií so sídlom v Prešove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E1663">
            <v>0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E1664" t="str">
            <v>Filozofická fakulta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E1665" t="str">
            <v>Filozofická fakulta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E1666" t="str">
            <v>Filozofická fakulta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E1667" t="str">
            <v>Filozofická fakulta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E1668" t="str">
            <v>Filozofická fakulta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E1669" t="str">
            <v>Filozofická fakulta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E1670" t="str">
            <v>Filozofická fakulta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E1671" t="str">
            <v>Filozofická fakulta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E1672" t="str">
            <v>Filozofická fakulta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E1673" t="str">
            <v>Filozofická fakulta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E1674" t="str">
            <v>Filozofická fakulta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E1675" t="str">
            <v>Filozofická fakulta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E1676" t="str">
            <v>Filozofická fakulta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E1677" t="str">
            <v>Filozofická fakulta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E1678" t="str">
            <v>Filozofická fakulta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E1679" t="str">
            <v>Filozofická fakulta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E1680" t="str">
            <v>Filozofická fakulta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E1681" t="str">
            <v>Filozofická fakulta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E1682" t="str">
            <v>Filozofická fakulta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E1683" t="str">
            <v>Filozofická fakulta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E1684" t="str">
            <v>Filozofická fakulta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E1685" t="str">
            <v>Filozofická fakulta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E1686" t="str">
            <v>Filozofická fakulta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E1687" t="str">
            <v>Filozofická fakulta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E1688" t="str">
            <v>Filozofická fakulta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E1689" t="str">
            <v>Filozofická fakulta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E1690" t="str">
            <v>Gréckokatolícka teologická fakulta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E1691" t="str">
            <v>Gréckokatolícka teologická fakulta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E1692" t="str">
            <v>Gréckokatolícka teologická fakulta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E1693" t="str">
            <v>Gréckokatolícka teologická fakulta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E1694" t="str">
            <v>Gréckokatolícka teologická fakulta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E1695" t="str">
            <v>Fakulta humanitných a prírodných vied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E1696" t="str">
            <v>Fakulta humanitných a prírodných vied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E1697" t="str">
            <v>Filozofická fakulta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E1698" t="str">
            <v>Fakulta humanitných a prírodných vied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E1699" t="str">
            <v>Fakulta humanitných a prírodných vied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E1700" t="str">
            <v>Fakulta humanitných a prírodných vied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E1701" t="str">
            <v>Fakulta humanitných a prírodných vied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E1702" t="str">
            <v>Fakulta humanitných a prírodných vied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E1703" t="str">
            <v>Fakulta humanitných a prírodných vied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E1704" t="str">
            <v>Fakulta humanitných a prírodných vied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E1705" t="str">
            <v>Fakulta humanitných a prírodných vied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E1706" t="str">
            <v>Fakulta humanitných a prírodných vied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E1707" t="str">
            <v>Fakulta humanitných a prírodných vied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E1708" t="str">
            <v>Fakulta manažmentu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E1709" t="str">
            <v>Fakulta manažmentu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E1710" t="str">
            <v>Fakulta manažmentu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E1711" t="str">
            <v>Fakulta manažmentu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E1712" t="str">
            <v>Pedagogická fakulta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E1713" t="str">
            <v>Pedagogická fakulta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E1714" t="str">
            <v>Pedagogická fakulta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E1715" t="str">
            <v>Pedagogická fakulta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E1716" t="str">
            <v>Pedagogická fakulta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E1717" t="str">
            <v>Pravoslávna bohoslovecká fakulta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E1718" t="str">
            <v>Fakulta športu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E1719" t="str">
            <v>Fakulta športu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E1720" t="str">
            <v>Fakulta športu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E1721" t="str">
            <v>Fakulta zdravotníckych odborov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E1722" t="str">
            <v>Fakulta zdravotníckych odborov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E1723" t="str">
            <v>Fakulta zdravotníckych odborov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E1724" t="str">
            <v>Fakulta zdravotníckych odborov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E1725" t="str">
            <v>Fakulta zdravotníckych odborov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E1726" t="str">
            <v>Fakulta zdravotníckych odborov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E1727" t="str">
            <v>Fakulta zdravotníckych odborov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E1728">
            <v>0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E1729" t="str">
            <v>Gréckokatolícka teologická fakulta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E1730">
            <v>0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E1731">
            <v>0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E1732">
            <v>0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E1733">
            <v>0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E1734">
            <v>0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E1735">
            <v>0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E1736">
            <v>0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E1737">
            <v>0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E1738">
            <v>0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E1739" t="str">
            <v>Fakulta elektrotechniky a informatiky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E1740" t="str">
            <v>Fakulta elektrotechniky a informatiky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E1741" t="str">
            <v>Národohospodárska fakulta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E1742" t="str">
            <v>Teologická fakulta v Košiciach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E1743" t="str">
            <v>Filozofická fakulta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E1744" t="str">
            <v>Filozofická fakulta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E1745">
            <v>0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E1746" t="str">
            <v>Fakulta sociálnych vied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E1747">
            <v>0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E1748" t="str">
            <v>Fakulta verejnej politiky a verejnej správy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E1749" t="str">
            <v>Drevárska fakulta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E1750" t="str">
            <v>Fakulta práva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E1751" t="str">
            <v>Fakulta práva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E1752" t="str">
            <v>Fakulta práva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E1753" t="str">
            <v>Fakulta psychológie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E1754" t="str">
            <v>Fakulta psychológie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E1755" t="str">
            <v>Fakulta masmédií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E1756" t="str">
            <v>Fakulta masmédií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E1757" t="str">
            <v>Fakulta ekonómie a podnikania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E1758" t="str">
            <v>Fakulta psychológie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E1759" t="str">
            <v>Fakulta práva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E1760" t="str">
            <v>Fakulta stredoeurópskych štúdií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E1761">
            <v>0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E1762" t="str">
            <v>Filozofická fakulta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E1763" t="str">
            <v>Filozofická fakulta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E1764" t="str">
            <v>Filozofická fakulta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E1765" t="str">
            <v>Filozofická fakulta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E1766" t="str">
            <v>Filozofická fakulta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E1767" t="str">
            <v>Filozofická fakulta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E1768" t="str">
            <v>Filozofická fakulta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E1769" t="str">
            <v>Filozofická fakulta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E1770" t="str">
            <v>Filozofická fakulta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E1771" t="str">
            <v>Filozofická fakulta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E1772" t="str">
            <v>Filozofická fakulta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E1773" t="str">
            <v>Filozofická fakulta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E1774" t="str">
            <v>Filozofická fakulta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E1775" t="str">
            <v>Filozofická fakulta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E1776" t="str">
            <v>Filozofická fakulta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E1777" t="str">
            <v>Filozofická fakulta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E1778" t="str">
            <v>Filozofická fakulta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E1779" t="str">
            <v>Filozofická fakulta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E1780" t="str">
            <v>Filozofická fakulta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E1781" t="str">
            <v>Filozofická fakulta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E1782" t="str">
            <v>Filozofická fakulta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E1783" t="str">
            <v>Filozofická fakulta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E1784" t="str">
            <v>Filozofická fakulta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E1785" t="str">
            <v>Filozofická fakulta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E1786" t="str">
            <v>Filozofická fakulta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E1787" t="str">
            <v>Filozofická fakulta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E1788" t="str">
            <v>Filozofická fakulta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E1789" t="str">
            <v>Filozofická fakulta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E1790" t="str">
            <v>Filozofická fakulta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E1791" t="str">
            <v>Filozofická fakulta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E1792" t="str">
            <v>Filozofická fakulta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E1793" t="str">
            <v>Filozofická fakulta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E1794" t="str">
            <v>Filozofická fakulta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E1795" t="str">
            <v>Filozofická fakulta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E1796" t="str">
            <v>Filozofická fakulta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E1797" t="str">
            <v>Filozofická fakulta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E1798" t="str">
            <v>Filozofická fakulta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E1799" t="str">
            <v>Filozofická fakulta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E1800" t="str">
            <v>Filozofická fakulta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E1801" t="str">
            <v>Filozofická fakulta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E1802" t="str">
            <v>Filozofická fakulta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E1803" t="str">
            <v>Filozofická fakulta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E1805" t="str">
            <v>Filozofická fakulta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E1807" t="str">
            <v>Filozofická fakulta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E1809" t="str">
            <v>Filozofická fakulta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E1810" t="str">
            <v>Fakulta informatiky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E1811" t="str">
            <v>Fakulta informatiky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E1812" t="str">
            <v>Fakulta ekonómie a podnikania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E1813" t="str">
            <v>Fakulta psychológie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E1814" t="str">
            <v>Fakulta ekonómie a podnikania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E1815" t="str">
            <v>Fakulta informatiky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E1816" t="str">
            <v>Fakulta baníctva, ekológie, riadenia a geotechnológií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E1817" t="str">
            <v>Fakulta baníctva, ekológie, riadenia a geotechnológií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E1818" t="str">
            <v>Fakulta baníctva, ekológie, riadenia a geotechnológií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E1819" t="str">
            <v>Fakulta baníctva, ekológie, riadenia a geotechnológií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E1820" t="str">
            <v>Fakulta baníctva, ekológie, riadenia a geotechnológií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E1821" t="str">
            <v>Fakulta baníctva, ekológie, riadenia a geotechnológií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E1822" t="str">
            <v>Fakulta baníctva, ekológie, riadenia a geotechnológií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E1823" t="str">
            <v>Fakulta baníctva, ekológie, riadenia a geotechnológií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E1824" t="str">
            <v>Fakulta baníctva, ekológie, riadenia a geotechnológií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E1825" t="str">
            <v>Fakulta baníctva, ekológie, riadenia a geotechnológií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E1826" t="str">
            <v>Fakulta baníctva, ekológie, riadenia a geotechnológií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E1827" t="str">
            <v>Fakulta baníctva, ekológie, riadenia a geotechnológií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E1828" t="str">
            <v>Fakulta baníctva, ekológie, riadenia a geotechnológií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E1829" t="str">
            <v>Fakulta baníctva, ekológie, riadenia a geotechnológií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E1830" t="str">
            <v>Fakulta baníctva, ekológie, riadenia a geotechnológií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E1831" t="str">
            <v>Fakulta baníctva, ekológie, riadenia a geotechnológií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E1832" t="str">
            <v>Fakulta baníctva, ekológie, riadenia a geotechnológií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E1833" t="str">
            <v>Fakulta baníctva, ekológie, riadenia a geotechnológií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E1834" t="str">
            <v>Fakulta baníctva, ekológie, riadenia a geotechnológií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E1835" t="str">
            <v>Fakulta baníctva, ekológie, riadenia a geotechnológií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E1836" t="str">
            <v>Fakulta baníctva, ekológie, riadenia a geotechnológií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E1837" t="str">
            <v>Fakulta baníctva, ekológie, riadenia a geotechnológií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E1838" t="str">
            <v>Fakulta baníctva, ekológie, riadenia a geotechnológií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E1839" t="str">
            <v>Fakulta materiálov, metalurgie a recyklácie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E1840" t="str">
            <v>Fakulta materiálov, metalurgie a recyklácie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E1841" t="str">
            <v>Fakulta materiálov, metalurgie a recyklácie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E1842" t="str">
            <v>Fakulta materiálov, metalurgie a recyklácie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E1843" t="str">
            <v>Fakulta materiálov, metalurgie a recyklácie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E1844" t="str">
            <v>Fakulta materiálov, metalurgie a recyklácie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E1845" t="str">
            <v>Fakulta materiálov, metalurgie a recyklácie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E1846" t="str">
            <v>Fakulta materiálov, metalurgie a recyklácie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E1847" t="str">
            <v>Fakulta materiálov, metalurgie a recyklácie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E1848" t="str">
            <v>Strojnícka fakulta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E1849" t="str">
            <v>Strojnícka fakulta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E1850" t="str">
            <v>Strojnícka fakulta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E1851" t="str">
            <v>Strojnícka fakulta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E1852" t="str">
            <v>Strojnícka fakulta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E1853" t="str">
            <v>Strojnícka fakulta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E1854" t="str">
            <v>Strojnícka fakulta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E1855" t="str">
            <v>Strojnícka fakulta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E1856" t="str">
            <v>Strojnícka fakulta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E1857" t="str">
            <v>Strojnícka fakulta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E1858" t="str">
            <v>Strojnícka fakulta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E1859" t="str">
            <v>Strojnícka fakulta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E1860" t="str">
            <v>Fakulta elektrotechniky a informatiky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E1861" t="str">
            <v>Fakulta elektrotechniky a informatiky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E1862" t="str">
            <v>Fakulta elektrotechniky a informatiky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E1863" t="str">
            <v>Fakulta elektrotechniky a informatiky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E1864" t="str">
            <v>Fakulta elektrotechniky a informatiky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E1865" t="str">
            <v>Fakulta elektrotechniky a informatiky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E1866" t="str">
            <v>Fakulta elektrotechniky a informatiky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E1867" t="str">
            <v>Fakulta elektrotechniky a informatiky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E1868" t="str">
            <v>Letecká fakulta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E1869" t="str">
            <v>Letecká fakulta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E1870" t="str">
            <v>Letecká fakulta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E1871" t="str">
            <v>Letecká fakulta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E1872" t="str">
            <v>Letecká fakulta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E1873" t="str">
            <v>Letecká fakulta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E1874" t="str">
            <v>Letecká fakulta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E1875" t="str">
            <v>Ekonomická fakulta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E1876" t="str">
            <v>Ekonomická fakulta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E1877" t="str">
            <v>Ekonomická fakulta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E1878" t="str">
            <v>Ekonomická fakulta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E1879" t="str">
            <v>Ekonomická fakulta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E1880" t="str">
            <v>Fakulta výrobných technológií so sídlom v Prešove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E1881" t="str">
            <v>Fakulta výrobných technológií so sídlom v Prešove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E1882" t="str">
            <v>Fakulta výrobných technológií so sídlom v Prešove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E1883" t="str">
            <v>Fakulta výrobných technológií so sídlom v Prešove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E1884" t="str">
            <v>Fakulta výrobných technológií so sídlom v Prešove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E1885" t="str">
            <v>Fakulta výrobných technológií so sídlom v Prešove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E1886" t="str">
            <v>Fakulta výrobných technológií so sídlom v Prešove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E1887" t="str">
            <v>Fakulta výrobných technológií so sídlom v Prešove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E1888" t="str">
            <v>Fakulta umení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E1889">
            <v>0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E1890">
            <v>0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E1891">
            <v>0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E1892">
            <v>0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E1893">
            <v>0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E1894">
            <v>0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E1895">
            <v>0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E1896">
            <v>0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E1897">
            <v>0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E1898">
            <v>0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E1899">
            <v>0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E1900">
            <v>0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E1901" t="str">
            <v>Fakulta zdravotníctva a sociálnej práce sv. Ladislava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E1902">
            <v>0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E1903">
            <v>0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E1904">
            <v>0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E1905">
            <v>0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E1906">
            <v>0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E1907">
            <v>0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E1908">
            <v>0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E1909">
            <v>0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E1910">
            <v>0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E1911">
            <v>0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E1912" t="str">
            <v>Stavebná fakulta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E1913" t="str">
            <v>Stavebná fakulta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E1914" t="str">
            <v>Stavebná fakulta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E1915" t="str">
            <v>Teologická fakulta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E1916" t="str">
            <v>Teologická fakulta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E1917" t="str">
            <v>Teologická fakulta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E1918" t="str">
            <v>Teologická fakulta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E1919" t="str">
            <v>Teologická fakulta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E1920" t="str">
            <v>Fakulta zdravotníctva so sídlom v Banskej Bystrici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E1921" t="str">
            <v>Fakulta zdravotníctva so sídlom v Banskej Bystrici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E1922" t="str">
            <v>Filozofická fakulta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E1923" t="str">
            <v>Filozofická fakulta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E1924" t="str">
            <v>Filozofická fakulta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E1925" t="str">
            <v>Filozofická fakulta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E1926" t="str">
            <v>Filozofická fakulta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E1927" t="str">
            <v>Filozofická fakulta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E1928" t="str">
            <v>Filozofická fakulta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E1929" t="str">
            <v>Filozofická fakulta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E1930" t="str">
            <v>Filozofická fakulta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E1931" t="str">
            <v>Filozofická fakulta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E1932" t="str">
            <v>Filozofická fakulta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E1933" t="str">
            <v>Filozofická fakulta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E1934" t="str">
            <v>Filozofická fakulta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E1935" t="str">
            <v>Filozofická fakulta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E1936" t="str">
            <v>Fakulta zdravotníctva a sociálnej práce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E1937" t="str">
            <v>Fakulta zdravotníctva a sociálnej práce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E1938" t="str">
            <v>Fakulta zdravotníctva a sociálnej práce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E1939" t="str">
            <v>Fakulta zdravotníctva a sociálnej práce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E1940" t="str">
            <v>Fakulta zdravotníctva a sociálnej práce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E1941" t="str">
            <v>Fakulta zdravotníctva a sociálnej práce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E1942" t="str">
            <v>Fakulta zdravotníctva a sociálnej práce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E1943" t="str">
            <v>Právnická fakulta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E1944" t="str">
            <v>Právnická fakulta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E1945" t="str">
            <v>Právnická fakulta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E1946" t="str">
            <v>Fakulta verejného zdravotníctva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E1947" t="str">
            <v>Fakulta verejného zdravotníctva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E1948" t="str">
            <v>Fakulta ošetrovateľstva a zdravotníckych odborných štúdií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E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E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E1951">
            <v>0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E1952">
            <v>0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E1953" t="str">
            <v>Pedagogická fakulta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E1954" t="str">
            <v>Pedagogická fakulta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E1955" t="str">
            <v>Pedagogická fakulta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E1956" t="str">
            <v>Pedagogická fakulta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E1957" t="str">
            <v>Pedagogická fakulta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E1958" t="str">
            <v>Pedagogická fakulta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E1959" t="str">
            <v>Pedagogická fakulta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E1960" t="str">
            <v>Pedagogická fakulta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E1961" t="str">
            <v>Pedagogická fakulta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E1962" t="str">
            <v>Pedagogická fakulta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E1963" t="str">
            <v>Pedagogická fakulta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E1964" t="str">
            <v>Pedagogická fakulta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E1965" t="str">
            <v>Fakulta materiálov, metalurgie a recyklácie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E1966" t="str">
            <v>Fakulta ekológie a environmentalistiky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E1967" t="str">
            <v>Drevárska fakulta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E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E1969" t="str">
            <v>Lesnícka fakulta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E1970" t="str">
            <v>Lesnícka fakulta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E1971" t="str">
            <v>Drevárska fakulta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E1972" t="str">
            <v>Fakulta ekológie a environmentalistiky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E1973" t="str">
            <v>Drevárska fakulta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E1974" t="str">
            <v>Lesnícka fakulta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E1975" t="str">
            <v>Fakulta ekológie a environmentalistiky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E1976" t="str">
            <v>Lesnícka fakulta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E1977" t="str">
            <v>Drevárska fakulta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E1978" t="str">
            <v>Drevárska fakulta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E1979" t="str">
            <v>Drevárska fakulta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E1980" t="str">
            <v>Lesnícka fakulta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E1981" t="str">
            <v>Drevárska fakulta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E1982" t="str">
            <v>Drevárska fakulta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E1983" t="str">
            <v>Drevárska fakulta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E1984" t="str">
            <v>Lesnícka fakulta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E1985" t="str">
            <v>Lesnícka fakulta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E1986" t="str">
            <v>Lesnícka fakulta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E1987" t="str">
            <v>Fakulta techniky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E1988" t="str">
            <v>Fakulta techniky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E1989" t="str">
            <v>Drevárska fakulta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E1990" t="str">
            <v>Fakulta ekológie a environmentalistiky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E1991" t="str">
            <v>Drevárska fakulta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E1992" t="str">
            <v>Drevárska fakulta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E1993" t="str">
            <v>Fakulta ekológie a environmentalistiky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E1994" t="str">
            <v>Fakulta techniky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E1995" t="str">
            <v>Drevárska fakulta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E1996" t="str">
            <v>Fakulta techniky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E1997" t="str">
            <v>Fakulta ekológie a environmentalistiky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E1998" t="str">
            <v>Drevárska fakulta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E1999" t="str">
            <v>Fakulta ekológie a environmentalistiky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E2000" t="str">
            <v>Fakulta ekológie a environmentalistiky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E2001" t="str">
            <v>Prírodovedecká fakulta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E2002" t="str">
            <v>Prírodovedecká fakulta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E2003" t="str">
            <v>Prírodovedecká fakulta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E2004" t="str">
            <v>Prírodovedecká fakulta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E2005" t="str">
            <v>Prírodovedecká fakulta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E2006" t="str">
            <v>Prírodovedecká fakulta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E2007" t="str">
            <v>Prírodovedecká fakulta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E2008" t="str">
            <v>Prírodovedecká fakulta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E2009" t="str">
            <v>Prírodovedecká fakulta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E2010" t="str">
            <v>Prírodovedecká fakulta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E2011" t="str">
            <v>Prírodovedecká fakulta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E2012" t="str">
            <v>Prírodovedecká fakulta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E2013" t="str">
            <v>Prírodovedecká fakulta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E2014" t="str">
            <v>Fakulta verejnej správy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E2015" t="str">
            <v>Fakulta verejnej správy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E2016" t="str">
            <v>Filozofická fakulta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E2017" t="str">
            <v>Filozofická fakulta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E2018" t="str">
            <v>Filozofická fakulta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E2019" t="str">
            <v>Filozofická fakulta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E2020" t="str">
            <v>Filozofická fakulta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E2021" t="str">
            <v>Filozofická fakulta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E2022" t="str">
            <v>Filozofická fakulta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E2023" t="str">
            <v>Filozofická fakulta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E2024" t="str">
            <v>Filozofická fakulta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E2025" t="str">
            <v>Filozofická fakulta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E2026" t="str">
            <v>Filozofická fakulta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E2027" t="str">
            <v>Filozofická fakulta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E2028" t="str">
            <v>Filozofická fakulta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E2029" t="str">
            <v>Filozofická fakulta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E2030" t="str">
            <v>Filozofická fakulta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E2031" t="str">
            <v>Filozofická fakulta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E2032" t="str">
            <v>Filozofická fakulta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E2033" t="str">
            <v>Filozofická fakulta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E2034" t="str">
            <v>Filozofická fakulta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E2035" t="str">
            <v>Filozofická fakulta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E2036" t="str">
            <v>Filozofická fakulta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E2037" t="str">
            <v>Filozofická fakulta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E2038" t="str">
            <v>Filozofická fakulta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E2039" t="str">
            <v>Právnická fakulta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E2040" t="str">
            <v>Právnická fakulta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E2041" t="str">
            <v>Lekárska fakulta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E2042" t="str">
            <v>Fakulta politických vied a medzinárodných vzťahov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E2043" t="str">
            <v>Fakulta dramatických umení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E2044" t="str">
            <v>Fakulta dramatických umení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E2045" t="str">
            <v>Fakulta dramatických umení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E2046" t="str">
            <v>Fakulta dramatických umení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E2047" t="str">
            <v>Fakulta výtvarných umení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E2048" t="str">
            <v>Lekárska fakulta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E2049" t="str">
            <v>Lekárska fakulta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E2050" t="str">
            <v>Lekárska fakulta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E2051">
            <v>0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E2052" t="str">
            <v>Fakulta múzických umení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E2053" t="str">
            <v>Fakulta múzických umení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E2054" t="str">
            <v>Fakulta múzických umení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E2055" t="str">
            <v>Fakulta múzických umení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E2056" t="str">
            <v>Fakulta prírodných vied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E2057" t="str">
            <v>Fakulta prírodných vied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E2058" t="str">
            <v>Fakulta prírodných vied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E2059" t="str">
            <v>Fakulta prírodných vied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E2060" t="str">
            <v>Fakulta prírodných vied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E2061" t="str">
            <v>Filozofická fakulta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E2062" t="str">
            <v>Fakulta prírodných vied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E2063" t="str">
            <v>Fakulta prírodných vied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E2064" t="str">
            <v>Fakulta prírodných vied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E2065" t="str">
            <v>Fakulta prírodných vied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E2066" t="str">
            <v>Filozofická fakulta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E2067" t="str">
            <v>Fakulta prírodných vied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E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E2069">
            <v>0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E2070" t="str">
            <v>Fakulta sociálnych vied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E2071" t="str">
            <v>Fakulta masmediálnej komunikácie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E2072" t="str">
            <v>Fakulta sociálnych vied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E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E2074" t="str">
            <v>Fakulta masmediálnej komunikácie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E2075" t="str">
            <v>Fakulta sociálnych vied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E2076" t="str">
            <v>Fakulta sociálnych vied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E2077" t="str">
            <v>Fakulta masmediálnej komunikácie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E2078" t="str">
            <v>Fakulta masmediálnej komunikácie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E2079" t="str">
            <v>Fakulta masmediálnej komunikácie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E2080" t="str">
            <v>Filozofická fakulta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E2081" t="str">
            <v>Fakulta masmediálnej komunikácie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E2082" t="str">
            <v>Filozofická fakulta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E2083" t="str">
            <v>Filozofická fakulta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E2084" t="str">
            <v>Filozofická fakulta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E2085" t="str">
            <v>Fakulta prírodných vied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E2086" t="str">
            <v>Filozofická fakulta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E2087" t="str">
            <v>Filozofická fakulta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E2088" t="str">
            <v>Filozofická fakulta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E2089" t="str">
            <v>Fakulta prírodných vied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E2090" t="str">
            <v>Fakulta masmediálnej komunikácie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E2091" t="str">
            <v>Filozofická fakulta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E2092" t="str">
            <v>Pedagogická fakulta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E2093" t="str">
            <v>Pedagogická fakulta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E2094" t="str">
            <v>Pedagogická fakulta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E2095" t="str">
            <v>Pedagogická fakulta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E2096" t="str">
            <v>Pedagogická fakulta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E2097" t="str">
            <v>Pedagogická fakulta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E2098" t="str">
            <v>Pedagogická fakulta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E2099" t="str">
            <v>Pedagogická fakulta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E2100" t="str">
            <v>Filozofická fakulta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E2101" t="str">
            <v>Pedagogická fakulta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E2102" t="str">
            <v>Pedagogická fakulta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E2103" t="str">
            <v>Pedagogická fakulta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E2104" t="str">
            <v>Pedagogická fakulta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E2105" t="str">
            <v>Pedagogická fakulta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E2106" t="str">
            <v>Pedagogická fakulta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E2107" t="str">
            <v>Pedagogická fakulta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E2108" t="str">
            <v>Pedagogická fakulta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E2109" t="str">
            <v>Pedagogická fakulta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E2110" t="str">
            <v>Pedagogická fakulta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E2111" t="str">
            <v>Pedagogická fakulta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E2112" t="str">
            <v>Pedagogická fakulta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E2113" t="str">
            <v>Pedagogická fakulta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E2114" t="str">
            <v>Pedagogická fakulta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E2115" t="str">
            <v>Pedagogická fakulta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E2116" t="str">
            <v>Pedagogická fakulta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E2117" t="str">
            <v>Pedagogická fakulta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E2118" t="str">
            <v>Pedagogická fakulta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E2119" t="str">
            <v>Ekonomická fakulta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E2120" t="str">
            <v>Ekonomická fakulta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E2121" t="str">
            <v>Ekonomická fakulta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E2122" t="str">
            <v>Ekonomická fakulta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E2123" t="str">
            <v>Ekonomická fakulta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E2124" t="str">
            <v>Ekonomická fakulta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E2125" t="str">
            <v>Ekonomická fakulta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E2126" t="str">
            <v>Ekonomická fakulta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E2127" t="str">
            <v>Ekonomická fakulta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E2128" t="str">
            <v>Ekonomická fakulta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E2129" t="str">
            <v>Ekonomická fakulta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E2130" t="str">
            <v>Ekonomická fakulta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E2131" t="str">
            <v>Ekonomická fakulta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E2132">
            <v>0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E2133">
            <v>0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E2134">
            <v>0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E2135">
            <v>0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E2136">
            <v>0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E2137">
            <v>0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E2138">
            <v>0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E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E2140">
            <v>0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E2141">
            <v>0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E2142" t="str">
            <v>Teologická fakulta v Košiciach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E2143" t="str">
            <v>Teologická fakulta v Košiciach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E2144" t="str">
            <v>Teologická fakulta v Košiciach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E2145" t="str">
            <v>Teologická fakulta v Košiciach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E2146" t="str">
            <v>Teologická fakulta v Košiciach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E2147" t="str">
            <v>Teologická fakulta v Košiciach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E2148" t="str">
            <v>Filozofická fakulta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E2149" t="str">
            <v>Filozofická fakulta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E2150" t="str">
            <v>Filozofická fakulta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E2151" t="str">
            <v>Filozofická fakulta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E2152" t="str">
            <v>Filozofická fakulta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E2153" t="str">
            <v>Filozofická fakulta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E2154" t="str">
            <v>Filozofická fakulta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E2155" t="str">
            <v>Filozofická fakulta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E2156" t="str">
            <v>Filozofická fakulta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E2157" t="str">
            <v>Filozofická fakulta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E2158" t="str">
            <v>Filozofická fakulta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E2159" t="str">
            <v>Filozofická fakulta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E2160" t="str">
            <v>Filozofická fakulta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E2161" t="str">
            <v>Filozofická fakulta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E2162" t="str">
            <v>Pedagogická fakulta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E2163" t="str">
            <v>Filozofická fakulta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E2164" t="str">
            <v>Filozofická fakulta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E2165" t="str">
            <v>Filozofická fakulta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E2166" t="str">
            <v>Filozofická fakulta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E2167" t="str">
            <v>Filozofická fakulta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E2168" t="str">
            <v>Filozofická fakulta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E2169" t="str">
            <v>Filozofická fakulta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E2170" t="str">
            <v>Filozofická fakulta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E2171" t="str">
            <v>Filozofická fakulta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E2172" t="str">
            <v>Filozofická fakulta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E2173" t="str">
            <v>Filozofická fakulta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E2174" t="str">
            <v>Filozofická fakulta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E2175" t="str">
            <v>Filozofická fakulta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E2176" t="str">
            <v>Filozofická fakulta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E2177" t="str">
            <v>Filozofická fakulta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E2178" t="str">
            <v>Filozofická fakulta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E2179" t="str">
            <v>Fakulta prírodných vied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E2180" t="str">
            <v>Filozofická fakulta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E2181" t="str">
            <v>Filozofická fakulta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E2182" t="str">
            <v>Právnická fakulta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E2183" t="str">
            <v>Fakulta sociálno-ekonomických vzťahov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E2184" t="str">
            <v>Fakulta sociálno-ekonomických vzťahov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E2185" t="str">
            <v>Fakulta sociálno-ekonomických vzťahov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E2186" t="str">
            <v>Fakulta zdravotníctva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E2187" t="str">
            <v>Fakulta zdravotníctva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E2188" t="str">
            <v>Fakulta zdravotníctva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E2189">
            <v>0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E2190">
            <v>0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E2191" t="str">
            <v>Fakulta sociálno-ekonomických vzťahov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E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E2193" t="str">
            <v>Fakulta zdravotníctva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E2194" t="str">
            <v>Fakulta špeciálnej techniky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E2195" t="str">
            <v>Fakulta priemyselných technológií v Púchove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E2196" t="str">
            <v>Fakulta sociálno-ekonomických vzťahov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E2197" t="str">
            <v>Fakulta priemyselných technológií v Púchove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E2198" t="str">
            <v>Fakulta zdravotníctva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E2199" t="str">
            <v>Fakulta priemyselných technológií v Púchove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E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E2201" t="str">
            <v>Fakulta priemyselných technológií v Púchove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E2202" t="str">
            <v>Pedagogická fakulta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E2203" t="str">
            <v>Pedagogická fakulta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E2204" t="str">
            <v>Pedagogická fakulta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E2205" t="str">
            <v>Pedagogická fakulta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E2206" t="str">
            <v>Pedagogická fakulta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E2207" t="str">
            <v>Pedagogická fakulta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E2208" t="str">
            <v>Pedagogická fakulta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E2209" t="str">
            <v>Pedagogická fakulta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E2210" t="str">
            <v>Pedagogická fakulta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E2211" t="str">
            <v>Pedagogická fakulta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E2212" t="str">
            <v>Pedagogická fakulta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E2213" t="str">
            <v>Pedagogická fakulta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E2214" t="str">
            <v>Pedagogická fakulta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E2215" t="str">
            <v>Pedagogická fakulta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E2216" t="str">
            <v>Pedagogická fakulta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E2217" t="str">
            <v>Filozofická fakulta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E2218" t="str">
            <v>Pedagogická fakulta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E2219" t="str">
            <v>Fakulta sociálnych štúdií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E2220" t="str">
            <v>Fakulta verejnej politiky a verejnej správy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E2221" t="str">
            <v>Fakulta sociálnych štúdií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E2222" t="str">
            <v>Fakulta verejnej politiky a verejnej správy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E2223" t="str">
            <v>Filmová a televízna fakulta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E2224" t="str">
            <v>Divadelná fakulta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E2225" t="str">
            <v>Hudobná a tanečná fakulta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E2226" t="str">
            <v>Hudobná a tanečná fakulta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E2227" t="str">
            <v>Hudobná a tanečná fakulta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E2228" t="str">
            <v>Divadelná fakulta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E2229" t="str">
            <v>Filmová a televízna fakulta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E2230" t="str">
            <v>Divadelná fakulta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E2231" t="str">
            <v>Hudobná a tanečná fakulta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E2232" t="str">
            <v>Hudobná a tanečná fakulta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E2233" t="str">
            <v>Hudobná a tanečná fakulta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E2234" t="str">
            <v>Filmová a televízna fakulta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E2235" t="str">
            <v>Divadelná fakulta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E2236" t="str">
            <v>Divadelná fakulta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E2237" t="str">
            <v>Hudobná a tanečná fakulta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E2238" t="str">
            <v>Divadelná fakulta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E2239" t="str">
            <v>Hudobná a tanečná fakulta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E2240" t="str">
            <v>Hudobná a tanečná fakulta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E2241" t="str">
            <v>Divadelná fakulta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E2242" t="str">
            <v>Filmová a televízna fakulta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E2243" t="str">
            <v>Filmová a televízna fakulta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E2244" t="str">
            <v>Hudobná a tanečná fakulta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E2245" t="str">
            <v>Hudobná a tanečná fakulta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E2246" t="str">
            <v>Hudobná a tanečná fakulta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E2247" t="str">
            <v>Hudobná a tanečná fakulta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E2248" t="str">
            <v>Divadelná fakulta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E2249" t="str">
            <v>Divadelná fakulta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E2250" t="str">
            <v>Divadelná fakulta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E2251" t="str">
            <v>Hudobná a tanečná fakulta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E2252" t="str">
            <v>Filozofická fakulta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E2253" t="str">
            <v>Filozofická fakulta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E2254" t="str">
            <v>Filozofická fakulta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E2255" t="str">
            <v>Filozofická fakulta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E2256" t="str">
            <v>Filozofická fakulta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E2257" t="str">
            <v>Filozofická fakulta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E2258" t="str">
            <v>Pedagogická fakulta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E2259" t="str">
            <v>Technická fakulta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E2260" t="str">
            <v>Fakulta agrobiológie a potravinových zdrojov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E2261" t="str">
            <v>Fakulta biotechnológie a potravinárstva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E2262" t="str">
            <v>Fakulta európskych štúdií a regionálneho rozvoja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E2263" t="str">
            <v>Fakulta agrobiológie a potravinových zdrojov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E2264" t="str">
            <v>Fakulta agrobiológie a potravinových zdrojov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E2265" t="str">
            <v>Fakulta európskych štúdií a regionálneho rozvoja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E2266" t="str">
            <v>Fakulta agrobiológie a potravinových zdrojov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E2267" t="str">
            <v>Fakulta agrobiológie a potravinových zdrojov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E2268" t="str">
            <v>Fakulta ekonomiky a manažmentu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E2269" t="str">
            <v>Fakulta záhradníctva a krajinného inžinierstva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E2270" t="str">
            <v>Fakulta záhradníctva a krajinného inžinierstva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E2271" t="str">
            <v>Fakulta agrobiológie a potravinových zdrojov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E2272" t="str">
            <v>Fakulta európskych štúdií a regionálneho rozvoja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E2273" t="str">
            <v>Fakulta ekonomiky a manažmentu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E2274" t="str">
            <v>Fakulta ekonomiky a manažmentu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E2275" t="str">
            <v>Fakulta agrobiológie a potravinových zdrojov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E2276" t="str">
            <v>Fakulta ekonomiky a manažmentu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E2277" t="str">
            <v>Technická fakulta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E2278" t="str">
            <v>Fakulta agrobiológie a potravinových zdrojov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E2279" t="str">
            <v>Technická fakulta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E2280" t="str">
            <v>Fakulta agrobiológie a potravinových zdrojov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E2281" t="str">
            <v>Fakulta agrobiológie a potravinových zdrojov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E2282" t="str">
            <v>Fakulta agrobiológie a potravinových zdrojov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E2283" t="str">
            <v>Fakulta európskych štúdií a regionálneho rozvoja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E2284" t="str">
            <v>Technická fakulta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E2285" t="str">
            <v>Technická fakulta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E2286" t="str">
            <v>Fakulta biotechnológie a potravinárstva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E2287" t="str">
            <v>Fakulta záhradníctva a krajinného inžinierstva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E2288" t="str">
            <v>Fakulta agrobiológie a potravinových zdrojov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E2289" t="str">
            <v>Fakulta ekonomiky a manažmentu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E2290" t="str">
            <v>Fakulta záhradníctva a krajinného inžinierstva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E2291" t="str">
            <v>Fakulta záhradníctva a krajinného inžinierstva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E2292" t="str">
            <v>Fakulta európskych štúdií a regionálneho rozvoja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E2293" t="str">
            <v>Fakulta ekonomiky a manažmentu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E2294" t="str">
            <v>Fakulta európskych štúdií a regionálneho rozvoja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E2295" t="str">
            <v>Fakulta európskych štúdií a regionálneho rozvoja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E2296" t="str">
            <v>Fakulta európskych štúdií a regionálneho rozvoja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E2297" t="str">
            <v>Fakulta agrobiológie a potravinových zdrojov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E2298" t="str">
            <v>Technická fakulta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E2299" t="str">
            <v>Fakulta záhradníctva a krajinného inžinierstva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E2300" t="str">
            <v>Fakulta agrobiológie a potravinových zdrojov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E2301" t="str">
            <v>Fakulta ekonomiky a manažmentu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E2302" t="str">
            <v>Fakulta ekonomiky a manažmentu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E2303" t="str">
            <v>Fakulta ekonomiky a manažmentu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E2304" t="str">
            <v>Technická fakulta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E2305" t="str">
            <v>Fakulta agrobiológie a potravinových zdrojov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E2306" t="str">
            <v>Fakulta ekonomiky a manažmentu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E2307" t="str">
            <v>Fakulta agrobiológie a potravinových zdrojov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E2308" t="str">
            <v>Fakulta ekonomiky a manažmentu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E2309" t="str">
            <v>Fakulta agrobiológie a potravinových zdrojov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E2310" t="str">
            <v>Technická fakulta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E2311" t="str">
            <v>Fakulta európskych štúdií a regionálneho rozvoja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E2312" t="str">
            <v>Fakulta biotechnológie a potravinárstva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E2313" t="str">
            <v>Fakulta ekonomiky a manažmentu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E2314" t="str">
            <v>Fakulta ekonomiky a manažmentu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E2315" t="str">
            <v>Fakulta agrobiológie a potravinových zdrojov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E2316" t="str">
            <v>Fakulta ekonomiky a manažmentu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E2317" t="str">
            <v>Fakulta európskych štúdií a regionálneho rozvoja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E2318" t="str">
            <v>Fakulta záhradníctva a krajinného inžinierstva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E2319" t="str">
            <v>Fakulta európskych štúdií a regionálneho rozvoja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E2320" t="str">
            <v>Fakulta agrobiológie a potravinových zdrojov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E2321" t="str">
            <v>Fakulta ekonomiky a manažmentu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E2322" t="str">
            <v>Fakulta agrobiológie a potravinových zdrojov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E2323" t="str">
            <v>Fakulta biotechnológie a potravinárstva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E2324" t="str">
            <v>Fakulta biotechnológie a potravinárstva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E2325" t="str">
            <v>Fakulta biotechnológie a potravinárstva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E2326" t="str">
            <v>Fakulta hospodárskej informatiky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E2327" t="str">
            <v>Národohospodárska fakulta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E2328" t="str">
            <v>Národohospodárska fakulta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E2329" t="str">
            <v>Fakulta podnikového manažmentu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E2330" t="str">
            <v>Národohospodárska fakulta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E2331" t="str">
            <v>Fakulta podnikového manažmentu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E2332" t="str">
            <v>Fakulta hospodárskej informatiky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E2333" t="str">
            <v>Národohospodárska fakulta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E2334" t="str">
            <v>Fakulta hospodárskej informatiky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E2335" t="str">
            <v>Fakulta podnikového manažmentu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E2336" t="str">
            <v>Obchodná fakulta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E2337" t="str">
            <v>Fakulta hospodárskej informatiky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E2338" t="str">
            <v>Podnikovohospodárska fakulta v Košiciach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E2339" t="str">
            <v>Fakulta hospodárskej informatiky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E2340" t="str">
            <v>Fakulta aplikovaných jazykov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E2341" t="str">
            <v>Národohospodárska fakulta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E2342" t="str">
            <v>Fakulta hospodárskej informatiky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E2343" t="str">
            <v>Podnikovohospodárska fakulta v Košiciach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E2344" t="str">
            <v>Fakulta podnikového manažmentu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E2345" t="str">
            <v>Obchodná fakulta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E2346" t="str">
            <v>Národohospodárska fakulta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E2347" t="str">
            <v>Fakulta hospodárskej informatiky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E2348" t="str">
            <v>Národohospodárska fakulta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E2349" t="str">
            <v>Národohospodárska fakulta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E2350" t="str">
            <v>Fakulta hospodárskej informatiky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E2351" t="str">
            <v>Obchodná fakulta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E2352" t="str">
            <v>Fakulta podnikového manažmentu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E2353" t="str">
            <v>Fakulta podnikového manažmentu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E2354" t="str">
            <v>Fakulta podnikového manažmentu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E2355" t="str">
            <v>Fakulta aplikovaných jazykov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E2356" t="str">
            <v>Národohospodárska fakulta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E2357" t="str">
            <v>Národohospodárska fakulta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E2358" t="str">
            <v>Obchodná fakulta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E2359" t="str">
            <v>Obchodná fakulta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E2360" t="str">
            <v>Fakulta stredoeurópskych štúdií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E2361" t="str">
            <v>Fakulta stredoeurópskych štúdií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E2362" t="str">
            <v>Fakulta stredoeurópskych štúdií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E2363" t="str">
            <v>Fakulta stredoeurópskych štúdií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E2364" t="str">
            <v>Fakulta stredoeurópskych štúdií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E2365" t="str">
            <v>Fakulta sociálnych vied a zdravotníctva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E2366" t="str">
            <v>Fakulta sociálnych vied a zdravotníctva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E2367" t="str">
            <v>Fakulta sociálnych vied a zdravotníctva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E2368" t="str">
            <v>Fakulta sociálnych vied a zdravotníctva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E2369" t="str">
            <v>Filozofická fakulta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E2370" t="str">
            <v>Fakulta matematiky, fyziky a informatiky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E2371" t="str">
            <v>Fakulta matematiky, fyziky a informatiky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E2372" t="str">
            <v>Fakulta matematiky, fyziky a informatiky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E2373" t="str">
            <v>Fakulta matematiky, fyziky a informatiky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E2374" t="str">
            <v>Fakulta matematiky, fyziky a informatiky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E2375" t="str">
            <v>Fakulta matematiky, fyziky a informatiky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E2376" t="str">
            <v>Fakulta matematiky, fyziky a informatiky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E2377" t="str">
            <v>Fakulta matematiky, fyziky a informatiky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E2378" t="str">
            <v>Fakulta matematiky, fyziky a informatiky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E2379" t="str">
            <v>Fakulta matematiky, fyziky a informatiky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E2380" t="str">
            <v>Fakulta matematiky, fyziky a informatiky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E2381" t="str">
            <v>Fakulta matematiky, fyziky a informatiky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E2382" t="str">
            <v>Fakulta matematiky, fyziky a informatiky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E2383" t="str">
            <v>Fakulta matematiky, fyziky a informatiky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E2384" t="str">
            <v>Fakulta matematiky, fyziky a informatiky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E2385" t="str">
            <v>Fakulta matematiky, fyziky a informatiky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E2386" t="str">
            <v>Fakulta prírodných vied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E2387" t="str">
            <v>Fakulta prírodných vied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E2388" t="str">
            <v>Fakulta prírodných vied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E2389" t="str">
            <v>Fakulta prírodných vied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E2390" t="str">
            <v>Fakulta prírodných vied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E2391" t="str">
            <v>Fakulta prírodných vied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E2392" t="str">
            <v>Fakulta prírodných vied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E2393" t="str">
            <v>Fakulta prírodných vied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E2394" t="str">
            <v>Fakulta prírodných vied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E2395" t="str">
            <v>Fakulta prírodných vied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E2396" t="str">
            <v>Fakulta prírodných vied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E2397" t="str">
            <v>Pedagogická fakulta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E2398" t="str">
            <v>Fakulta prírodných vied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E2399" t="str">
            <v>Fakulta prírodných vied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E2400" t="str">
            <v>Fakulta prírodných vied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E2401" t="str">
            <v>Fakulta prírodných vied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E2402" t="str">
            <v>Fakulta prírodných vied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E2403" t="str">
            <v>Fakulta prírodných vied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E2404" t="str">
            <v>Strojnícka fakulta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E2405" t="str">
            <v>Fakulta elektrotechniky a informatiky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E2406" t="str">
            <v>Fakulta chemickej a potravinárskej technológie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E2407" t="str">
            <v>Materiálovotechnologická fakulta so sídlom v Trnave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E2408" t="str">
            <v>Fakulta architektúry a dizajnu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E2409" t="str">
            <v>Fakulta chemickej a potravinárskej technológie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E2410" t="str">
            <v>Materiálovotechnologická fakulta so sídlom v Trnave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E2411" t="str">
            <v>Strojnícka fakulta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E2412" t="str">
            <v>Fakulta architektúry a dizajnu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E2413" t="str">
            <v>Strojnícka fakulta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E2414" t="str">
            <v>Fakulta chemickej a potravinárskej technológie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E2415" t="str">
            <v>Fakulta chemickej a potravinárskej technológie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E2416" t="str">
            <v>Fakulta elektrotechniky a informatiky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E2417" t="str">
            <v>Stavebná fakulta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E2418" t="str">
            <v>Fakulta chemickej a potravinárskej technológie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E2419" t="str">
            <v>Fakulta chemickej a potravinárskej technológie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E2420" t="str">
            <v>Fakulta chemickej a potravinárskej technológie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E2421" t="str">
            <v>Fakulta architektúry a dizajnu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E2422" t="str">
            <v>Fakulta elektrotechniky a informatiky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E2423" t="str">
            <v>Stavebná fakulta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E2424" t="str">
            <v>Fakulta chemickej a potravinárskej technológie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E2425" t="str">
            <v>Fakulta informatiky a informačných technológií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E2426" t="str">
            <v>Fakulta informatiky a informačných technológií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E2427" t="str">
            <v>Fakulta chemickej a potravinárskej technológie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E2428" t="str">
            <v>Strojnícka fakulta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E2429" t="str">
            <v>Stavebná fakulta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E2430" t="str">
            <v>Materiálovotechnologická fakulta so sídlom v Trnave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E2431" t="str">
            <v>Stavebná fakulta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E2432" t="str">
            <v>Fakulta chemickej a potravinárskej technológie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E2433" t="str">
            <v>Stavebná fakulta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E2434" t="str">
            <v>Strojnícka fakulta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E2435" t="str">
            <v>Fakulta informatiky a informačných technológií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E2436" t="str">
            <v>Stavebná fakulta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E2437" t="str">
            <v>Strojnícka fakulta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E2438" t="str">
            <v>Fakulta architektúry a dizajnu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E2439" t="str">
            <v>Materiálovotechnologická fakulta so sídlom v Trnave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E2440" t="str">
            <v>Materiálovotechnologická fakulta so sídlom v Trnave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E2441" t="str">
            <v>Fakulta elektrotechniky a informatiky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E2442" t="str">
            <v>Fakulta elektrotechniky a informatiky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E2444" t="str">
            <v>Strojnícka fakulta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E2445" t="str">
            <v>Fakulta chemickej a potravinárskej technológie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E2446" t="str">
            <v>Strojnícka fakulta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E2447" t="str">
            <v>Fakulta chemickej a potravinárskej technológie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E2450" t="str">
            <v>Strojnícka fakulta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E2451" t="str">
            <v>Fakulta chemickej a potravinárskej technológie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E2453" t="str">
            <v>Strojnícka fakulta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E2454" t="str">
            <v>Strojnícka fakulta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E2455" t="str">
            <v>Strojnícka fakulta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E2456" t="str">
            <v>Stavebná fakulta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E2457" t="str">
            <v>Stavebná fakulta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E2458">
            <v>0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E2459" t="str">
            <v>Pedagogická fakulta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E2460" t="str">
            <v>Pedagogická fakulta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E2461" t="str">
            <v>Pedagogická fakulta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E2462" t="str">
            <v>Pedagogická fakulta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E2463" t="str">
            <v>Pedagogická fakulta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E2464" t="str">
            <v>Pedagogická fakulta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E2465" t="str">
            <v>Pedagogická fakulta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E2466" t="str">
            <v>Pedagogická fakulta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E2467" t="str">
            <v>Pedagogická fakulta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E2468" t="str">
            <v>Pedagogická fakulta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E2469" t="str">
            <v>Pedagogická fakulta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E2470" t="str">
            <v>Pedagogická fakulta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E2471" t="str">
            <v>Pedagogická fakulta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E2472" t="str">
            <v>Pedagogická fakulta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E2473" t="str">
            <v>Pedagogická fakulta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E2474" t="str">
            <v>Pedagogická fakulta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E2475" t="str">
            <v>Pedagogická fakulta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E2476" t="str">
            <v>Pedagogická fakulta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E2477" t="str">
            <v>Pedagogická fakulta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E2478" t="str">
            <v>Pedagogická fakulta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E2479" t="str">
            <v>Pedagogická fakulta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E2480" t="str">
            <v>Fakulta zdravotníctva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E2481" t="str">
            <v>Fakulta zdravotníctva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E2482" t="str">
            <v>Fakulta zdravotníctva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E2483" t="str">
            <v>Rímskokatolícka cyrilometodská bohoslovecká fakulta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E2484" t="str">
            <v>Ekonomická fakulta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E2485" t="str">
            <v>Fakulta ekonómie a informatiky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E2486" t="str">
            <v>Pedagogická fakulta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E2487" t="str">
            <v>Pedagogická fakulta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E2488" t="str">
            <v>Pedagogická fakulta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E2489" t="str">
            <v>Fakulta ekonómie a informatiky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E2490" t="str">
            <v>Pedagogická fakulta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E2491" t="str">
            <v>Pedagogická fakulta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E2492" t="str">
            <v>Pedagogická fakulta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E2493" t="str">
            <v>Pedagogická fakulta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E2494" t="str">
            <v>Pedagogická fakulta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E2495" t="str">
            <v>Pedagogická fakulta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E2496" t="str">
            <v>Reformovaná teologická fakulta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E2497" t="str">
            <v>Reformovaná teologická fakulta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E2498" t="str">
            <v>Fakulta ekológie a environmentalistiky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E2499" t="str">
            <v>Filozofická fakulta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E2500" t="str">
            <v>Filozofická fakulta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E2501" t="str">
            <v>Filozofická fakulta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E2502" t="str">
            <v>Filozofická fakulta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E2503" t="str">
            <v>Filozofická fakulta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E2504" t="str">
            <v>Filozofická fakulta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E2505" t="str">
            <v>Filozofická fakulta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E2506" t="str">
            <v>Filozofická fakulta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E2507" t="str">
            <v>Filozofická fakulta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E2508" t="str">
            <v>Filozofická fakulta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E2509" t="str">
            <v>Filozofická fakulta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E2510" t="str">
            <v>Filozofická fakulta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E2511" t="str">
            <v>Filozofická fakulta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E2512" t="str">
            <v>Filozofická fakulta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E2513" t="str">
            <v>Filozofická fakulta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E2514" t="str">
            <v>Filozofická fakulta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E2515" t="str">
            <v>Filozofická fakulta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E2516" t="str">
            <v>Filozofická fakulta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E2517" t="str">
            <v>Filozofická fakulta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E2518" t="str">
            <v>Filozofická fakulta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E2519" t="str">
            <v>Filozofická fakulta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E2520" t="str">
            <v>Filozofická fakulta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E2521" t="str">
            <v>Filozofická fakulta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E2522" t="str">
            <v>Filozofická fakulta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E2523" t="str">
            <v>Filozofická fakulta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E2524" t="str">
            <v>Filozofická fakulta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E2525" t="str">
            <v>Filozofická fakulta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E2526" t="str">
            <v>Filozofická fakulta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E2527" t="str">
            <v>Pedagogická fakulta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E2528" t="str">
            <v>Pedagogická fakulta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E2529" t="str">
            <v>Pedagogická fakulta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E2530" t="str">
            <v>Pedagogická fakulta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E2531" t="str">
            <v>Pedagogická fakulta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E2532" t="str">
            <v>Pedagogická fakulta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E2533" t="str">
            <v>Pedagogická fakulta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E2534" t="str">
            <v>Pedagogická fakulta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E2535" t="str">
            <v>Pedagogická fakulta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E2536" t="str">
            <v>Pedagogická fakulta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E2537" t="str">
            <v>Prírodovedecká fakulta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E2538" t="str">
            <v>Pedagogická fakulta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E2539" t="str">
            <v>Pedagogická fakulta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E2540" t="str">
            <v>Pedagogická fakulta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E2541" t="str">
            <v>Pedagogická fakulta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E2542" t="str">
            <v>Pedagogická fakulta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E2543" t="str">
            <v>Pedagogická fakulta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E2544" t="str">
            <v>Pedagogická fakulta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E2545" t="str">
            <v>Pedagogická fakulta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E2546" t="str">
            <v>Pedagogická fakulta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E2547" t="str">
            <v>Pedagogická fakulta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E2548" t="str">
            <v>Pedagogická fakulta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E2549" t="str">
            <v>Pedagogická fakulta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E2550" t="str">
            <v>Lekárska fakulta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E2551" t="str">
            <v>Filozofická fakulta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E2552" t="str">
            <v>Fakulta telesnej výchovy a športu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E2553" t="str">
            <v>Fakulta telesnej výchovy a športu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E2554" t="str">
            <v>Fakulta telesnej výchovy a športu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E2555" t="str">
            <v>Fakulta telesnej výchovy a športu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E2556" t="str">
            <v>Filozofická fakulta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E2557" t="str">
            <v>Fakulta telesnej výchovy a športu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E2558" t="str">
            <v>Fakulta práva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E2559" t="str">
            <v>Fakulta práva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E2560" t="str">
            <v>Jesseniova lekárska fakulta v Martine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E2561" t="str">
            <v>Jesseniova lekárska fakulta v Martine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E2562" t="str">
            <v>Jesseniova lekárska fakulta v Martine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E2563" t="str">
            <v>Jesseniova lekárska fakulta v Martine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E2564" t="str">
            <v>Jesseniova lekárska fakulta v Martine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E2565" t="str">
            <v>Jesseniova lekárska fakulta v Martine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E2566" t="str">
            <v>Jesseniova lekárska fakulta v Martine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E2567" t="str">
            <v>Jesseniova lekárska fakulta v Martine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E2568" t="str">
            <v>Právnická fakulta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E2569" t="str">
            <v>Právnická fakulta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E2570" t="str">
            <v>Právnická fakulta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E2571" t="str">
            <v>Právnická fakulta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E2572" t="str">
            <v>Právnická fakulta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E2573" t="str">
            <v>Právnická fakulta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E2574" t="str">
            <v>Prírodovedecká fakulta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E2575" t="str">
            <v>Prírodovedecká fakulta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E2576" t="str">
            <v>Prírodovedecká fakulta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E2577" t="str">
            <v>Prírodovedecká fakulta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E2578" t="str">
            <v>Prírodovedecká fakulta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E2579" t="str">
            <v>Prírodovedecká fakulta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E2580" t="str">
            <v>Prírodovedecká fakulta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E2581" t="str">
            <v>Prírodovedecká fakulta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E2582" t="str">
            <v>Prírodovedecká fakulta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E2583" t="str">
            <v>Prírodovedecká fakulta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E2584" t="str">
            <v>Prírodovedecká fakulta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E2585" t="str">
            <v>Prírodovedecká fakulta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E2586" t="str">
            <v>Prírodovedecká fakulta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E2587" t="str">
            <v>Prírodovedecká fakulta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E2588" t="str">
            <v>Prírodovedecká fakulta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E2589" t="str">
            <v>Prírodovedecká fakulta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E2590" t="str">
            <v>Prírodovedecká fakulta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E2591" t="str">
            <v>Prírodovedecká fakulta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E2592" t="str">
            <v>Prírodovedecká fakulta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E2593" t="str">
            <v>Prírodovedecká fakulta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E2594" t="str">
            <v>Prírodovedecká fakulta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E2595" t="str">
            <v>Prírodovedecká fakulta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E2596" t="str">
            <v>Prírodovedecká fakulta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E2597" t="str">
            <v>Prírodovedecká fakulta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E2598" t="str">
            <v>Prírodovedecká fakulta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E2599" t="str">
            <v>Prírodovedecká fakulta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E2600" t="str">
            <v>Fakulta managementu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E2601" t="str">
            <v>Fakulta managementu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E2602" t="str">
            <v>Fakulta managementu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E2603" t="str">
            <v>Fakulta sociálnych a ekonomických vied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E2604" t="str">
            <v>Fakulta sociálnych a ekonomických vied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E2605" t="str">
            <v>Fakulta sociálnych a ekonomických vied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E2606" t="str">
            <v>Fakulta sociálnych a ekonomických vied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E2607" t="str">
            <v>Fakulta sociálnych a ekonomických vied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E2608" t="str">
            <v>Fakulta sociálnych a ekonomických vied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E2609">
            <v>0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E2610">
            <v>0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E2611">
            <v>0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E2612">
            <v>0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E2613" t="str">
            <v>Fakulta informatiky a informačných technológií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E2614" t="str">
            <v>Fakulta prevádzky a ekonomiky dopravy a spojov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E2615" t="str">
            <v>Fakulta bezpečnostného inžinierstva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E2616" t="str">
            <v>Fakulta bezpečnostného inžinierstva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E2617" t="str">
            <v>Fakulta bezpečnostného inžinierstva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E2618" t="str">
            <v>Stavebná fakulta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E2619" t="str">
            <v>Stavebná fakulta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E2620" t="str">
            <v>Fakulta prevádzky a ekonomiky dopravy a spojov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E2621" t="str">
            <v>Fakulta elektrotechniky a informačných technológií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E2622" t="str">
            <v>Fakulta prevádzky a ekonomiky dopravy a spojov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E2623" t="str">
            <v>Fakulta elektrotechniky a informačných technológií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E2624" t="str">
            <v>Fakulta elektrotechniky a informačných technológií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E2625" t="str">
            <v>Strojnícka fakulta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E2626" t="str">
            <v>Fakulta elektrotechniky a informačných technológií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E2627" t="str">
            <v>Strojnícka fakulta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E2628" t="str">
            <v>Strojnícka fakulta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E2629" t="str">
            <v>Fakulta elektrotechniky a informačných technológií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E2630" t="str">
            <v>Strojnícka fakulta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E2631" t="str">
            <v>Strojnícka fakulta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E2633" t="str">
            <v>Fakulta prevádzky a ekonomiky dopravy a spojov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E2634" t="str">
            <v>Fakulta prevádzky a ekonomiky dopravy a spojov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E2635" t="str">
            <v>Fakulta prevádzky a ekonomiky dopravy a spojov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E2637" t="str">
            <v>Fakulta riadenia a informatiky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E2638" t="str">
            <v>Fakulta riadenia a informatiky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E2639" t="str">
            <v>Strojnícka fakulta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E2640" t="str">
            <v>Fakulta bezpečnostného inžinierstva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E2641" t="str">
            <v>Fakulta riadenia a informatiky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E2642" t="str">
            <v>Strojnícka fakulta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E2643" t="str">
            <v>Fakulta elektrotechniky a informačných technológií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E2644" t="str">
            <v>Stavebná fakulta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E2645" t="str">
            <v>Fakulta riadenia a informatiky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E2646" t="str">
            <v>Fakulta prevádzky a ekonomiky dopravy a spojov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E2647" t="str">
            <v>Fakulta elektrotechniky a informačných technológií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E2648" t="str">
            <v>Strojnícka fakulta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E2649" t="str">
            <v>Fakulta prevádzky a ekonomiky dopravy a spojov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E2650" t="str">
            <v>Fakulta prevádzky a ekonomiky dopravy a spojov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E2651" t="str">
            <v>Fakulta humanitných vied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E2652" t="str">
            <v>Fakulta bezpečnostného inžinierstva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E2653" t="str">
            <v>Fakulta prevádzky a ekonomiky dopravy a spojov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E2654" t="str">
            <v>Fakulta elektrotechniky a informačných technológií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E2655" t="str">
            <v>Fakulta riadenia a informatiky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E2656" t="str">
            <v>Fakulta elektrotechniky a informačných technológií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E2657" t="str">
            <v>Strojnícka fakulta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E2658" t="str">
            <v>Fakulta elektrotechniky a informačných technológií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E2659" t="str">
            <v>Stavebná fakulta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E2660" t="str">
            <v>Stavebná fakulta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E2661" t="str">
            <v>Stavebná fakulta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E2662" t="str">
            <v>Strojnícka fakulta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E2663" t="str">
            <v>Fakulta elektrotechniky a informačných technológií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E2664" t="str">
            <v>Fakulta prevádzky a ekonomiky dopravy a spojov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E2665" t="str">
            <v>Fakulta elektrotechniky a informačných technológií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E2666" t="str">
            <v>Fakulta bezpečnostného inžinierstva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E2667" t="str">
            <v>Stavebná fakulta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E2668" t="str">
            <v>Fakulta bezpečnostného inžinierstva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E2669" t="str">
            <v>Strojnícka fakulta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E2670" t="str">
            <v>Stavebná fakulta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E2671" t="str">
            <v>Strojnícka fakulta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E2672" t="str">
            <v>Právnická fakulta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E2673" t="str">
            <v>Právnická fakulta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E2674" t="str">
            <v>Právnická fakulta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E2675" t="str">
            <v>Fakulta sociálnych a ekonomických vied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E2676" t="str">
            <v>Fakulta sociálnych a ekonomických vied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E2677" t="str">
            <v>Právnická fakulta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E2678" t="str">
            <v>Právnická fakulta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E2679" t="str">
            <v>Filozofická fakulta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E2680" t="str">
            <v>Filozofická fakulta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E2681">
            <v>0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E2682">
            <v>0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E2683" t="str">
            <v>Filozofická fakulta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E2684" t="str">
            <v>Filozofická fakulta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E2685" t="str">
            <v>Filozofická fakulta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E2686" t="str">
            <v>Filozofická fakulta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E2687" t="str">
            <v>Filozofická fakulta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E2688" t="str">
            <v>Filozofická fakulta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E2689" t="str">
            <v>Filozofická fakulta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E2690" t="str">
            <v>Filozofická fakulta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E2691" t="str">
            <v>Filozofická fakulta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E2692" t="str">
            <v>Filozofická fakulta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E2693" t="str">
            <v>Filozofická fakulta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E2694" t="str">
            <v>Filozofická fakulta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E2695" t="str">
            <v>Filozofická fakulta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E2696" t="str">
            <v>Filozofická fakulta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E2697" t="str">
            <v>Filozofická fakulta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E2698" t="str">
            <v>Filozofická fakulta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E2699" t="str">
            <v>Filozofická fakulta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E2700" t="str">
            <v>Filozofická fakulta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E2701" t="str">
            <v>Filozofická fakulta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E2702" t="str">
            <v>Filozofická fakulta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E2703" t="str">
            <v>Filozofická fakulta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E2704" t="str">
            <v>Filozofická fakulta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E2705" t="str">
            <v>Filozofická fakulta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E2706" t="str">
            <v>Filozofická fakulta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E2707" t="str">
            <v>Gréckokatolícka teologická fakulta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E2708" t="str">
            <v>Gréckokatolícka teologická fakulta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E2709" t="str">
            <v>Gréckokatolícka teologická fakulta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E2710" t="str">
            <v>Gréckokatolícka teologická fakulta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E2711" t="str">
            <v>Gréckokatolícka teologická fakulta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E2712" t="str">
            <v>Gréckokatolícka teologická fakulta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E2713" t="str">
            <v>Gréckokatolícka teologická fakulta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E2714" t="str">
            <v>Fakulta humanitných a prírodných vied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E2715" t="str">
            <v>Fakulta humanitných a prírodných vied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E2716" t="str">
            <v>Fakulta humanitných a prírodných vied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E2717" t="str">
            <v>Fakulta humanitných a prírodných vied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E2718" t="str">
            <v>Fakulta humanitných a prírodných vied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E2719" t="str">
            <v>Fakulta humanitných a prírodných vied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E2720" t="str">
            <v>Fakulta humanitných a prírodných vied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E2721" t="str">
            <v>Fakulta humanitných a prírodných vied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E2722" t="str">
            <v>Fakulta manažmentu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E2723" t="str">
            <v>Fakulta manažmentu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E2724" t="str">
            <v>Fakulta manažmentu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E2725" t="str">
            <v>Pedagogická fakulta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E2726" t="str">
            <v>Pedagogická fakulta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E2727" t="str">
            <v>Pedagogická fakulta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E2728" t="str">
            <v>Pedagogická fakulta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E2729" t="str">
            <v>Pedagogická fakulta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E2730" t="str">
            <v>Pedagogická fakulta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E2731" t="str">
            <v>Pedagogická fakulta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E2732" t="str">
            <v>Pedagogická fakulta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E2733" t="str">
            <v>Pedagogická fakulta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E2734" t="str">
            <v>Pravoslávna bohoslovecká fakulta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E2735" t="str">
            <v>Pravoslávna bohoslovecká fakulta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E2736" t="str">
            <v>Fakulta športu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E2737" t="str">
            <v>Fakulta športu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E2738" t="str">
            <v>Fakulta zdravotníckych odborov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E2739" t="str">
            <v>Fakulta zdravotníckych odborov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E2740" t="str">
            <v>Fakulta zdravotníckych odborov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E2741">
            <v>0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E2742">
            <v>0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E2743" t="str">
            <v>Strojnícka fakulta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E2744">
            <v>0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E2745" t="str">
            <v>Fakulta baníctva, ekológie, riadenia a geotechnológií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E2746">
            <v>0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E2747">
            <v>0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E2748">
            <v>0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E2749">
            <v>0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E2750">
            <v>0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E2751" t="str">
            <v>Strojnícka fakulta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E2752" t="str">
            <v>Strojnícka fakulta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E2753" t="str">
            <v>Stavebná fakulta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E2754" t="str">
            <v>Prírodovedecká fakulta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E2755" t="str">
            <v>Fakulta výrobných technológií so sídlom v Prešove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E2756" t="str">
            <v>Fakulta prírodných vied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E2757" t="str">
            <v>Fakulta materiálov, metalurgie a recyklácie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E2758" t="str">
            <v>Fakulta ekonomiky a manažmentu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E2759" t="str">
            <v>Právnická fakulta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E2760" t="str">
            <v>Právnická fakulta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E2761" t="str">
            <v>Fakulta chemickej a potravinárskej technológie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E2762" t="str">
            <v>Právnická fakulta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E2763" t="str">
            <v>Právnická fakulta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E2764" t="str">
            <v>Fakulta chemickej a potravinárskej technológie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E2765" t="str">
            <v>Divadelná fakulta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E2766">
            <v>0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E2767" t="str">
            <v>Filozofická fakulta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E2768" t="str">
            <v>Filozofická fakulta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E2769" t="str">
            <v>Filozofická fakulta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E2770" t="str">
            <v>Filozofická fakulta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E2771" t="str">
            <v>Filozofická fakulta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E2772" t="str">
            <v>Filozofická fakulta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E2773" t="str">
            <v>Filozofická fakulta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E2774" t="str">
            <v>Filozofická fakulta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E2775" t="str">
            <v>Filozofická fakulta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E2776" t="str">
            <v>Filozofická fakulta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E2777" t="str">
            <v>Filozofická fakulta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E2778" t="str">
            <v>Filozofická fakulta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E2779" t="str">
            <v>Filozofická fakulta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E2780" t="str">
            <v>Filozofická fakulta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E2781" t="str">
            <v>Filozofická fakulta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E2782" t="str">
            <v>Filozofická fakulta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E2783" t="str">
            <v>Filozofická fakulta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E2784" t="str">
            <v>Filozofická fakulta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E2785" t="str">
            <v>Filozofická fakulta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E2786" t="str">
            <v>Filozofická fakulta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E2787" t="str">
            <v>Filozofická fakulta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E2788" t="str">
            <v>Filozofická fakulta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E2789" t="str">
            <v>Filozofická fakulta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E2790" t="str">
            <v>Filozofická fakulta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E2791" t="str">
            <v>Filozofická fakulta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E2792" t="str">
            <v>Fakulta múzických umení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E2793" t="str">
            <v>Fakulta múzických umení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E2794" t="str">
            <v>Fakulta výtvarných umení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E2795" t="str">
            <v>Pedagogická fakulta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E2796" t="str">
            <v>Pedagogická fakulta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E2797" t="str">
            <v>Pedagogická fakulta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E2798" t="str">
            <v>Pedagogická fakulta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E2799" t="str">
            <v>Pedagogická fakulta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E2800" t="str">
            <v>Pedagogická fakulta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E2801" t="str">
            <v>Pedagogická fakulta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E2802" t="str">
            <v>Pedagogická fakulta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E2803" t="str">
            <v>Pedagogická fakulta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E2804" t="str">
            <v>Pedagogická fakulta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E2805" t="str">
            <v>Pedagogická fakulta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E2806" t="str">
            <v>Pedagogická fakulta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E2807" t="str">
            <v>Pedagogická fakulta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E2808" t="str">
            <v>Fakulta politických vied a medzinárodných vzťahov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E2809" t="str">
            <v>Fakulta politických vied a medzinárodných vzťahov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E2810" t="str">
            <v>Fakulta prírodných vied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E2811" t="str">
            <v>Fakulta prírodných vied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E2812" t="str">
            <v>Fakulta prírodných vied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E2813" t="str">
            <v>Fakulta prírodných vied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E2814" t="str">
            <v>Fakulta prírodných vied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E2815" t="str">
            <v>Fakulta prírodných vied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E2816" t="str">
            <v>Fakulta prírodných vied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E2817" t="str">
            <v>Fakulta prírodných vied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E2818" t="str">
            <v>Fakulta prírodných vied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E2819" t="str">
            <v>Fakulta prírodných vied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E2820" t="str">
            <v>Fakulta prírodných vied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E2821" t="str">
            <v>Fakulta prírodných vied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E2822" t="str">
            <v>Ekonomická fakulta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E2823" t="str">
            <v>Ekonomická fakulta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E2824" t="str">
            <v>Ekonomická fakulta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E2825">
            <v>0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E2826">
            <v>0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E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E2828" t="str">
            <v>Fakulta telesnej výchovy a športu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E2829" t="str">
            <v>Fakulta telesnej výchovy a športu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E2830" t="str">
            <v>Pedagogická fakulta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E2831" t="str">
            <v>Pedagogická fakulta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E2832" t="str">
            <v>Pedagogická fakulta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E2833" t="str">
            <v>Pedagogická fakulta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E2834" t="str">
            <v>Pedagogická fakulta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E2835" t="str">
            <v>Pedagogická fakulta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E2836" t="str">
            <v>Pedagogická fakulta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E2837" t="str">
            <v>Pedagogická fakulta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E2838" t="str">
            <v>Pedagogická fakulta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E2839" t="str">
            <v>Fakulta prírodných vied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E2840" t="str">
            <v>Pedagogická fakulta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E2841" t="str">
            <v>Pedagogická fakulta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E2842" t="str">
            <v>Pedagogická fakulta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E2843" t="str">
            <v>Filozofická fakulta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E2844" t="str">
            <v>Filozofická fakulta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E2845" t="str">
            <v>Filozofická fakulta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E2846" t="str">
            <v>Filozofická fakulta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E2847" t="str">
            <v>Filozofická fakulta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E2848" t="str">
            <v>Filozofická fakulta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E2849" t="str">
            <v>Filozofická fakulta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E2850" t="str">
            <v>Filozofická fakulta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E2851" t="str">
            <v>Filozofická fakulta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E2852" t="str">
            <v>Filozofická fakulta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E2853" t="str">
            <v>Filozofická fakulta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E2854" t="str">
            <v>Fakulta prírodných vied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E2855" t="str">
            <v>Filozofická fakulta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E2856" t="str">
            <v>Filozofická fakulta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E2857" t="str">
            <v>Filozofická fakulta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E2858" t="str">
            <v>Filozofická fakulta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E2859" t="str">
            <v>Filozofická fakulta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E2860" t="str">
            <v>Filozofická fakulta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E2861" t="str">
            <v>Filozofická fakulta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E2862" t="str">
            <v>Filozofická fakulta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E2863" t="str">
            <v>Fakulta matematiky, fyziky a informatiky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E2864" t="str">
            <v>Fakulta matematiky, fyziky a informatiky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E2865" t="str">
            <v>Fakulta matematiky, fyziky a informatiky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E2866" t="str">
            <v>Fakulta matematiky, fyziky a informatiky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E2867" t="str">
            <v>Fakulta matematiky, fyziky a informatiky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E2868" t="str">
            <v>Fakulta matematiky, fyziky a informatiky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E2869" t="str">
            <v>Fakulta matematiky, fyziky a informatiky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E2870" t="str">
            <v>Fakulta matematiky, fyziky a informatiky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E2871" t="str">
            <v>Fakulta matematiky, fyziky a informatiky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E2872" t="str">
            <v>Fakulta matematiky, fyziky a informatiky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E2873" t="str">
            <v>Fakulta matematiky, fyziky a informatiky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E2874" t="str">
            <v>Fakulta matematiky, fyziky a informatiky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E2875" t="str">
            <v>Fakulta matematiky, fyziky a informatiky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E2876" t="str">
            <v>Pedagogická fakulta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E2877" t="str">
            <v>Pedagogická fakulta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E2878" t="str">
            <v>Pedagogická fakulta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E2879" t="str">
            <v>Pedagogická fakulta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E2880" t="str">
            <v>Pedagogická fakulta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E2881" t="str">
            <v>Pedagogická fakulta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E2882" t="str">
            <v>Pedagogická fakulta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E2883" t="str">
            <v>Pedagogická fakulta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E2884" t="str">
            <v>Pedagogická fakulta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E2885" t="str">
            <v>Fakulta dramatických umení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E2886" t="str">
            <v>Fakulta dramatických umení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E2887" t="str">
            <v>Fakulta dramatických umení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E2888" t="str">
            <v>Prírodovedecká fakulta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E2889" t="str">
            <v>Prírodovedecká fakulta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E2890" t="str">
            <v>Prírodovedecká fakulta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E2891" t="str">
            <v>Prírodovedecká fakulta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E2892" t="str">
            <v>Prírodovedecká fakulta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E2893" t="str">
            <v>Prírodovedecká fakulta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E2894" t="str">
            <v>Prírodovedecká fakulta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E2895" t="str">
            <v>Prírodovedecká fakulta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E2896" t="str">
            <v>Prírodovedecká fakulta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E2897" t="str">
            <v>Prírodovedecká fakulta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E2898" t="str">
            <v>Prírodovedecká fakulta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E2899" t="str">
            <v>Prírodovedecká fakulta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E2900" t="str">
            <v>Prírodovedecká fakulta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E2901" t="str">
            <v>Prírodovedecká fakulta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E2902" t="str">
            <v>Prírodovedecká fakulta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E2903" t="str">
            <v>Prírodovedecká fakulta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E2904" t="str">
            <v>Prírodovedecká fakulta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E2905" t="str">
            <v>Prírodovedecká fakulta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E2906" t="str">
            <v>Prírodovedecká fakulta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E2907" t="str">
            <v>Prírodovedecká fakulta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E2908" t="str">
            <v>Filozofická fakulta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E2909" t="str">
            <v>Filozofická fakulta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E2910" t="str">
            <v>Teologická fakulta v Košiciach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E2911" t="str">
            <v>Teologická fakulta v Košiciach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E2912" t="str">
            <v>Teologická fakulta v Košiciach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E2913" t="str">
            <v>Teologická fakulta v Košiciach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E2914" t="str">
            <v>Teologická fakulta v Košiciach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E2915" t="str">
            <v>Teologická fakulta v Košiciach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E2916" t="str">
            <v>Teologická fakulta v Košiciach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E2917" t="str">
            <v>Prírodovedecká fakulta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E2918" t="str">
            <v>Prírodovedecká fakulta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E2919" t="str">
            <v>Lekárska fakulta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E2920" t="str">
            <v>Teologická fakulta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E2921" t="str">
            <v>Teologická fakulta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E2922" t="str">
            <v>Právnická fakulta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E2923" t="str">
            <v>Lekárska fakulta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E2924" t="str">
            <v>Fakulta prírodných vied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E2925" t="str">
            <v>Fakulta prírodných vied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E2926" t="str">
            <v>Fakulta prírodných vied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E2927" t="str">
            <v>Fakulta prírodných vied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E2928" t="str">
            <v>Fakulta prírodných vied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E2929" t="str">
            <v>Fakulta prírodných vied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E2930" t="str">
            <v>Evanjelická bohoslovecká fakulta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E2931" t="str">
            <v>Evanjelická bohoslovecká fakulta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E2932" t="str">
            <v>Fakulta prírodných vied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E2933" t="str">
            <v>Fakulta prírodných vied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E2934" t="str">
            <v>Právnická fakulta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E2935" t="str">
            <v>Filozofická fakulta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E2936" t="str">
            <v>Národohospodárska fakulta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E2937" t="str">
            <v>Obchodná fakulta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E2938" t="str">
            <v>Národohospodárska fakulta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E2939" t="str">
            <v>Obchodná fakulta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E2940" t="str">
            <v>Fakulta podnikového manažmentu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E2941" t="str">
            <v>Podnikovohospodárska fakulta v Košiciach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E2942" t="str">
            <v>Fakulta aplikovaných jazykov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E2943" t="str">
            <v>Fakulta podnikového manažmentu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E2944" t="str">
            <v>Fakulta aplikovaných jazykov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E2945" t="str">
            <v>Obchodná fakulta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E2946" t="str">
            <v>Filozofická fakulta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E2947" t="str">
            <v>Filozofická fakulta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E2948" t="str">
            <v>Filozofická fakulta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E2949" t="str">
            <v>Filozofická fakulta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E2950" t="str">
            <v>Filozofická fakulta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E2951" t="str">
            <v>Filozofická fakulta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E2952" t="str">
            <v>Filozofická fakulta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E2953" t="str">
            <v>Pedagogická fakulta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E2954" t="str">
            <v>Filozofická fakulta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E2955" t="str">
            <v>Filozofická fakulta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E2956" t="str">
            <v>Fakulta zdravotníctva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E2957" t="str">
            <v>Filozofická fakulta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E2958" t="str">
            <v>Filozofická fakulta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E2959" t="str">
            <v>Filozofická fakulta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E2960" t="str">
            <v>Filozofická fakulta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E2961" t="str">
            <v>Filozofická fakulta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E2962" t="str">
            <v>Filozofická fakulta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E2963" t="str">
            <v>Filozofická fakulta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E2964" t="str">
            <v>Filozofická fakulta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E2965" t="str">
            <v>Filozofická fakulta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E2966" t="str">
            <v>Filozofická fakulta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E2967" t="str">
            <v>Filozofická fakulta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E2968" t="str">
            <v>Filozofická fakulta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E2969" t="str">
            <v>Filozofická fakulta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E2970" t="str">
            <v>Filozofická fakulta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E2971" t="str">
            <v>Filozofická fakulta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E2972" t="str">
            <v>Filozofická fakulta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E2973" t="str">
            <v>Filozofická fakulta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E2974" t="str">
            <v>Filozofická fakulta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E2975" t="str">
            <v>Filozofická fakulta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E2976" t="str">
            <v>Filozofická fakulta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E2977" t="str">
            <v>Filozofická fakulta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E2978" t="str">
            <v>Filozofická fakulta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E2979" t="str">
            <v>Filozofická fakulta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E2980" t="str">
            <v>Filozofická fakulta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E2981" t="str">
            <v>Filozofická fakulta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E2982" t="str">
            <v>Filozofická fakulta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E2983" t="str">
            <v>Filozofická fakulta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E2984" t="str">
            <v>Filozofická fakulta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E2985" t="str">
            <v>Filozofická fakulta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E2986" t="str">
            <v>Filozofická fakulta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E2987" t="str">
            <v>Filozofická fakulta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E2988" t="str">
            <v>Filozofická fakulta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E2989" t="str">
            <v>Filozofická fakulta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E2990" t="str">
            <v>Filozofická fakulta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E2991" t="str">
            <v>Filozofická fakulta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E2992" t="str">
            <v>Filozofická fakulta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E2993" t="str">
            <v>Filozofická fakulta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E2994" t="str">
            <v>Filozofická fakulta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E2995" t="str">
            <v>Filozofická fakulta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E2996" t="str">
            <v>Filozofická fakulta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E2997" t="str">
            <v>Filozofická fakulta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E2998" t="str">
            <v>Filozofická fakulta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E2999" t="str">
            <v>Filozofická fakulta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E3000" t="str">
            <v>Fakulta umení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E3001" t="str">
            <v>Fakulta umení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E3002" t="str">
            <v>Pedagogická fakulta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E3003" t="str">
            <v>Pedagogická fakulta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E3004" t="str">
            <v>Pedagogická fakulta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E3005" t="str">
            <v>Pedagogická fakulta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E3006" t="str">
            <v>Pedagogická fakulta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E3007" t="str">
            <v>Pedagogická fakulta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E3008" t="str">
            <v>Pedagogická fakulta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E3009" t="str">
            <v>Pedagogická fakulta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E3010" t="str">
            <v>Pedagogická fakulta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E3011" t="str">
            <v>Pedagogická fakulta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E3012" t="str">
            <v>Pedagogická fakulta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E3013" t="str">
            <v>Pedagogická fakulta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E3014" t="str">
            <v>Pedagogická fakulta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E3015" t="str">
            <v>Pedagogická fakulta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E3016" t="str">
            <v>Pedagogická fakulta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E3017" t="str">
            <v>Pedagogická fakulta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E3018" t="str">
            <v>Pedagogická fakulta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E3019" t="str">
            <v>Fakulta materiálov, metalurgie a recyklácie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E3020" t="str">
            <v>Fakulta materiálov, metalurgie a recyklácie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E3021" t="str">
            <v>Fakulta materiálov, metalurgie a recyklácie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E3022" t="str">
            <v>Fakulta materiálov, metalurgie a recyklácie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E3023" t="str">
            <v>Fakulta materiálov, metalurgie a recyklácie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E3024" t="str">
            <v>Fakulta materiálov, metalurgie a recyklácie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E3025" t="str">
            <v>Fakulta materiálov, metalurgie a recyklácie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E3026" t="str">
            <v>Fakulta materiálov, metalurgie a recyklácie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E3027" t="str">
            <v>Fakulta baníctva, ekológie, riadenia a geotechnológií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E3028" t="str">
            <v>Fakulta baníctva, ekológie, riadenia a geotechnológií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E3029" t="str">
            <v>Fakulta baníctva, ekológie, riadenia a geotechnológií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E3030" t="str">
            <v>Fakulta baníctva, ekológie, riadenia a geotechnológií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E3031" t="str">
            <v>Fakulta baníctva, ekológie, riadenia a geotechnológií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E3032" t="str">
            <v>Fakulta baníctva, ekológie, riadenia a geotechnológií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E3033" t="str">
            <v>Fakulta baníctva, ekológie, riadenia a geotechnológií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E3034" t="str">
            <v>Fakulta baníctva, ekológie, riadenia a geotechnológií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E3035" t="str">
            <v>Fakulta baníctva, ekológie, riadenia a geotechnológií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E3036" t="str">
            <v>Fakulta baníctva, ekológie, riadenia a geotechnológií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E3037" t="str">
            <v>Fakulta baníctva, ekológie, riadenia a geotechnológií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E3038" t="str">
            <v>Fakulta baníctva, ekológie, riadenia a geotechnológií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E3039" t="str">
            <v>Fakulta baníctva, ekológie, riadenia a geotechnológií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E3040" t="str">
            <v>Fakulta baníctva, ekológie, riadenia a geotechnológií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E3041" t="str">
            <v>Fakulta baníctva, ekológie, riadenia a geotechnológií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E3042" t="str">
            <v>Fakulta baníctva, ekológie, riadenia a geotechnológií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E3043" t="str">
            <v>Fakulta baníctva, ekológie, riadenia a geotechnológií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E3044" t="str">
            <v>Fakulta baníctva, ekológie, riadenia a geotechnológií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E3045" t="str">
            <v>Fakulta baníctva, ekológie, riadenia a geotechnológií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E3046" t="str">
            <v>Fakulta baníctva, ekológie, riadenia a geotechnológií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E3047" t="str">
            <v>Fakulta baníctva, ekológie, riadenia a geotechnológií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E3048" t="str">
            <v>Fakulta baníctva, ekológie, riadenia a geotechnológií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E3049" t="str">
            <v>Fakulta baníctva, ekológie, riadenia a geotechnológií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E3050" t="str">
            <v>Stavebná fakulta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E3051" t="str">
            <v>Stavebná fakulta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E3052" t="str">
            <v>Stavebná fakulta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E3053" t="str">
            <v>Stavebná fakulta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E3054" t="str">
            <v>Stavebná fakulta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E3055" t="str">
            <v>Stavebná fakulta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E3056" t="str">
            <v>Stavebná fakulta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E3057" t="str">
            <v>Fakulta výrobných technológií so sídlom v Prešove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E3058" t="str">
            <v>Fakulta výrobných technológií so sídlom v Prešove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E3059" t="str">
            <v>Fakulta výrobných technológií so sídlom v Prešove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E3060" t="str">
            <v>Fakulta výrobných technológií so sídlom v Prešove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E3061" t="str">
            <v>Fakulta výrobných technológií so sídlom v Prešove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E3062" t="str">
            <v>Fakulta výrobných technológií so sídlom v Prešove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E3063" t="str">
            <v>Fakulta výrobných technológií so sídlom v Prešove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E3064" t="str">
            <v>Letecká fakulta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E3065" t="str">
            <v>Letecká fakulta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E3066" t="str">
            <v>Letecká fakulta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E3067" t="str">
            <v>Letecká fakulta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E3068" t="str">
            <v>Ekonomická fakulta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E3069" t="str">
            <v>Ekonomická fakulta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E3070" t="str">
            <v>Ekonomická fakulta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E3071" t="str">
            <v>Ekonomická fakulta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E3072" t="str">
            <v>Fakulta zdravotníctva so sídlom v Banskej Bystrici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E3073" t="str">
            <v>Fakulta elektrotechniky a informatiky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E3074" t="str">
            <v>Fakulta elektrotechniky a informatiky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E3075" t="str">
            <v>Fakulta elektrotechniky a informatiky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E3076" t="str">
            <v>Fakulta elektrotechniky a informatiky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E3077" t="str">
            <v>Fakulta elektrotechniky a informatiky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E3078" t="str">
            <v>Fakulta elektrotechniky a informatiky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E3079" t="str">
            <v>Fakulta elektrotechniky a informatiky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E3080" t="str">
            <v>Fakulta elektrotechniky a informatiky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E3081" t="str">
            <v>Fakulta elektrotechniky a informatiky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E3082" t="str">
            <v>Fakulta elektrotechniky a informatiky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E3083" t="str">
            <v>Fakulta elektrotechniky a informatiky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E3084" t="str">
            <v>Jesseniova lekárska fakulta v Martine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E3085" t="str">
            <v>Jesseniova lekárska fakulta v Martine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E3086" t="str">
            <v>Jesseniova lekárska fakulta v Martine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E3087" t="str">
            <v>Jesseniova lekárska fakulta v Martine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E3088" t="str">
            <v>Jesseniova lekárska fakulta v Martine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E3089" t="str">
            <v>Jesseniova lekárska fakulta v Martine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E3090" t="str">
            <v>Fakulta verejného zdravotníctva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E3091" t="str">
            <v>Fakulta verejného zdravotníctva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E3092" t="str">
            <v>Lekárska fakulta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E3093" t="str">
            <v>Strojnícka fakulta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E3094" t="str">
            <v>Strojnícka fakulta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E3095" t="str">
            <v>Strojnícka fakulta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E3096" t="str">
            <v>Strojnícka fakulta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E3097" t="str">
            <v>Strojnícka fakulta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E3098" t="str">
            <v>Strojnícka fakulta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E3099" t="str">
            <v>Strojnícka fakulta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E3100" t="str">
            <v>Strojnícka fakulta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E3101" t="str">
            <v>Strojnícka fakulta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E3102" t="str">
            <v>Strojnícka fakulta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E3103" t="str">
            <v>Strojnícka fakulta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E3104" t="str">
            <v>Strojnícka fakulta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E3105" t="str">
            <v>Strojnícka fakulta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E3106" t="str">
            <v>Fakulta stredoeurópskych štúdií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E3107" t="str">
            <v>Fakulta stredoeurópskych štúdií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E3108" t="str">
            <v>Fakulta stredoeurópskych štúdií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E3109" t="str">
            <v>Fakulta stredoeurópskych štúdií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E3110" t="str">
            <v>Fakulta stredoeurópskych štúdií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E3111" t="str">
            <v>Prírodovedecká fakulta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E3112" t="str">
            <v>Prírodovedecká fakulta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E3113" t="str">
            <v>Prírodovedecká fakulta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E3114" t="str">
            <v>Prírodovedecká fakulta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E3115" t="str">
            <v>Prírodovedecká fakulta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E3116" t="str">
            <v>Prírodovedecká fakulta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E3117" t="str">
            <v>Prírodovedecká fakulta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E3118" t="str">
            <v>Prírodovedecká fakulta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E3119" t="str">
            <v>Prírodovedecká fakulta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E3120" t="str">
            <v>Prírodovedecká fakulta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E3121" t="str">
            <v>Prírodovedecká fakulta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E3122" t="str">
            <v>Prírodovedecká fakulta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E3123" t="str">
            <v>Prírodovedecká fakulta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E3124" t="str">
            <v>Prírodovedecká fakulta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E3125" t="str">
            <v>Prírodovedecká fakulta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E3126" t="str">
            <v>Prírodovedecká fakulta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E3127" t="str">
            <v>Prírodovedecká fakulta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E3128" t="str">
            <v>Prírodovedecká fakulta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E3129" t="str">
            <v>Prírodovedecká fakulta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E3130" t="str">
            <v>Prírodovedecká fakulta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E3131" t="str">
            <v>Prírodovedecká fakulta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E3132" t="str">
            <v>Prírodovedecká fakulta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E3133" t="str">
            <v>Prírodovedecká fakulta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E3134" t="str">
            <v>Prírodovedecká fakulta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E3135" t="str">
            <v>Prírodovedecká fakulta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E3136" t="str">
            <v>Prírodovedecká fakulta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E3137" t="str">
            <v>Fakulta sociálnych a ekonomických vied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E3138" t="str">
            <v>Fakulta ošetrovateľstva a zdravotníckych odborných štúdií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E3139" t="str">
            <v>Fakulta špeciálnej techniky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E3140" t="str">
            <v>Fakulta špeciálnej techniky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E3141" t="str">
            <v>Fakulta sociálno-ekonomických vzťahov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E3142" t="str">
            <v>Fakulta priemyselných technológií v Púchove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E3143">
            <v>0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E3145" t="str">
            <v>Divadelná fakulta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E3146" t="str">
            <v>Filmová a televízna fakulta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E3147" t="str">
            <v>Filmová a televízna fakulta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E3148" t="str">
            <v>Hudobná a tanečná fakulta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E3149" t="str">
            <v>Divadelná fakulta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E3150" t="str">
            <v>Filmová a televízna fakulta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E3151" t="str">
            <v>Filmová a televízna fakulta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E3152" t="str">
            <v>Hudobná a tanečná fakulta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E3153" t="str">
            <v>Divadelná fakulta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E3154" t="str">
            <v>Hudobná a tanečná fakulta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E3155" t="str">
            <v>Filmová a televízna fakulta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E3156" t="str">
            <v>Filmová a televízna fakulta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E3157" t="str">
            <v>Divadelná fakulta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E3158" t="str">
            <v>Divadelná fakulta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E3159" t="str">
            <v>Hudobná a tanečná fakulta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E3160" t="str">
            <v>Drevárska fakulta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E3161" t="str">
            <v>Lesnícka fakulta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E3162" t="str">
            <v>Lesnícka fakulta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E3163" t="str">
            <v>Drevárska fakulta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E3164">
            <v>0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E3165" t="str">
            <v>Drevárska fakulta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E3166" t="str">
            <v>Lesnícka fakulta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E3167" t="str">
            <v>Lesnícka fakulta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E3168" t="str">
            <v>Drevárska fakulta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E3169" t="str">
            <v>Drevárska fakulta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E3170" t="str">
            <v>Fakulta ekológie a environmentalistiky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E3171" t="str">
            <v>Fakulta ekológie a environmentalistiky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E3172" t="str">
            <v>Fakulta techniky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E3173" t="str">
            <v>Fakulta techniky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E3174" t="str">
            <v>Fakulta techniky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E3175" t="str">
            <v>Fakulta ekológie a environmentalistiky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E3176" t="str">
            <v>Fakulta ekológie a environmentalistiky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E3177" t="str">
            <v>Fakulta techniky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E3178">
            <v>0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E3179">
            <v>0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E3180" t="str">
            <v>Farmaceutická fakulta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E3181" t="str">
            <v>Fakulta masmédií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E3182" t="str">
            <v>Fakulta práva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E3183" t="str">
            <v>Fakulta psychológie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E3184" t="str">
            <v>Fakulta práva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E3185" t="str">
            <v>Fakulta bezpečnostného inžinierstva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E3186" t="str">
            <v>Fakulta bezpečnostného inžinierstva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E3187" t="str">
            <v>Stavebná fakulta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E3188" t="str">
            <v>Strojnícka fakulta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E3189" t="str">
            <v>Fakulta bezpečnostného inžinierstva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E3190" t="str">
            <v>Stavebná fakulta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E3191" t="str">
            <v>Fakulta bezpečnostného inžinierstva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E3192" t="str">
            <v>Strojnícka fakulta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E3193" t="str">
            <v>Fakulta elektrotechniky a informačných technológií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E3194" t="str">
            <v>Fakulta elektrotechniky a informačných technológií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E3195" t="str">
            <v>Strojnícka fakulta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E3196" t="str">
            <v>Strojnícka fakulta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E3197" t="str">
            <v>Strojnícka fakulta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E3198" t="str">
            <v>Strojnícka fakulta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E3199" t="str">
            <v>Fakulta elektrotechniky a informačných technológií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E3200" t="str">
            <v>Strojnícka fakulta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E3201" t="str">
            <v>Fakulta elektrotechniky a informačných technológií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E3202" t="str">
            <v>Strojnícka fakulta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E3203" t="str">
            <v>Strojnícka fakulta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E3204" t="str">
            <v>Fakulta humanitných vied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E3205" t="str">
            <v>Fakulta humanitných vied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E3206" t="str">
            <v>Fakulta prevádzky a ekonomiky dopravy a spojov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E3207" t="str">
            <v>Fakulta prevádzky a ekonomiky dopravy a spojov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E3208" t="str">
            <v>Fakulta prevádzky a ekonomiky dopravy a spojov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E3209" t="str">
            <v>Fakulta prevádzky a ekonomiky dopravy a spojov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E3210" t="str">
            <v>Fakulta humanitných vied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E3211" t="str">
            <v>Fakulta prevádzky a ekonomiky dopravy a spojov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E3212" t="str">
            <v>Fakulta elektrotechniky a informačných technológií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E3213" t="str">
            <v>Strojnícka fakulta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E3214" t="str">
            <v>Fakulta zdravotníctva a sociálnej práce sv. Ladislava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E3215">
            <v>0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E3216">
            <v>0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E3217" t="str">
            <v>Fakulta verejnej politiky a verejnej správy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E3218" t="str">
            <v>Materiálovotechnologická fakulta so sídlom v Trnave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E3219" t="str">
            <v>Fakulta elektrotechniky a informatiky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E3220" t="str">
            <v>Fakulta elektrotechniky a informatiky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E3221" t="str">
            <v>Materiálovotechnologická fakulta so sídlom v Trnave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E3222" t="str">
            <v>Materiálovotechnologická fakulta so sídlom v Trnave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E3223" t="str">
            <v>Strojnícka fakulta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E3224" t="str">
            <v>Fakulta elektrotechniky a informatiky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E3225" t="str">
            <v>Fakulta elektrotechniky a informatiky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E3226" t="str">
            <v>Fakulta chemickej a potravinárskej technológie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E3227">
            <v>0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E3228" t="str">
            <v>Fakulta chemickej a potravinárskej technológie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E3229" t="str">
            <v>Stavebná fakulta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E3230" t="str">
            <v>Fakulta chemickej a potravinárskej technológie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E3231" t="str">
            <v>Strojnícka fakulta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E3232" t="str">
            <v>Fakulta chemickej a potravinárskej technológie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E3233" t="str">
            <v>Strojnícka fakulta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E3234" t="str">
            <v>Stavebná fakulta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E3235" t="str">
            <v>Fakulta chemickej a potravinárskej technológie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E3236" t="str">
            <v>Fakulta chemickej a potravinárskej technológie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E3237" t="str">
            <v>Fakulta chemickej a potravinárskej technológie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E3238" t="str">
            <v>Strojnícka fakulta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E3239" t="str">
            <v>Materiálovotechnologická fakulta so sídlom v Trnave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E3240" t="str">
            <v>Fakulta informatiky a informačných technológií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E3241" t="str">
            <v>Fakulta chemickej a potravinárskej technológie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E3242" t="str">
            <v>Strojnícka fakulta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E3244" t="str">
            <v>Strojnícka fakulta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E3245" t="str">
            <v>Fakulta chemickej a potravinárskej technológie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E3246" t="str">
            <v>Stavebná fakulta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E3248" t="str">
            <v>Fakulta chemickej a potravinárskej technológie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E3250" t="str">
            <v>Filozofická fakulta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E3251" t="str">
            <v>Fakulta managementu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E3252" t="str">
            <v>Fakulta agrobiológie a potravinových zdrojov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E3253" t="str">
            <v>Fakulta záhradníctva a krajinného inžinierstva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E3254" t="str">
            <v>Technická fakulta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E3255" t="str">
            <v>Fakulta biotechnológie a potravinárstva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E3256" t="str">
            <v>Fakulta agrobiológie a potravinových zdrojov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E3257" t="str">
            <v>Technická fakulta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E3258" t="str">
            <v>Fakulta ekonomiky a manažmentu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E3259" t="str">
            <v>Fakulta ekonomiky a manažmentu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E3260" t="str">
            <v>Technická fakulta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E3261" t="str">
            <v>Fakulta agrobiológie a potravinových zdrojov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E3262" t="str">
            <v>Fakulta agrobiológie a potravinových zdrojov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E3263" t="str">
            <v>Fakulta agrobiológie a potravinových zdrojov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E3264" t="str">
            <v>Fakulta ekonomiky a manažmentu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E3265" t="str">
            <v>Fakulta agrobiológie a potravinových zdrojov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E3266" t="str">
            <v>Fakulta záhradníctva a krajinného inžinierstva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E3267" t="str">
            <v>Fakulta ekonomiky a manažmentu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E3268" t="str">
            <v>Fakulta ekonomiky a manažmentu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E3269" t="str">
            <v>Filozofická fakulta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E3270" t="str">
            <v>Filozofická fakulta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E3271" t="str">
            <v>Filozofická fakulta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E3272" t="str">
            <v>Filozofická fakulta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E3273" t="str">
            <v>Filozofická fakulta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E3274" t="str">
            <v>Filozofická fakulta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E3275" t="str">
            <v>Filozofická fakulta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E3276" t="str">
            <v>Filozofická fakulta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E3277" t="str">
            <v>Filozofická fakulta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E3278" t="str">
            <v>Filozofická fakulta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E3279" t="str">
            <v>Filozofická fakulta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E3280" t="str">
            <v>Filozofická fakulta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E3281" t="str">
            <v>Filozofická fakulta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E3282" t="str">
            <v>Filozofická fakulta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E3283" t="str">
            <v>Filozofická fakulta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E3284" t="str">
            <v>Filozofická fakulta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E3285" t="str">
            <v>Filozofická fakulta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E3286" t="str">
            <v>Filozofická fakulta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E3287" t="str">
            <v>Filozofická fakulta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E3288" t="str">
            <v>Filozofická fakulta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E3289" t="str">
            <v>Filozofická fakulta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E3290" t="str">
            <v>Filozofická fakulta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E3291" t="str">
            <v>Filozofická fakulta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E3292" t="str">
            <v>Filozofická fakulta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E3293" t="str">
            <v>Filozofická fakulta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E3294" t="str">
            <v>Fakulta humanitných a prírodných vied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E3295" t="str">
            <v>Fakulta humanitných a prírodných vied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E3296" t="str">
            <v>Fakulta humanitných a prírodných vied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E3297" t="str">
            <v>Fakulta humanitných a prírodných vied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E3298" t="str">
            <v>Fakulta humanitných a prírodných vied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E3299" t="str">
            <v>Fakulta humanitných a prírodných vied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E3300" t="str">
            <v>Fakulta manažmentu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E3301" t="str">
            <v>Pedagogická fakulta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E3302" t="str">
            <v>Fakulta športu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E3303" t="str">
            <v>Fakulta športu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E3304" t="str">
            <v>Fakulta športu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E3305" t="str">
            <v>Fakulta zdravotníckych odborov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E3306" t="str">
            <v>Fakulta zdravotníckych odborov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E3307">
            <v>0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E3308">
            <v>0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E3309">
            <v>0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E3310" t="str">
            <v>Fakulta sociálnych vied a zdravotníctva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E3311" t="str">
            <v>Fakulta humanitných vied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E3312" t="str">
            <v>Filozofická fakulta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E3313">
            <v>0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E3314" t="str">
            <v>Filozofická fakulta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E3315" t="str">
            <v>Fakulta masmediálnej komunikácie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E3316" t="str">
            <v>Filozofická fakulta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E3317" t="str">
            <v>Filozofická fakulta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E3318" t="str">
            <v>Fakulta prírodných vied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E3319" t="str">
            <v>Fakulta prírodných vied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E3320" t="str">
            <v>Fakulta prírodných vied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E3321" t="str">
            <v>Filozofická fakulta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E3322" t="str">
            <v>Fakulta prírodných vied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E3323" t="str">
            <v>Filozofická fakulta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E3324" t="str">
            <v>Filozofická fakulta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E3325" t="str">
            <v>Fakulta prírodných vied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E3326" t="str">
            <v>Filozofická fakulta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E3327" t="str">
            <v>Filozofická fakulta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E3328" t="str">
            <v>Filozofická fakulta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E3329" t="str">
            <v>Filozofická fakulta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E3330" t="str">
            <v>Filozofická fakulta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E3331" t="str">
            <v>Lekárska fakulta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E3332" t="str">
            <v>Fakulta prírodných vied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E3333" t="str">
            <v>Fakulta baníctva, ekológie, riadenia a geotechnológií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E3334" t="str">
            <v>Ekonomická fakulta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E3335" t="str">
            <v>Fakulta materiálov, metalurgie a recyklácie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E3336" t="str">
            <v>Filmová a televízna fakulta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E3337" t="str">
            <v>Fakulta prírodných vied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E3338" t="str">
            <v>Filozofická fakulta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E3339" t="str">
            <v>Fakulta práva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E3340" t="str">
            <v>Fakulta práva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E3341" t="str">
            <v>Fakulta práva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E3342" t="str">
            <v>Fakulta práva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E3343" t="str">
            <v>Právnická fakulta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E3344" t="str">
            <v>Pedagogická fakulta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E3345" t="str">
            <v>Pedagogická fakulta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E3346" t="str">
            <v>Pedagogická fakulta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E3347" t="str">
            <v>Pedagogická fakulta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E3348" t="str">
            <v>Pedagogická fakulta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E3349" t="str">
            <v>Pedagogická fakulta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E3350" t="str">
            <v>Pedagogická fakulta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E3351" t="str">
            <v>Pedagogická fakulta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E3352" t="str">
            <v>Pedagogická fakulta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E3353" t="str">
            <v>Pedagogická fakulta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E3354" t="str">
            <v>Pedagogická fakulta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E3355" t="str">
            <v>Pedagogická fakulta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E3356" t="str">
            <v>Pedagogická fakulta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E3357" t="str">
            <v>Fakulta zdravotníctva a sociálnej práce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E3358" t="str">
            <v>Fakulta zdravotníctva a sociálnej práce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E3359" t="str">
            <v>Fakulta zdravotníctva a sociálnej práce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E3360" t="str">
            <v>Fakulta zdravotníctva a sociálnej práce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E3361" t="str">
            <v>Fakulta zdravotníctva a sociálnej práce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E3362" t="str">
            <v>Fakulta zdravotníctva a sociálnej práce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E3363" t="str">
            <v>Fakulta politických vied a medzinárodných vzťahov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E3364" t="str">
            <v>Teologická fakulta v Košiciach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E3365" t="str">
            <v>Teologická fakulta v Košiciach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E3366" t="str">
            <v>Teologická fakulta v Košiciach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E3367" t="str">
            <v>Teologická fakulta v Košiciach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E3368" t="str">
            <v>Pedagogická fakulta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E3369" t="str">
            <v>Pedagogická fakulta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E3370" t="str">
            <v>Pedagogická fakulta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E3371" t="str">
            <v>Strojnícka fakulta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E3372" t="str">
            <v>Filozofická fakulta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E3373" t="str">
            <v>Filozofická fakulta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E3374" t="str">
            <v>Filozofická fakulta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E3375" t="str">
            <v>Filozofická fakulta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E3376" t="str">
            <v>Filozofická fakulta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E3377" t="str">
            <v>Filozofická fakulta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E3378" t="str">
            <v>Filozofická fakulta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E3379" t="str">
            <v>Filozofická fakulta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E3380" t="str">
            <v>Pedagogická fakulta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E3381" t="str">
            <v>Pedagogická fakulta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E3382" t="str">
            <v>Pedagogická fakulta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E3383" t="str">
            <v>Reformovaná teologická fakulta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E3384" t="str">
            <v>Pedagogická fakulta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E3385" t="str">
            <v>Pedagogická fakulta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E3386" t="str">
            <v>Fakulta ekonómie a informatiky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E3387">
            <v>0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E3388">
            <v>0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E3389" t="str">
            <v>Fakulta záhradníctva a krajinného inžinierstva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E3390" t="str">
            <v>Fakulta humanitných a prírodných vied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E3391" t="str">
            <v>Národohospodárska fakulta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E3392" t="str">
            <v>Strojnícka fakulta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E3393" t="str">
            <v>Fakulta priemyselných technológií v Púchove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E3394" t="str">
            <v>Filmová a televízna fakulta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E3395">
            <v>0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E3396" t="str">
            <v>Letecká fakulta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E3397" t="str">
            <v>Strojnícka fakulta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E3398" t="str">
            <v>Fakulta zdravotníctva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E3399" t="str">
            <v>Prírodovedecká fakulta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E3400" t="str">
            <v>Pedagogická fakulta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E3401">
            <v>0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E3402">
            <v>0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E3403" t="str">
            <v>Fakulta sociálnych a ekonomických vied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E3404" t="str">
            <v>Strojnícka fakulta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E3405">
            <v>0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E3406" t="str">
            <v>Fakulta telesnej výchovy a športu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E3407" t="str">
            <v>Prírodovedecká fakulta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E3408">
            <v>0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E3409">
            <v>0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E3410">
            <v>0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E3411">
            <v>0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E3412">
            <v>0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E3413">
            <v>0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E3414">
            <v>0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E3415">
            <v>0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E3416" t="str">
            <v>Fakulta zdravotníctva a sociálnej práce sv. Ladislava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E3417">
            <v>0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E3418">
            <v>0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E3419">
            <v>0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E3420" t="str">
            <v>Pedagogická fakulta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E3421" t="str">
            <v>Filozofická fakulta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E3422" t="str">
            <v>Filozofická fakulta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E3423" t="str">
            <v>Fakulta sociálnych a ekonomických vied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E3424" t="str">
            <v>Fakulta sociálnych vied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E3425" t="str">
            <v>Fakulta sociálnych vied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E3426" t="str">
            <v>Fakulta sociálnych vied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E3427" t="str">
            <v>Filozofická fakulta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E3428" t="str">
            <v>Fakulta telesnej výchovy a športu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E3429" t="str">
            <v>Filozofická fakulta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E3430" t="str">
            <v>Teologická fakulta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E3431" t="str">
            <v>Teologická fakulta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E3432" t="str">
            <v>Prírodovedecká fakulta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E3433" t="str">
            <v>Prírodovedecká fakulta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E3434" t="str">
            <v>Prírodovedecká fakulta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E3435" t="str">
            <v>Prírodovedecká fakulta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E3436" t="str">
            <v>Prírodovedecká fakulta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E3437" t="str">
            <v>Prírodovedecká fakulta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E3438" t="str">
            <v>Prírodovedecká fakulta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E3439" t="str">
            <v>Prírodovedecká fakulta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E3440" t="str">
            <v>Pedagogická fakulta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E3441" t="str">
            <v>Pedagogická fakulta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E3442" t="str">
            <v>Pedagogická fakulta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E3443" t="str">
            <v>Pedagogická fakulta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E3444" t="str">
            <v>Pedagogická fakulta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E3445" t="str">
            <v>Pedagogická fakulta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E3446" t="str">
            <v>Fakulta politických vied a medzinárodných vzťahov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E3447" t="str">
            <v>Ekonomická fakulta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E3448" t="str">
            <v>Lekárska fakulta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E3449" t="str">
            <v>Filozofická fakulta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E3450" t="str">
            <v>Filozofická fakulta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E3451" t="str">
            <v>Filozofická fakulta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E3452" t="str">
            <v>Filozofická fakulta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E3453" t="str">
            <v>Filozofická fakulta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E3454" t="str">
            <v>Filozofická fakulta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E3455" t="str">
            <v>Filozofická fakulta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E3456" t="str">
            <v>Filozofická fakulta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E3457" t="str">
            <v>Filozofická fakulta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E3458" t="str">
            <v>Filozofická fakulta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E3459" t="str">
            <v>Filozofická fakulta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E3460" t="str">
            <v>Filozofická fakulta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E3461" t="str">
            <v>Filozofická fakulta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E3462" t="str">
            <v>Filozofická fakulta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E3463" t="str">
            <v>Filozofická fakulta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E3464" t="str">
            <v>Filozofická fakulta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E3465" t="str">
            <v>Právnická fakulta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E3466" t="str">
            <v>Právnická fakulta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E3467" t="str">
            <v>Filozofická fakulta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E3468" t="str">
            <v>Filozofická fakulta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E3469" t="str">
            <v>Filozofická fakulta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E3470" t="str">
            <v>Filozofická fakulta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E3471" t="str">
            <v>Filozofická fakulta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E3472" t="str">
            <v>Filozofická fakulta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E3473" t="str">
            <v>Filozofická fakulta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E3474" t="str">
            <v>Filozofická fakulta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E3475" t="str">
            <v>Filozofická fakulta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E3476" t="str">
            <v>Fakulta prírodných vied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E3477" t="str">
            <v>Filozofická fakulta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E3478" t="str">
            <v>Fakulta prírodných vied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E3479" t="str">
            <v>Fakulta stredoeurópskych štúdií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E3480" t="str">
            <v>Fakulta stredoeurópskych štúdií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E3481">
            <v>0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E3482" t="str">
            <v>Fakulta verejnej správy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E3483" t="str">
            <v>Fakulta zdravotníctva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E3484" t="str">
            <v>Fakulta zdravotníctva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E3485" t="str">
            <v>Filozofická fakulta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E3486" t="str">
            <v>Filozofická fakulta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E3487" t="str">
            <v>Filozofická fakulta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E3488" t="str">
            <v>Filozofická fakulta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E3489" t="str">
            <v>Filozofická fakulta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E3490">
            <v>0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E3491">
            <v>0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E3492" t="str">
            <v>Fakulta materiálov, metalurgie a recyklácie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E3493" t="str">
            <v>Fakulta materiálov, metalurgie a recyklácie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E3494" t="str">
            <v>Fakulta výrobných technológií so sídlom v Prešove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E3495" t="str">
            <v>Fakulta výrobných technológií so sídlom v Prešove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E3496" t="str">
            <v>Fakulta výrobných technológií so sídlom v Prešove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E3497" t="str">
            <v>Fakulta výrobných technológií so sídlom v Prešove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E3498" t="str">
            <v>Stavebná fakulta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E3499" t="str">
            <v>Fakulta baníctva, ekológie, riadenia a geotechnológií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E3500" t="str">
            <v>Fakulta baníctva, ekológie, riadenia a geotechnológií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E3501" t="str">
            <v>Fakulta baníctva, ekológie, riadenia a geotechnológií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E3502" t="str">
            <v>Fakulta baníctva, ekológie, riadenia a geotechnológií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E3503" t="str">
            <v>Fakulta baníctva, ekológie, riadenia a geotechnológií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E3504" t="str">
            <v>Fakulta baníctva, ekológie, riadenia a geotechnológií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E3505" t="str">
            <v>Obchodná fakulta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E3506" t="str">
            <v>Národohospodárska fakulta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E3507" t="str">
            <v>Fakulta podnikového manažmentu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E3508" t="str">
            <v>Národohospodárska fakulta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E3509" t="str">
            <v>Podnikovohospodárska fakulta v Košiciach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E3510" t="str">
            <v>Fakulta hospodárskej informatiky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E3511" t="str">
            <v>Strojnícka fakulta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E3512" t="str">
            <v>Strojnícka fakulta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E3513" t="str">
            <v>Strojnícka fakulta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E3514" t="str">
            <v>Strojnícka fakulta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E3515" t="str">
            <v>Fakulta elektrotechniky a informatiky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E3516" t="str">
            <v>Fakulta elektrotechniky a informatiky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E3517" t="str">
            <v>Fakulta elektrotechniky a informatiky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E3518" t="str">
            <v>Fakulta elektrotechniky a informatiky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E3519" t="str">
            <v>Fakulta elektrotechniky a informatiky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E3520" t="str">
            <v>Pedagogická fakulta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E3521" t="str">
            <v>Pedagogická fakulta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E3522" t="str">
            <v>Pedagogická fakulta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E3523" t="str">
            <v>Pedagogická fakulta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E3524" t="str">
            <v>Pedagogická fakulta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E3525" t="str">
            <v>Fakulta sociálnych vied a zdravotníctva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E3526" t="str">
            <v>Stavebná fakulta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E3527" t="str">
            <v>Fakulta riadenia a informatiky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E3528" t="str">
            <v>Strojnícka fakulta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E3529" t="str">
            <v>Fakulta humanitných vied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E3530" t="str">
            <v>Fakulta humanitných vied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E3531">
            <v>0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E3532" t="str">
            <v>Stavebná fakulta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E3533" t="str">
            <v>Fakulta prevádzky a ekonomiky dopravy a spojov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E3534" t="str">
            <v>Fakulta elektrotechniky a informačných technológií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E3535">
            <v>0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E3536">
            <v>0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E3537" t="str">
            <v>Fakulta zdravotníctva a sociálnej práce sv. Ladislava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E3538" t="str">
            <v>Filozofická fakulta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E3539" t="str">
            <v>Filozofická fakulta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E3540" t="str">
            <v>Filozofická fakulta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E3541" t="str">
            <v>Filozofická fakulta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E3542" t="str">
            <v>Filozofická fakulta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E3543" t="str">
            <v>Filozofická fakulta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E3544" t="str">
            <v>Fakulta zdravotníctva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E3545" t="str">
            <v>Lekárska fakulta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E3546" t="str">
            <v>Lekárska fakulta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E3547" t="str">
            <v>Fakulta techniky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E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E3549" t="str">
            <v>Lesnícka fakulta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E3550">
            <v>0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E3551" t="str">
            <v>Lesnícka fakulta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E3552" t="str">
            <v>Fakulta techniky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E3553" t="str">
            <v>Pedagogická fakulta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E3554" t="str">
            <v>Pedagogická fakulta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E3555" t="str">
            <v>Fakulta zdravotníctva so sídlom v Banskej Bystrici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E3556" t="str">
            <v>Fakulta chemickej a potravinárskej technológie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E3557" t="str">
            <v>Fakulta informatiky a informačných technológií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E3558" t="str">
            <v>Fakulta chemickej a potravinárskej technológie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E3559" t="str">
            <v>Fakulta chemickej a potravinárskej technológie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E3560" t="str">
            <v>Fakulta chemickej a potravinárskej technológie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E3561" t="str">
            <v>Fakulta chemickej a potravinárskej technológie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E3562" t="str">
            <v>Strojnícka fakulta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E3563" t="str">
            <v>Fakulta informatiky a informačných technológií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E3564" t="str">
            <v>Fakulta chemickej a potravinárskej technológie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E3565" t="str">
            <v>Fakulta chemickej a potravinárskej technológie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E3566" t="str">
            <v>Strojnícka fakulta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E3567" t="str">
            <v>Fakulta chemickej a potravinárskej technológie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E3568" t="str">
            <v>Fakulta informatiky a informačných technológií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E3569" t="str">
            <v>Fakulta architektúry a dizajnu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E3570" t="str">
            <v>Materiálovotechnologická fakulta so sídlom v Trnave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E3571" t="str">
            <v>Fakulta informatiky a informačných technológií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E3572" t="str">
            <v>Fakulta priemyselných technológií v Púchove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E3573" t="str">
            <v>Evanjelická bohoslovecká fakulta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E3574" t="str">
            <v>Pedagogická fakulta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E3575" t="str">
            <v>Pedagogická fakulta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E3576" t="str">
            <v>Pedagogická fakulta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E3577" t="str">
            <v>Fakulta matematiky, fyziky a informatiky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E3578" t="str">
            <v>Fakulta matematiky, fyziky a informatiky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E3579" t="str">
            <v>Fakulta matematiky, fyziky a informatiky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E3580" t="str">
            <v>Fakulta matematiky, fyziky a informatiky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E3581" t="str">
            <v>Fakulta matematiky, fyziky a informatiky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E3582" t="str">
            <v>Fakulta matematiky, fyziky a informatiky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E3583" t="str">
            <v>Fakulta ošetrovateľstva a zdravotníckych odborných štúdií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E3584" t="str">
            <v>Fakulta ošetrovateľstva a zdravotníckych odborných štúdií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E3597" t="str">
            <v>Jesseniova lekárska fakulta v Martine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E3598" t="str">
            <v>Jesseniova lekárska fakulta v Martine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E3599" t="str">
            <v>Jesseniova lekárska fakulta v Martine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E3600">
            <v>0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E3601" t="str">
            <v>Prírodovedecká fakulta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E3602" t="str">
            <v>Prírodovedecká fakulta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E3603" t="str">
            <v>Prírodovedecká fakulta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E3604" t="str">
            <v>Prírodovedecká fakulta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E3605" t="str">
            <v>Prírodovedecká fakulta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E3606" t="str">
            <v>Prírodovedecká fakulta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E3607" t="str">
            <v>Prírodovedecká fakulta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E3608" t="str">
            <v>Fakulta managementu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E3609" t="str">
            <v>Fakulta managementu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E3610" t="str">
            <v>Právnická fakulta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E3611" t="str">
            <v>Filmová a televízna fakulta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E3612" t="str">
            <v>Hudobná a tanečná fakulta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E3613" t="str">
            <v>Fakulta agrobiológie a potravinových zdrojov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E3614" t="str">
            <v>Fakulta biotechnológie a potravinárstva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E3615" t="str">
            <v>Fakulta ekonomiky a manažmentu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E3616" t="str">
            <v>Technická fakulta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E3617" t="str">
            <v>Technická fakulta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E3618" t="str">
            <v>Technická fakulta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E3619" t="str">
            <v>Fakulta ekonomiky a manažmentu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E3620" t="str">
            <v>Fakulta biotechnológie a potravinárstva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E3621" t="str">
            <v>Fakulta záhradníctva a krajinného inžinierstva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E3622" t="str">
            <v>Fakulta ekonomiky a manažmentu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E3623" t="str">
            <v>Fakulta biotechnológie a potravinárstva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E3624" t="str">
            <v>Fakulta politických vied a medzinárodných vzťahov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E3625" t="str">
            <v>Filozofická fakulta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E3626" t="str">
            <v>Filozofická fakulta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E3627" t="str">
            <v>Filozofická fakulta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E3628" t="str">
            <v>Filozofická fakulta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E3629" t="str">
            <v>Filozofická fakulta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E3630" t="str">
            <v>Pedagogická fakulta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E3631" t="str">
            <v>Fakulta zdravotníctva a sociálnej práce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E3632" t="str">
            <v>Filozofická fakulta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E3633" t="str">
            <v>Filozofická fakulta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E3634" t="str">
            <v>Fakulta sociálnych vied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E3635" t="str">
            <v>Fakulta sociálnych vied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E3636" t="str">
            <v>Fakulta masmediálnej komunikácie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E3637" t="str">
            <v>Fakulta sociálnych vied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E3638" t="str">
            <v>Fakulta sociálnych vied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E3639" t="str">
            <v>Fakulta prírodných vied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E3640" t="str">
            <v>Fakulta sociálnych vied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E3641" t="str">
            <v>Fakulta sociálnych vied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E3642" t="str">
            <v>Filozofická fakulta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E3643" t="str">
            <v>Filozofická fakulta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E3644" t="str">
            <v>Fakulta sociálnych vied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E3645" t="str">
            <v>Prírodovedecká fakulta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E3646">
            <v>0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E3647">
            <v>0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E3648">
            <v>0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E3649">
            <v>0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E3650" t="str">
            <v>Filozofická fakulta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E3651" t="str">
            <v>Filozofická fakulta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E3652" t="str">
            <v>Filozofická fakulta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E3653" t="str">
            <v>Filozofická fakulta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E3654" t="str">
            <v>Filozofická fakulta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E3655" t="str">
            <v>Filozofická fakulta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E3656" t="str">
            <v>Filozofická fakulta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E3657" t="str">
            <v>Filozofická fakulta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E3658" t="str">
            <v>Fakulta humanitných a prírodných vied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E3659" t="str">
            <v>Fakulta humanitných a prírodných vied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E3660" t="str">
            <v>Fakulta zdravotníckych odborov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E3661" t="str">
            <v>Fakulta manažmentu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E3662" t="str">
            <v>Pravoslávna bohoslovecká fakulta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E3663" t="str">
            <v>Pravoslávna bohoslovecká fakulta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E3664" t="str">
            <v>Fakulta športu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E3665">
            <v>0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E3666" t="str">
            <v>Fakulta chemickej a potravinárskej technológie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E3667">
            <v>0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E3668">
            <v>0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E3669" t="str">
            <v>Fakulta prevádzky a ekonomiky dopravy a spojov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E3670">
            <v>0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E3671" t="str">
            <v>Národohospodárska fakulta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E3672" t="str">
            <v>Národohospodárska fakulta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E3673" t="str">
            <v>Fakulta sociálnych štúdií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E3674">
            <v>0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E3675">
            <v>0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E3676">
            <v>0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E3677">
            <v>0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E3678">
            <v>0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E3679">
            <v>0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E3680">
            <v>0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E3681">
            <v>0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E3682">
            <v>0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K3">
            <v>735000000</v>
          </cell>
          <cell r="L3" t="str">
            <v>Akadémia médií, odborná vysoká škola mediálnej a marketingovej komunikácie v Bratislave</v>
          </cell>
          <cell r="M3" t="str">
            <v>Ak-Medii</v>
          </cell>
        </row>
        <row r="4">
          <cell r="K4">
            <v>712000000</v>
          </cell>
          <cell r="L4" t="str">
            <v>Akadémia ozbrojených síl generála Milana Rastislava Štefánika</v>
          </cell>
          <cell r="M4" t="str">
            <v>AOS</v>
          </cell>
        </row>
        <row r="5">
          <cell r="K5">
            <v>712000000</v>
          </cell>
          <cell r="L5" t="str">
            <v>Akadémia ozbrojených síl generála Milana Rastislava Štefánika</v>
          </cell>
          <cell r="M5" t="str">
            <v>AOS</v>
          </cell>
        </row>
        <row r="6">
          <cell r="K6">
            <v>712000000</v>
          </cell>
          <cell r="L6" t="str">
            <v>Akadémia ozbrojených síl generála Milana Rastislava Štefánika v Liptovskom Mikuláši</v>
          </cell>
          <cell r="M6" t="str">
            <v>AOS</v>
          </cell>
        </row>
        <row r="7">
          <cell r="K7">
            <v>715000000</v>
          </cell>
          <cell r="L7" t="str">
            <v>Akadémia Policajného zboru</v>
          </cell>
          <cell r="M7" t="str">
            <v>APZ</v>
          </cell>
        </row>
        <row r="8">
          <cell r="K8">
            <v>718000000</v>
          </cell>
          <cell r="L8" t="str">
            <v>Akadémia umení v Banskej Bystrici</v>
          </cell>
          <cell r="M8" t="str">
            <v>AU</v>
          </cell>
        </row>
        <row r="9">
          <cell r="K9">
            <v>790000000</v>
          </cell>
          <cell r="L9" t="str">
            <v>Bankovní institut vysoká škola, a.s., Praha</v>
          </cell>
          <cell r="M9" t="str">
            <v>Ban-I-Praha</v>
          </cell>
        </row>
        <row r="10">
          <cell r="K10">
            <v>732000000</v>
          </cell>
          <cell r="L10" t="str">
            <v>Bratislavská medzinárodná škola liberálnych štúdií</v>
          </cell>
          <cell r="M10" t="str">
            <v>B-MšLš</v>
          </cell>
        </row>
        <row r="11">
          <cell r="K11">
            <v>727000000</v>
          </cell>
          <cell r="L11" t="str">
            <v>Bratislavská vysoká škola práva v Bratislave</v>
          </cell>
          <cell r="M11" t="str">
            <v>B-VšP</v>
          </cell>
        </row>
        <row r="12">
          <cell r="K12">
            <v>731000000</v>
          </cell>
          <cell r="L12" t="str">
            <v>Dubnický technologický inštitút v Dubnici nad Váhom</v>
          </cell>
          <cell r="M12" t="str">
            <v>DTI</v>
          </cell>
        </row>
        <row r="13">
          <cell r="K13">
            <v>703000000</v>
          </cell>
          <cell r="L13" t="str">
            <v>Ekonomická univerzita v Bratislave</v>
          </cell>
          <cell r="M13" t="str">
            <v>EU</v>
          </cell>
        </row>
        <row r="14">
          <cell r="K14">
            <v>794000000</v>
          </cell>
          <cell r="L14" t="str">
            <v>Hochschule Fresenius gGmbH</v>
          </cell>
          <cell r="M14">
            <v>0</v>
          </cell>
        </row>
        <row r="15">
          <cell r="K15">
            <v>734000000</v>
          </cell>
          <cell r="L15" t="str">
            <v>Hudobná a umelecká akadémia Jána Albrechta - Banská Štiavnica, s.r.o, odborná vysoká škola</v>
          </cell>
          <cell r="M15" t="str">
            <v>HuaJA</v>
          </cell>
        </row>
        <row r="16">
          <cell r="K16">
            <v>795000000</v>
          </cell>
          <cell r="L16" t="str">
            <v>INSTITUT SUPÉRIEUR SPÉCIALISÉ DE LA MODE (MOD´SPÉ Paris)</v>
          </cell>
          <cell r="M16" t="str">
            <v>I-SUP</v>
          </cell>
        </row>
        <row r="17">
          <cell r="K17">
            <v>722000000</v>
          </cell>
          <cell r="L17" t="str">
            <v>Katolícka univerzita v Ružomberku</v>
          </cell>
          <cell r="M17" t="str">
            <v>KU</v>
          </cell>
        </row>
        <row r="18">
          <cell r="K18">
            <v>727000000</v>
          </cell>
          <cell r="L18" t="str">
            <v>Paneurópska vysoká škola</v>
          </cell>
          <cell r="M18" t="str">
            <v>Panvš</v>
          </cell>
        </row>
        <row r="19">
          <cell r="K19">
            <v>717000000</v>
          </cell>
          <cell r="L19" t="str">
            <v>Prešovská univerzita v Prešove</v>
          </cell>
          <cell r="M19" t="str">
            <v>PU</v>
          </cell>
        </row>
        <row r="20">
          <cell r="K20">
            <v>704000000</v>
          </cell>
          <cell r="L20" t="str">
            <v>Slovenská poľnohospodárska univerzita v Nitre</v>
          </cell>
          <cell r="M20" t="str">
            <v>SPU</v>
          </cell>
        </row>
        <row r="21">
          <cell r="K21">
            <v>702000000</v>
          </cell>
          <cell r="L21" t="str">
            <v>Slovenská technická univerzita v Bratislave</v>
          </cell>
          <cell r="M21" t="str">
            <v>STU</v>
          </cell>
        </row>
        <row r="22">
          <cell r="K22">
            <v>723000000</v>
          </cell>
          <cell r="L22" t="str">
            <v>Slovenská zdravotnícka univerzita v Bratislave</v>
          </cell>
          <cell r="M22" t="str">
            <v>SZU</v>
          </cell>
        </row>
        <row r="23">
          <cell r="K23">
            <v>796000000</v>
          </cell>
          <cell r="L23" t="str">
            <v>Staropolska Szkoła Wyższa w Kielcach</v>
          </cell>
          <cell r="M23">
            <v>0</v>
          </cell>
        </row>
        <row r="24">
          <cell r="K24">
            <v>730000000</v>
          </cell>
          <cell r="L24" t="str">
            <v>Stredoeurópska vysoká škola v Skalici</v>
          </cell>
          <cell r="M24" t="str">
            <v>Svš-Skal</v>
          </cell>
        </row>
        <row r="25">
          <cell r="K25">
            <v>709000000</v>
          </cell>
          <cell r="L25" t="str">
            <v>Technická univerzita v Košiciach</v>
          </cell>
          <cell r="M25" t="str">
            <v>TUKE</v>
          </cell>
        </row>
        <row r="26">
          <cell r="K26">
            <v>705000000</v>
          </cell>
          <cell r="L26" t="str">
            <v>Technická univerzita vo Zvolene</v>
          </cell>
          <cell r="M26" t="str">
            <v>TUZVO</v>
          </cell>
        </row>
        <row r="27">
          <cell r="K27">
            <v>719000000</v>
          </cell>
          <cell r="L27" t="str">
            <v>Trenčianska univerzita Alexandra Dubčeka v Trenčíne</v>
          </cell>
          <cell r="M27" t="str">
            <v>TUAD</v>
          </cell>
        </row>
        <row r="28">
          <cell r="K28">
            <v>713000000</v>
          </cell>
          <cell r="L28" t="str">
            <v>Trnavská univerzita v Trnave</v>
          </cell>
          <cell r="M28" t="str">
            <v>TVU</v>
          </cell>
        </row>
        <row r="29">
          <cell r="K29">
            <v>725000000</v>
          </cell>
          <cell r="L29" t="str">
            <v>Univerzita J. Selyeho</v>
          </cell>
          <cell r="M29" t="str">
            <v>UJS</v>
          </cell>
        </row>
        <row r="30">
          <cell r="K30">
            <v>701000000</v>
          </cell>
          <cell r="L30" t="str">
            <v>Univerzita Komenského v Bratislave</v>
          </cell>
          <cell r="M30" t="str">
            <v>UK</v>
          </cell>
        </row>
        <row r="31">
          <cell r="K31">
            <v>716000000</v>
          </cell>
          <cell r="L31" t="str">
            <v>Univerzita Konštantína Filozofa v Nitre</v>
          </cell>
          <cell r="M31" t="str">
            <v>UKF</v>
          </cell>
        </row>
        <row r="32">
          <cell r="K32">
            <v>714000000</v>
          </cell>
          <cell r="L32" t="str">
            <v>Univerzita Mateja Bela v Banskej Bystrici</v>
          </cell>
          <cell r="M32" t="str">
            <v>UMB</v>
          </cell>
        </row>
        <row r="33">
          <cell r="K33">
            <v>792000000</v>
          </cell>
          <cell r="L33" t="str">
            <v>Univerzita Palackého v Olomouci</v>
          </cell>
          <cell r="M33" t="str">
            <v>UP-Olom</v>
          </cell>
        </row>
        <row r="34">
          <cell r="K34">
            <v>711000000</v>
          </cell>
          <cell r="L34" t="str">
            <v>Univerzita Pavla Jozefa Šafárika v Košiciach</v>
          </cell>
          <cell r="M34" t="str">
            <v>UPJŠ</v>
          </cell>
        </row>
        <row r="35">
          <cell r="K35">
            <v>720000000</v>
          </cell>
          <cell r="L35" t="str">
            <v>Univerzita sv. Cyrila a Metoda v Trnave</v>
          </cell>
          <cell r="M35" t="str">
            <v>UCM</v>
          </cell>
        </row>
        <row r="36">
          <cell r="K36">
            <v>708000000</v>
          </cell>
          <cell r="L36" t="str">
            <v>Univerzita veterinárskeho lekárstva a farmácie v Košiciach</v>
          </cell>
          <cell r="M36" t="str">
            <v>UVLF</v>
          </cell>
        </row>
        <row r="37">
          <cell r="K37">
            <v>733000000</v>
          </cell>
          <cell r="L37" t="str">
            <v>Vysoká škola bezpečnostného manažérstva v Košiciach</v>
          </cell>
          <cell r="M37" t="str">
            <v>VSBM</v>
          </cell>
        </row>
        <row r="38">
          <cell r="K38">
            <v>728000000</v>
          </cell>
          <cell r="L38" t="str">
            <v>Vysoká škola Danubius</v>
          </cell>
          <cell r="M38" t="str">
            <v>Danubius</v>
          </cell>
        </row>
        <row r="39">
          <cell r="K39">
            <v>731000000</v>
          </cell>
          <cell r="L39" t="str">
            <v>Vysoká škola DTI</v>
          </cell>
          <cell r="M39" t="str">
            <v>DTI</v>
          </cell>
        </row>
        <row r="40">
          <cell r="K40">
            <v>726000000</v>
          </cell>
          <cell r="L40" t="str">
            <v>Vysoká škola ekonómie a manažmentu verejnej správy v Bratislave</v>
          </cell>
          <cell r="M40" t="str">
            <v>VšEaM</v>
          </cell>
        </row>
        <row r="41">
          <cell r="K41">
            <v>936000000</v>
          </cell>
          <cell r="L41" t="str">
            <v>Vysoká škola filmovej tvorby a multimédií</v>
          </cell>
          <cell r="M41" t="str">
            <v>VSFTM</v>
          </cell>
        </row>
        <row r="42">
          <cell r="K42">
            <v>736000000</v>
          </cell>
          <cell r="L42" t="str">
            <v>Vysoká škola Goethe Uni Bratislava</v>
          </cell>
          <cell r="M42" t="str">
            <v>Gothe</v>
          </cell>
        </row>
        <row r="43">
          <cell r="K43">
            <v>793000000</v>
          </cell>
          <cell r="L43" t="str">
            <v>Vysoká škola hotelová v Praze 8, s. r. o.</v>
          </cell>
          <cell r="M43">
            <v>0</v>
          </cell>
        </row>
        <row r="44">
          <cell r="K44">
            <v>721000000</v>
          </cell>
          <cell r="L44" t="str">
            <v>Vysoká škola manažmentu v Trenčíne</v>
          </cell>
          <cell r="M44" t="str">
            <v>VSM-Trenčin</v>
          </cell>
        </row>
        <row r="45">
          <cell r="K45">
            <v>729000000</v>
          </cell>
          <cell r="L45" t="str">
            <v>Vysoká škola medzinárodného podnikania ISM Slovakia v Prešove</v>
          </cell>
          <cell r="M45" t="str">
            <v>ISM</v>
          </cell>
        </row>
        <row r="46">
          <cell r="K46">
            <v>791000000</v>
          </cell>
          <cell r="L46" t="str">
            <v>Vysoká škola medzinárodných a veřejných vztahů Praha, o. p. s.</v>
          </cell>
          <cell r="M46">
            <v>0</v>
          </cell>
        </row>
        <row r="47">
          <cell r="K47">
            <v>707000000</v>
          </cell>
          <cell r="L47" t="str">
            <v>Vysoká škola múzických umení v Bratislave</v>
          </cell>
          <cell r="M47" t="str">
            <v>VŠMU</v>
          </cell>
        </row>
        <row r="48">
          <cell r="K48">
            <v>728000000</v>
          </cell>
          <cell r="L48" t="str">
            <v>Vysoká škola v Sládkovičove</v>
          </cell>
          <cell r="M48" t="str">
            <v>VS-Sladk</v>
          </cell>
        </row>
        <row r="49">
          <cell r="K49">
            <v>706000000</v>
          </cell>
          <cell r="L49" t="str">
            <v>Vysoká škola výtvarných umení v Bratislave</v>
          </cell>
          <cell r="M49" t="str">
            <v>VŠVU</v>
          </cell>
        </row>
        <row r="50">
          <cell r="K50">
            <v>724000000</v>
          </cell>
          <cell r="L50" t="str">
            <v>Vysoká škola zdravotníctva a sociálnej práce sv. Alžbety v Bratislave</v>
          </cell>
          <cell r="M50" t="str">
            <v>VSZSP-Alžbety</v>
          </cell>
        </row>
        <row r="51">
          <cell r="K51">
            <v>710000000</v>
          </cell>
          <cell r="L51" t="str">
            <v>Žilinská univerzita v Žiline</v>
          </cell>
          <cell r="M51" t="str">
            <v>ŽU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  <sheetName val="Evidenč.počty zam. STU"/>
    </sheetNames>
    <sheetDataSet>
      <sheetData sheetId="0"/>
      <sheetData sheetId="1"/>
      <sheetData sheetId="2"/>
      <sheetData sheetId="3">
        <row r="5">
          <cell r="B5">
            <v>1</v>
          </cell>
        </row>
      </sheetData>
      <sheetData sheetId="4"/>
      <sheetData sheetId="5"/>
      <sheetData sheetId="6">
        <row r="4">
          <cell r="C4">
            <v>580046052</v>
          </cell>
        </row>
        <row r="69">
          <cell r="C69">
            <v>159428271</v>
          </cell>
        </row>
        <row r="80">
          <cell r="C80">
            <v>0.43</v>
          </cell>
        </row>
      </sheetData>
      <sheetData sheetId="7"/>
      <sheetData sheetId="8"/>
      <sheetData sheetId="9"/>
      <sheetData sheetId="10">
        <row r="1">
          <cell r="E1" t="str">
            <v>stupeň</v>
          </cell>
        </row>
      </sheetData>
      <sheetData sheetId="11"/>
      <sheetData sheetId="12">
        <row r="1">
          <cell r="L1" t="str">
            <v>den,ext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22.205261288144847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K3">
            <v>13387.319125</v>
          </cell>
        </row>
      </sheetData>
      <sheetData sheetId="31">
        <row r="14">
          <cell r="I14">
            <v>0.88288704465140244</v>
          </cell>
        </row>
      </sheetData>
      <sheetData sheetId="32">
        <row r="5">
          <cell r="I5">
            <v>24.056810313773912</v>
          </cell>
        </row>
      </sheetData>
      <sheetData sheetId="33"/>
      <sheetData sheetId="34"/>
      <sheetData sheetId="35">
        <row r="5">
          <cell r="E5">
            <v>21120969.530000001</v>
          </cell>
        </row>
      </sheetData>
      <sheetData sheetId="36"/>
      <sheetData sheetId="37">
        <row r="1">
          <cell r="A1" t="str">
            <v>17,12,2020</v>
          </cell>
        </row>
      </sheetData>
      <sheetData sheetId="38">
        <row r="1">
          <cell r="A1" t="str">
            <v>10,11,2020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C4">
            <v>25.018949026609555</v>
          </cell>
        </row>
      </sheetData>
      <sheetData sheetId="48">
        <row r="29">
          <cell r="G29">
            <v>6.2153807180309245E-2</v>
          </cell>
        </row>
      </sheetData>
      <sheetData sheetId="49"/>
      <sheetData sheetId="50"/>
      <sheetData sheetId="51">
        <row r="3">
          <cell r="K3">
            <v>735000000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4d-crš"/>
      <sheetName val="T11-sumár_ŠD"/>
      <sheetName val="T12-špecifiká"/>
      <sheetName val="T13-sumár-špec"/>
      <sheetName val="T14-VVZ"/>
      <sheetName val="T14a-KA"/>
      <sheetName val="T14aa-VVZ-6r"/>
      <sheetName val="T14b-podiely"/>
      <sheetName val="T14c-vstup_DG-ZG"/>
      <sheetName val="T14d-Drš"/>
      <sheetName val="T14e-tímy"/>
      <sheetName val="T14f-EIZ"/>
      <sheetName val="T15-štipendiá-soc"/>
      <sheetName val="T16-KIVČ"/>
      <sheetName val="T17-Klinické-Zahr_lek"/>
      <sheetName val="T18-Mot_štip"/>
      <sheetName val="T19-počty študentov"/>
      <sheetName val="T20-Publik"/>
      <sheetName val="T20a-CRUČ-sum"/>
      <sheetName val="T20b-CRUČ-data"/>
      <sheetName val="T21-Mobility"/>
      <sheetName val="T21a- mobility"/>
      <sheetName val="T21b-cudzinci"/>
      <sheetName val="T22-praxe"/>
      <sheetName val="T23-špecifické_potreby"/>
      <sheetName val="T24-rozvoj"/>
      <sheetName val="MS_RD_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2">
          <cell r="I12">
            <v>39.450354061837857</v>
          </cell>
        </row>
        <row r="13">
          <cell r="I13">
            <v>130.22751542652207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ulas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4" dT="2021-03-19T17:28:40.31" personId="{AC394CFA-8E8E-44FF-8CD4-189DC4092868}" id="{092E89CC-4E85-4707-9025-D7468C26452A}">
    <text>Aj s valorizáciou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1-02-12T20:56:28.15" personId="{AC394CFA-8E8E-44FF-8CD4-189DC4092868}" id="{1C51FB37-4E15-4F87-9E88-DF644CC0F23F}">
    <text>Stlpec L "Vyk. dot 2020" v zosite "Mzdy_2020_50,30,20" subor "Priloha_1_RD_2020_V6 (AS) - je to bez odvodov</text>
  </threadedComment>
  <threadedComment ref="D3" dT="2021-02-12T20:30:02.40" personId="{AC394CFA-8E8E-44FF-8CD4-189DC4092868}" id="{D1A7577B-FCBD-4D09-9460-71358FFF35D4}">
    <text>Stlpec L "Dot 2019bez ucel" v zosite "Mzdy_2019_50,30,20" subor "Priloha_1_RD_2019_V4 (AS) - je to bez odvodov</text>
  </threadedComment>
  <threadedComment ref="G3" dT="2021-02-12T20:59:07.45" personId="{AC394CFA-8E8E-44FF-8CD4-189DC4092868}" id="{05A48440-F436-4BC7-BE04-65B93C5A6930}">
    <text>Stlpec K "Vysled.SD20" v zosite "TaS_2020_50,30,20" subor "Priloha_1_RD_2020_V6 (AS)</text>
  </threadedComment>
  <threadedComment ref="H3" dT="2021-02-12T20:37:01.74" personId="{AC394CFA-8E8E-44FF-8CD4-189DC4092868}" id="{FD0C6DA7-D9E0-4875-AAEE-BF86C795318A}">
    <text>Stlpec K "Vysled.SD19" v zosite "TaS_2019_50,30,20" subor "Priloha_1_RD_2019_V4 (AS)</text>
  </threadedComment>
  <threadedComment ref="K3" dT="2021-02-12T21:02:13.38" personId="{AC394CFA-8E8E-44FF-8CD4-189DC4092868}" id="{448FA67C-50DA-40E6-A893-AB935C215EC8}">
    <text>Stlpec L "Vysledna dotacia 2019 dla" v zosite "077 12 rozpis" subor "Priloha_1_RD_2020_V6 (AS)</text>
  </threadedComment>
  <threadedComment ref="L3" dT="2021-02-12T20:43:04.21" personId="{AC394CFA-8E8E-44FF-8CD4-189DC4092868}" id="{A932612E-405C-461A-8607-0C7AC9F71681}">
    <text>Stlpec L "Vysledna dotacia 2019" v zosite "077 12 rozpis" subor "Priloha_1_RD_2019_V4 (AS)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27" dT="2021-03-04T06:28:00.18" personId="{AC394CFA-8E8E-44FF-8CD4-189DC4092868}" id="{D3C8557A-3356-4D2A-AB22-11A21FB93295}">
    <text>Zatial nevieme, ale da sa kedykolvek dosadit</text>
  </threadedComment>
  <threadedComment ref="H28" dT="2021-03-04T06:15:40.57" personId="{AC394CFA-8E8E-44FF-8CD4-189DC4092868}" id="{DF35DEB7-6526-4E0A-AE10-013848B18932}">
    <text>Podľa koeficientu pre STU z RD2021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B3" dT="2021-02-18T15:42:43.68" personId="{AC394CFA-8E8E-44FF-8CD4-189DC4092868}" id="{5575919A-E0FB-4918-A258-F39E13002D10}">
    <text>Podla realnych podielov</text>
  </threadedComment>
  <threadedComment ref="AL40" dT="2021-02-13T13:36:34.45" personId="{AC394CFA-8E8E-44FF-8CD4-189DC4092868}" id="{9CB3AF9A-B59A-45B2-91A7-2A1867BB8713}">
    <text>+ Valorizacia 1,797,568,-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49" dT="2021-02-13T20:20:24.57" personId="{AC394CFA-8E8E-44FF-8CD4-189DC4092868}" id="{1F705885-83D1-4BA2-80BC-89F39EFA044A}">
    <text>Za 2017 este nebolo oddelene UVP a UM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Y28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P13" sqref="P13"/>
    </sheetView>
  </sheetViews>
  <sheetFormatPr defaultColWidth="9.28515625" defaultRowHeight="12.75" x14ac:dyDescent="0.2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2" style="355" customWidth="1"/>
    <col min="20" max="20" width="14.7109375" style="355" hidden="1" customWidth="1"/>
    <col min="21" max="21" width="13.5703125" style="355" hidden="1" customWidth="1"/>
    <col min="22" max="22" width="14.42578125" style="355" hidden="1" customWidth="1"/>
    <col min="23" max="23" width="8.42578125" style="355" customWidth="1"/>
    <col min="24" max="24" width="7.5703125" style="355" customWidth="1"/>
    <col min="25" max="16384" width="9.28515625" style="355"/>
  </cols>
  <sheetData>
    <row r="1" spans="1:25" ht="47.65" customHeight="1" x14ac:dyDescent="0.2">
      <c r="B1" s="1287" t="s">
        <v>440</v>
      </c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  <c r="S1" s="1287"/>
    </row>
    <row r="2" spans="1:25" s="361" customFormat="1" ht="13.5" thickBot="1" x14ac:dyDescent="0.25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  <c r="S2" s="367"/>
    </row>
    <row r="3" spans="1:25" ht="38.25" customHeight="1" thickBot="1" x14ac:dyDescent="0.25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388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22" t="s">
        <v>246</v>
      </c>
      <c r="N3" s="378" t="s">
        <v>360</v>
      </c>
      <c r="O3" s="379" t="s">
        <v>209</v>
      </c>
      <c r="P3" s="380" t="s">
        <v>415</v>
      </c>
      <c r="Q3" s="380" t="s">
        <v>452</v>
      </c>
      <c r="R3" s="380" t="s">
        <v>16</v>
      </c>
      <c r="S3" s="432" t="s">
        <v>229</v>
      </c>
      <c r="T3" s="368"/>
      <c r="U3" s="368"/>
      <c r="V3" s="368"/>
    </row>
    <row r="4" spans="1:25" ht="11.65" customHeight="1" thickBot="1" x14ac:dyDescent="0.25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  <c r="S4" s="433"/>
    </row>
    <row r="5" spans="1:25" ht="29.65" customHeight="1" thickBot="1" x14ac:dyDescent="0.25">
      <c r="B5" s="381" t="s">
        <v>214</v>
      </c>
      <c r="C5" s="446">
        <f>C6+C14+C19</f>
        <v>69123752.502000004</v>
      </c>
      <c r="D5" s="383">
        <f t="shared" ref="D5:R5" si="0">D6+D14+D18+D19</f>
        <v>4094480.0512003209</v>
      </c>
      <c r="E5" s="382">
        <f t="shared" si="0"/>
        <v>11825745.582363179</v>
      </c>
      <c r="F5" s="383">
        <f t="shared" si="0"/>
        <v>11608075.821417915</v>
      </c>
      <c r="G5" s="382">
        <f t="shared" si="0"/>
        <v>4012329.9449325306</v>
      </c>
      <c r="H5" s="383">
        <f t="shared" si="0"/>
        <v>8458059.581566982</v>
      </c>
      <c r="I5" s="382">
        <f t="shared" si="0"/>
        <v>11512477.217743983</v>
      </c>
      <c r="J5" s="383">
        <f t="shared" si="0"/>
        <v>4507382.3507656278</v>
      </c>
      <c r="K5" s="382">
        <f t="shared" si="0"/>
        <v>964883.6993782525</v>
      </c>
      <c r="L5" s="383">
        <f t="shared" si="0"/>
        <v>232117.42102776631</v>
      </c>
      <c r="M5" s="382">
        <f t="shared" si="0"/>
        <v>57215551.670396566</v>
      </c>
      <c r="N5" s="383">
        <f t="shared" si="0"/>
        <v>4390450.1571590025</v>
      </c>
      <c r="O5" s="382">
        <f t="shared" si="0"/>
        <v>2976577.15</v>
      </c>
      <c r="P5" s="383">
        <f t="shared" si="0"/>
        <v>1856296.8224444445</v>
      </c>
      <c r="Q5" s="382">
        <f t="shared" si="0"/>
        <v>2684877.03</v>
      </c>
      <c r="R5" s="382">
        <f t="shared" si="0"/>
        <v>69123752.829999998</v>
      </c>
      <c r="S5" s="434">
        <v>68916709</v>
      </c>
    </row>
    <row r="6" spans="1:25" ht="30" customHeight="1" thickBot="1" x14ac:dyDescent="0.25">
      <c r="B6" s="865" t="s">
        <v>215</v>
      </c>
      <c r="C6" s="866">
        <f>C7+C10+C11+C12</f>
        <v>37922800.502000004</v>
      </c>
      <c r="D6" s="867">
        <f>SUM(D8:D13)</f>
        <v>2915707.1220689816</v>
      </c>
      <c r="E6" s="868">
        <f t="shared" ref="E6:L6" si="1">SUM(E8:E13)</f>
        <v>6255639.6157673057</v>
      </c>
      <c r="F6" s="867">
        <f t="shared" si="1"/>
        <v>6354269.7973671835</v>
      </c>
      <c r="G6" s="868">
        <f t="shared" si="1"/>
        <v>3050081.4308382692</v>
      </c>
      <c r="H6" s="867">
        <f t="shared" si="1"/>
        <v>5234075.5710581904</v>
      </c>
      <c r="I6" s="868">
        <f t="shared" si="1"/>
        <v>6847736.7278748732</v>
      </c>
      <c r="J6" s="867">
        <f t="shared" si="1"/>
        <v>2649138.7871299852</v>
      </c>
      <c r="K6" s="868">
        <f t="shared" si="1"/>
        <v>500230.29635422968</v>
      </c>
      <c r="L6" s="867">
        <f t="shared" si="1"/>
        <v>91199.169556501089</v>
      </c>
      <c r="M6" s="868">
        <f>SUM(M8:M13)</f>
        <v>33898078.518015519</v>
      </c>
      <c r="N6" s="867">
        <f t="shared" ref="N6:R6" si="2">SUM(N8:N13)</f>
        <v>2785020.4059844846</v>
      </c>
      <c r="O6" s="868">
        <f t="shared" si="2"/>
        <v>0.03</v>
      </c>
      <c r="P6" s="867">
        <f t="shared" si="2"/>
        <v>1159701.878</v>
      </c>
      <c r="Q6" s="868">
        <f t="shared" si="2"/>
        <v>80000.03</v>
      </c>
      <c r="R6" s="868">
        <f t="shared" si="2"/>
        <v>37922800.862000003</v>
      </c>
      <c r="S6" s="869">
        <v>37953044</v>
      </c>
    </row>
    <row r="7" spans="1:25" ht="20.100000000000001" customHeight="1" thickTop="1" x14ac:dyDescent="0.2">
      <c r="B7" s="860" t="s">
        <v>216</v>
      </c>
      <c r="C7" s="861">
        <f>C8</f>
        <v>23429936</v>
      </c>
      <c r="D7" s="862">
        <f>SUM(D8:D9)</f>
        <v>1885998.7591613214</v>
      </c>
      <c r="E7" s="863">
        <f t="shared" ref="E7:L7" si="3">SUM(E8:E9)</f>
        <v>4045477.9680612241</v>
      </c>
      <c r="F7" s="862">
        <f t="shared" si="3"/>
        <v>4218089.952039605</v>
      </c>
      <c r="G7" s="863">
        <f t="shared" si="3"/>
        <v>1906392.3175412456</v>
      </c>
      <c r="H7" s="862">
        <f t="shared" si="3"/>
        <v>3369062.0760990572</v>
      </c>
      <c r="I7" s="863">
        <f t="shared" si="3"/>
        <v>4447578.6400114503</v>
      </c>
      <c r="J7" s="862">
        <f t="shared" si="3"/>
        <v>1668311.9773288378</v>
      </c>
      <c r="K7" s="863">
        <f t="shared" si="3"/>
        <v>325729.85485703562</v>
      </c>
      <c r="L7" s="862">
        <f t="shared" si="3"/>
        <v>67070.454900226221</v>
      </c>
      <c r="M7" s="863">
        <f>SUM(D7:L7)</f>
        <v>21933712</v>
      </c>
      <c r="N7" s="862">
        <f t="shared" ref="N7:Q7" si="4">SUM(N8:N9)</f>
        <v>1350000</v>
      </c>
      <c r="O7" s="863">
        <f t="shared" si="4"/>
        <v>0</v>
      </c>
      <c r="P7" s="862">
        <f t="shared" si="4"/>
        <v>146224</v>
      </c>
      <c r="Q7" s="863">
        <f t="shared" si="4"/>
        <v>0</v>
      </c>
      <c r="R7" s="863">
        <f>SUM(M7:Q7)</f>
        <v>23429936</v>
      </c>
      <c r="S7" s="864">
        <v>23571233</v>
      </c>
    </row>
    <row r="8" spans="1:25" ht="20.100000000000001" customHeight="1" x14ac:dyDescent="0.2">
      <c r="B8" s="854" t="s">
        <v>354</v>
      </c>
      <c r="C8" s="853">
        <v>23429936</v>
      </c>
      <c r="D8" s="851">
        <f>'5. TM_%'!E5*'3. R-STU'!$F$19</f>
        <v>1885998.7591613214</v>
      </c>
      <c r="E8" s="389">
        <f>'5. TM_%'!E6*'3. R-STU'!$F$19</f>
        <v>4031077.9680612241</v>
      </c>
      <c r="F8" s="851">
        <f>'5. TM_%'!E7*'3. R-STU'!$F$19</f>
        <v>4218089.952039605</v>
      </c>
      <c r="G8" s="389">
        <f>'5. TM_%'!E8*'3. R-STU'!$F$19</f>
        <v>1891992.3175412456</v>
      </c>
      <c r="H8" s="851">
        <f>'5. TM_%'!E11*'3. R-STU'!$F$19</f>
        <v>3354662.0760990572</v>
      </c>
      <c r="I8" s="389">
        <f>'5. TM_%'!E9*'3. R-STU'!$F$19</f>
        <v>4433178.6400114503</v>
      </c>
      <c r="J8" s="851">
        <f>'5. TM_%'!E10*'3. R-STU'!$F$19</f>
        <v>1668311.9773288378</v>
      </c>
      <c r="K8" s="389">
        <f>'5. TM_%'!E12*'3. R-STU'!$F$19</f>
        <v>325729.85485703562</v>
      </c>
      <c r="L8" s="851">
        <f>'5. TM_%'!E13*'3. R-STU'!$F$19</f>
        <v>67070.454900226221</v>
      </c>
      <c r="M8" s="389">
        <f t="shared" ref="M8:M9" si="5">SUM(D8:L8)</f>
        <v>21876112</v>
      </c>
      <c r="N8" s="851">
        <f>'5. TM_%'!E14*'3. R-STU'!$F$19</f>
        <v>0</v>
      </c>
      <c r="O8" s="389">
        <v>0</v>
      </c>
      <c r="P8" s="851">
        <v>0</v>
      </c>
      <c r="Q8" s="1102"/>
      <c r="R8" s="389">
        <f>SUM(M8:Q8)</f>
        <v>21876112</v>
      </c>
      <c r="S8" s="435">
        <v>23571233</v>
      </c>
    </row>
    <row r="9" spans="1:25" ht="20.100000000000001" customHeight="1" x14ac:dyDescent="0.2">
      <c r="B9" s="855" t="s">
        <v>210</v>
      </c>
      <c r="C9" s="857" t="s">
        <v>355</v>
      </c>
      <c r="D9" s="851">
        <f>SUMIFS('4. Aktivity'!$B$4:$B$114,'4. Aktivity'!$D$4:$D$114,"fad",'4. Aktivity'!$C$4:$C$114,"M")</f>
        <v>0</v>
      </c>
      <c r="E9" s="389">
        <f>SUMIFS('4. Aktivity'!$B$4:$B$114,'4. Aktivity'!$D$4:$D$114,"fei",'4. Aktivity'!$C$4:$C$114,"M")</f>
        <v>14400</v>
      </c>
      <c r="F9" s="851">
        <f>SUMIFS('4. Aktivity'!$B$4:$B$114,'4. Aktivity'!$D$4:$D$114,"fchpt",'4. Aktivity'!$C$4:$C$114,"M")</f>
        <v>0</v>
      </c>
      <c r="G9" s="389">
        <f>SUMIFS('4. Aktivity'!$B$4:$B$114,'4. Aktivity'!$D$4:$D$114,"fiit",'4. Aktivity'!$C$4:$C$114,"M")</f>
        <v>14400</v>
      </c>
      <c r="H9" s="851">
        <f>SUMIFS('4. Aktivity'!$B$4:$B$114,'4. Aktivity'!$D$4:$D$114,"mtf",'4. Aktivity'!$C$4:$C$114,"M")</f>
        <v>14400</v>
      </c>
      <c r="I9" s="389">
        <f>SUMIFS('4. Aktivity'!$B$4:$B$114,'4. Aktivity'!$D$4:$D$114,"svf",'4. Aktivity'!$C$4:$C$114,"M")</f>
        <v>14400</v>
      </c>
      <c r="J9" s="851">
        <f>SUMIFS('4. Aktivity'!$B$4:$B$114,'4. Aktivity'!$D$4:$D$114,"sjf",'4. Aktivity'!$C$4:$C$114,"M")</f>
        <v>0</v>
      </c>
      <c r="K9" s="389">
        <f>SUMIFS('4. Aktivity'!$B$4:$B$114,'4. Aktivity'!$D$4:$D$114,"um",'4. Aktivity'!$C$4:$C$114,"M")</f>
        <v>0</v>
      </c>
      <c r="L9" s="851">
        <f>SUMIFS('4. Aktivity'!$B$4:$B$114,'4. Aktivity'!$D$4:$D$114,"nc",'4. Aktivity'!$C$4:$C$114,"M")</f>
        <v>0</v>
      </c>
      <c r="M9" s="389">
        <f t="shared" si="5"/>
        <v>57600</v>
      </c>
      <c r="N9" s="851">
        <f>SUMIFS('3. R-STU'!$C$5:$C$14,'3. R-STU'!$E$5:$E$14,"rek",'3. R-STU'!$D$5:$D$14,"M")</f>
        <v>1350000</v>
      </c>
      <c r="O9" s="389">
        <f>SUMIFS('3. R-STU'!$C$5:$C$10,'3. R-STU'!$E$5:$E$10,"sd",'3. R-STU'!$D$5:$D$10,"M")</f>
        <v>0</v>
      </c>
      <c r="P9" s="851">
        <f>SUMIFS('4. Aktivity'!$B$4:$B$114,'4. Aktivity'!$D$4:$D$114,"stu",'4. Aktivity'!$C$4:$C$114,"M")</f>
        <v>146224</v>
      </c>
      <c r="Q9" s="1102">
        <f>SUMIFS('4. Aktivity'!$B$4:$B$114,'4. Aktivity'!$D$4:$D$114,"f",'4. Aktivity'!$C$4:$C$114,"M")</f>
        <v>0</v>
      </c>
      <c r="R9" s="389">
        <f>SUM(M9:Q9)</f>
        <v>1553824</v>
      </c>
      <c r="S9" s="852">
        <v>1579223</v>
      </c>
    </row>
    <row r="10" spans="1:25" ht="20.100000000000001" customHeight="1" thickBot="1" x14ac:dyDescent="0.25">
      <c r="B10" s="871" t="s">
        <v>232</v>
      </c>
      <c r="C10" s="872">
        <f>C8*0.352+0.03</f>
        <v>8247337.5019999994</v>
      </c>
      <c r="D10" s="873">
        <f>D7*0.352+$U10</f>
        <v>663871.59322478517</v>
      </c>
      <c r="E10" s="874">
        <f t="shared" ref="E10:Q10" si="6">E7*0.352+$U10</f>
        <v>1424008.2747575508</v>
      </c>
      <c r="F10" s="873">
        <f t="shared" si="6"/>
        <v>1484767.6931179408</v>
      </c>
      <c r="G10" s="874">
        <f t="shared" si="6"/>
        <v>671050.12577451847</v>
      </c>
      <c r="H10" s="873">
        <f t="shared" si="6"/>
        <v>1185909.880786868</v>
      </c>
      <c r="I10" s="874">
        <f t="shared" si="6"/>
        <v>1565547.7112840305</v>
      </c>
      <c r="J10" s="873">
        <f t="shared" si="6"/>
        <v>587245.84601975093</v>
      </c>
      <c r="K10" s="874">
        <f t="shared" si="6"/>
        <v>114656.93890967654</v>
      </c>
      <c r="L10" s="873">
        <f t="shared" si="6"/>
        <v>23608.830124879627</v>
      </c>
      <c r="M10" s="874">
        <f>SUM(D10:L10)</f>
        <v>7720666.8940000003</v>
      </c>
      <c r="N10" s="873">
        <f t="shared" si="6"/>
        <v>475200.03</v>
      </c>
      <c r="O10" s="874">
        <f t="shared" si="6"/>
        <v>0.03</v>
      </c>
      <c r="P10" s="873">
        <f t="shared" si="6"/>
        <v>51470.877999999997</v>
      </c>
      <c r="Q10" s="874">
        <f t="shared" si="6"/>
        <v>0.03</v>
      </c>
      <c r="R10" s="874">
        <f>SUM(M10:Q10)</f>
        <v>8247337.8620000007</v>
      </c>
      <c r="S10" s="875">
        <v>8297074</v>
      </c>
      <c r="U10" s="355">
        <v>0.03</v>
      </c>
    </row>
    <row r="11" spans="1:25" ht="19.350000000000001" customHeight="1" thickTop="1" x14ac:dyDescent="0.2">
      <c r="B11" s="870" t="s">
        <v>231</v>
      </c>
      <c r="C11" s="861">
        <v>6152772</v>
      </c>
      <c r="D11" s="862">
        <f>'5. TM_%'!I5*'3. R-STU'!$F$20</f>
        <v>365836.76968287484</v>
      </c>
      <c r="E11" s="863">
        <f>'5. TM_%'!I6*'3. R-STU'!$F$20</f>
        <v>786153.37294853094</v>
      </c>
      <c r="F11" s="862">
        <f>'5. TM_%'!I7*'3. R-STU'!$F$20</f>
        <v>651412.15220963757</v>
      </c>
      <c r="G11" s="863">
        <f>'5. TM_%'!I8*'3. R-STU'!$F$20</f>
        <v>472638.98752250522</v>
      </c>
      <c r="H11" s="862">
        <f>'5. TM_%'!I11*'3. R-STU'!$F$20</f>
        <v>679103.61417226517</v>
      </c>
      <c r="I11" s="863">
        <f>'5. TM_%'!I9*'3. R-STU'!$F$20</f>
        <v>834610.37657939293</v>
      </c>
      <c r="J11" s="862">
        <f>'5. TM_%'!I10*'3. R-STU'!$F$20</f>
        <v>334580.96378139651</v>
      </c>
      <c r="K11" s="863">
        <f>'5. TM_%'!I12*'3. R-STU'!$F$20</f>
        <v>59843.502587517505</v>
      </c>
      <c r="L11" s="862">
        <f>'5. TM_%'!I13*'3. R-STU'!$F$20</f>
        <v>519.88453139525257</v>
      </c>
      <c r="M11" s="863">
        <f t="shared" ref="M11:M13" si="7">SUM(D11:L11)</f>
        <v>4184699.6240155157</v>
      </c>
      <c r="N11" s="862">
        <f>'5. TM_%'!I14*'3. R-STU'!$F$20</f>
        <v>79820.375984484752</v>
      </c>
      <c r="O11" s="863"/>
      <c r="P11" s="862"/>
      <c r="Q11" s="863"/>
      <c r="R11" s="863">
        <f t="shared" ref="R11:R17" si="8">SUM(M11:Q11)</f>
        <v>4264520</v>
      </c>
      <c r="S11" s="864">
        <v>6084737</v>
      </c>
    </row>
    <row r="12" spans="1:25" ht="19.350000000000001" customHeight="1" x14ac:dyDescent="0.2">
      <c r="B12" s="855" t="s">
        <v>230</v>
      </c>
      <c r="C12" s="853">
        <v>92755</v>
      </c>
      <c r="D12" s="388">
        <v>0</v>
      </c>
      <c r="E12" s="389">
        <v>0</v>
      </c>
      <c r="F12" s="388">
        <v>0</v>
      </c>
      <c r="G12" s="389">
        <v>0</v>
      </c>
      <c r="H12" s="388">
        <v>0</v>
      </c>
      <c r="I12" s="389">
        <v>0</v>
      </c>
      <c r="J12" s="388">
        <v>59000</v>
      </c>
      <c r="K12" s="389">
        <v>0</v>
      </c>
      <c r="L12" s="388">
        <v>0</v>
      </c>
      <c r="M12" s="389">
        <f t="shared" si="7"/>
        <v>59000</v>
      </c>
      <c r="N12" s="388">
        <v>0</v>
      </c>
      <c r="O12" s="389">
        <v>0</v>
      </c>
      <c r="P12" s="388">
        <v>33755</v>
      </c>
      <c r="Q12" s="1102"/>
      <c r="R12" s="389">
        <f t="shared" si="8"/>
        <v>92755</v>
      </c>
      <c r="S12" s="435">
        <v>193566</v>
      </c>
    </row>
    <row r="13" spans="1:25" ht="19.350000000000001" customHeight="1" thickBot="1" x14ac:dyDescent="0.25">
      <c r="B13" s="856" t="s">
        <v>210</v>
      </c>
      <c r="C13" s="858" t="s">
        <v>355</v>
      </c>
      <c r="D13" s="393">
        <f>SUMIFS('4. Aktivity'!$B$4:$B$114,'4. Aktivity'!$D$4:$D$114,"fad",'4. Aktivity'!$C$4:$C$114,"T")</f>
        <v>0</v>
      </c>
      <c r="E13" s="394">
        <f>SUMIFS('4. Aktivity'!$B$4:$B$114,'4. Aktivity'!$D$4:$D$114,"fei",'4. Aktivity'!$C$4:$C$114,"T")</f>
        <v>0</v>
      </c>
      <c r="F13" s="393">
        <f>SUMIFS('4. Aktivity'!$B$4:$B$114,'4. Aktivity'!$D$4:$D$114,"fchpt",'4. Aktivity'!$C$4:$C$114,"T")</f>
        <v>0</v>
      </c>
      <c r="G13" s="394">
        <f>SUMIFS('4. Aktivity'!$B$4:$B$114,'4. Aktivity'!$D$4:$D$114,"fiit",'4. Aktivity'!$C$4:$C$114,"T")</f>
        <v>0</v>
      </c>
      <c r="H13" s="393">
        <f>SUMIFS('4. Aktivity'!$B$4:$B$114,'4. Aktivity'!$D$4:$D$114,"mtf",'4. Aktivity'!$C$4:$C$114,"T")</f>
        <v>0</v>
      </c>
      <c r="I13" s="394">
        <f>SUMIFS('4. Aktivity'!$B$4:$B$114,'4. Aktivity'!$D$4:$D$114,"svf",'4. Aktivity'!$C$4:$C$114,"T")</f>
        <v>0</v>
      </c>
      <c r="J13" s="393">
        <f>SUMIFS('4. Aktivity'!$B$4:$B$114,'4. Aktivity'!$D$4:$D$114,"sjf",'4. Aktivity'!$C$4:$C$114,"T")</f>
        <v>0</v>
      </c>
      <c r="K13" s="394">
        <f>SUMIFS('4. Aktivity'!$B$4:$B$114,'4. Aktivity'!$D$4:$D$114,"um",'4. Aktivity'!$C$4:$C$114,"T")</f>
        <v>0</v>
      </c>
      <c r="L13" s="393">
        <f>SUMIFS('4. Aktivity'!$B$4:$B$114,'4. Aktivity'!$D$4:$D$114,"nc",'4. Aktivity'!$C$4:$C$114,"T")</f>
        <v>0</v>
      </c>
      <c r="M13" s="394">
        <f t="shared" si="7"/>
        <v>0</v>
      </c>
      <c r="N13" s="393">
        <f>SUMIFS('3. R-STU'!$C$5:$C$14,'3. R-STU'!$E$5:$E$14,"rek",'3. R-STU'!$D$5:$D$14,"T")</f>
        <v>880000</v>
      </c>
      <c r="O13" s="394">
        <f>SUMIFS('3. R-STU'!$C$5:$C$10,'3. R-STU'!$E$5:$E$10,"sd",'3. R-STU'!$D$5:$D$10,"T")</f>
        <v>0</v>
      </c>
      <c r="P13" s="393">
        <f>SUMIFS('4. Aktivity'!$B$4:$B$114,'4. Aktivity'!$D$4:$D$114,"stu",'4. Aktivity'!$C$4:$C$114,"T")</f>
        <v>928252</v>
      </c>
      <c r="Q13" s="394">
        <f>SUMIFS('4. Aktivity'!$B$4:$B$114,'4. Aktivity'!$D$4:$D$114,"f",'4. Aktivity'!$C$4:$C$114,"T")</f>
        <v>80000</v>
      </c>
      <c r="R13" s="394">
        <f t="shared" si="8"/>
        <v>1888252</v>
      </c>
      <c r="S13" s="436">
        <v>971250</v>
      </c>
    </row>
    <row r="14" spans="1:25" ht="30" customHeight="1" thickBot="1" x14ac:dyDescent="0.25">
      <c r="B14" s="881" t="s">
        <v>217</v>
      </c>
      <c r="C14" s="882">
        <f>C15+C16</f>
        <v>25292395</v>
      </c>
      <c r="D14" s="883">
        <f>SUM(D15:D17)</f>
        <v>1109576.5485158828</v>
      </c>
      <c r="E14" s="884">
        <f t="shared" ref="E14:Q14" si="9">SUM(E15:E17)</f>
        <v>5041096.2303412268</v>
      </c>
      <c r="F14" s="883">
        <f t="shared" si="9"/>
        <v>4994453.3270327514</v>
      </c>
      <c r="G14" s="884">
        <f t="shared" si="9"/>
        <v>705870.85278165305</v>
      </c>
      <c r="H14" s="883">
        <f t="shared" si="9"/>
        <v>2169522.4024594794</v>
      </c>
      <c r="I14" s="884">
        <f t="shared" si="9"/>
        <v>4206336.1119031105</v>
      </c>
      <c r="J14" s="883">
        <f t="shared" si="9"/>
        <v>1698519.8289712693</v>
      </c>
      <c r="K14" s="884">
        <f t="shared" si="9"/>
        <v>457494.6953488444</v>
      </c>
      <c r="L14" s="883">
        <f t="shared" si="9"/>
        <v>140918.25147126522</v>
      </c>
      <c r="M14" s="884">
        <f t="shared" si="9"/>
        <v>20523788.248825487</v>
      </c>
      <c r="N14" s="883">
        <f t="shared" si="9"/>
        <v>1605429.7511745179</v>
      </c>
      <c r="O14" s="884">
        <f t="shared" si="9"/>
        <v>0</v>
      </c>
      <c r="P14" s="883">
        <f t="shared" si="9"/>
        <v>578300</v>
      </c>
      <c r="Q14" s="884">
        <f t="shared" si="9"/>
        <v>2584877</v>
      </c>
      <c r="R14" s="884">
        <f t="shared" si="8"/>
        <v>25292395.000000004</v>
      </c>
      <c r="S14" s="885">
        <v>24327966</v>
      </c>
    </row>
    <row r="15" spans="1:25" ht="18" customHeight="1" thickTop="1" x14ac:dyDescent="0.2">
      <c r="B15" s="876" t="s">
        <v>218</v>
      </c>
      <c r="C15" s="877">
        <v>25131702</v>
      </c>
      <c r="D15" s="878">
        <f>'5. TM_%'!M5*'3. R-STU'!$F$21</f>
        <v>1109576.5485158828</v>
      </c>
      <c r="E15" s="879">
        <f>'5. TM_%'!M6*'3. R-STU'!$F$21</f>
        <v>5015988.2303412268</v>
      </c>
      <c r="F15" s="878">
        <f>'5. TM_%'!M7*'3. R-STU'!$F$21</f>
        <v>4919128.3270327514</v>
      </c>
      <c r="G15" s="879">
        <f>'5. TM_%'!M8*'3. R-STU'!$F$21</f>
        <v>705870.85278165305</v>
      </c>
      <c r="H15" s="878">
        <f>'5. TM_%'!M11*'3. R-STU'!$F$21</f>
        <v>2169522.4024594794</v>
      </c>
      <c r="I15" s="879">
        <f>'5. TM_%'!M9*'3. R-STU'!$F$21</f>
        <v>4146076.1119031105</v>
      </c>
      <c r="J15" s="878">
        <f>'5. TM_%'!M10*'3. R-STU'!$F$21</f>
        <v>1698519.8289712693</v>
      </c>
      <c r="K15" s="879">
        <f>'5. TM_%'!M12*'3. R-STU'!$F$21</f>
        <v>457494.6953488444</v>
      </c>
      <c r="L15" s="878">
        <f>'5. TM_%'!M13*'3. R-STU'!$F$21</f>
        <v>140918.25147126522</v>
      </c>
      <c r="M15" s="879">
        <f t="shared" ref="M15:M17" si="10">SUM(D15:L15)</f>
        <v>20363095.248825487</v>
      </c>
      <c r="N15" s="878">
        <f>'5. TM_%'!M14*'3. R-STU'!$F$21</f>
        <v>50629.751174518024</v>
      </c>
      <c r="O15" s="879">
        <v>0</v>
      </c>
      <c r="P15" s="878">
        <v>0</v>
      </c>
      <c r="Q15" s="879"/>
      <c r="R15" s="879">
        <f t="shared" si="8"/>
        <v>20413725.000000004</v>
      </c>
      <c r="S15" s="880">
        <v>24175966</v>
      </c>
    </row>
    <row r="16" spans="1:25" s="360" customFormat="1" ht="17.100000000000001" customHeight="1" x14ac:dyDescent="0.2">
      <c r="A16" s="355"/>
      <c r="B16" s="398" t="s">
        <v>230</v>
      </c>
      <c r="C16" s="452">
        <v>160693</v>
      </c>
      <c r="D16" s="400">
        <v>0</v>
      </c>
      <c r="E16" s="399">
        <v>25108</v>
      </c>
      <c r="F16" s="400">
        <v>75325</v>
      </c>
      <c r="G16" s="399">
        <v>0</v>
      </c>
      <c r="H16" s="400">
        <v>0</v>
      </c>
      <c r="I16" s="399">
        <v>60260</v>
      </c>
      <c r="J16" s="400">
        <v>0</v>
      </c>
      <c r="K16" s="399">
        <v>0</v>
      </c>
      <c r="L16" s="400">
        <v>0</v>
      </c>
      <c r="M16" s="399">
        <f t="shared" si="10"/>
        <v>160693</v>
      </c>
      <c r="N16" s="400">
        <v>0</v>
      </c>
      <c r="O16" s="399">
        <v>0</v>
      </c>
      <c r="P16" s="400">
        <v>0</v>
      </c>
      <c r="Q16" s="1103"/>
      <c r="R16" s="399">
        <f t="shared" si="8"/>
        <v>160693</v>
      </c>
      <c r="S16" s="437">
        <v>152000</v>
      </c>
      <c r="Y16" s="355"/>
    </row>
    <row r="17" spans="2:25" s="360" customFormat="1" ht="17.100000000000001" customHeight="1" thickBot="1" x14ac:dyDescent="0.25">
      <c r="B17" s="401" t="s">
        <v>210</v>
      </c>
      <c r="C17" s="859" t="s">
        <v>355</v>
      </c>
      <c r="D17" s="402">
        <f>SUMIFS('4. Aktivity'!$B$4:$B$114,'4. Aktivity'!$D$4:$D$114,"fad",'4. Aktivity'!$C$4:$C$114,"V")</f>
        <v>0</v>
      </c>
      <c r="E17" s="403">
        <f>SUMIFS('4. Aktivity'!$B$4:$B$114,'4. Aktivity'!$D$4:$D$114,"fei",'4. Aktivity'!$C$4:$C$114,"V")</f>
        <v>0</v>
      </c>
      <c r="F17" s="402">
        <f>SUMIFS('4. Aktivity'!$B$4:$B$114,'4. Aktivity'!$D$4:$D$114,"fchpt",'4. Aktivity'!$C$4:$C$114,"V")</f>
        <v>0</v>
      </c>
      <c r="G17" s="403">
        <f>SUMIFS('4. Aktivity'!$B$4:$B$114,'4. Aktivity'!$D$4:$D$114,"fiit",'4. Aktivity'!$C$4:$C$114,"V")</f>
        <v>0</v>
      </c>
      <c r="H17" s="402">
        <f>SUMIFS('4. Aktivity'!$B$4:$B$114,'4. Aktivity'!$D$4:$D$114,"mtf",'4. Aktivity'!$C$4:$C$114,"V")</f>
        <v>0</v>
      </c>
      <c r="I17" s="403">
        <f>SUMIFS('4. Aktivity'!$B$4:$B$114,'4. Aktivity'!$D$4:$D$114,"svf",'4. Aktivity'!$C$4:$C$114,"V")</f>
        <v>0</v>
      </c>
      <c r="J17" s="402">
        <f>SUMIFS('4. Aktivity'!$B$4:$B$114,'4. Aktivity'!$D$4:$D$114,"sjf",'4. Aktivity'!$C$4:$C$114,"V")</f>
        <v>0</v>
      </c>
      <c r="K17" s="403">
        <f>SUMIFS('4. Aktivity'!$B$4:$B$114,'4. Aktivity'!$D$4:$D$114,"um",'4. Aktivity'!$C$4:$C$114,"V")</f>
        <v>0</v>
      </c>
      <c r="L17" s="402">
        <f>SUMIFS('4. Aktivity'!$B$4:$B$114,'4. Aktivity'!$D$4:$D$114,"nc",'4. Aktivity'!$C$4:$C$114,"V")</f>
        <v>0</v>
      </c>
      <c r="M17" s="457">
        <f t="shared" si="10"/>
        <v>0</v>
      </c>
      <c r="N17" s="402">
        <f>SUMIFS('3. R-STU'!$C$5:$C$14,'3. R-STU'!$E$5:$E$14,"rek",'3. R-STU'!$D$5:$D$14,"V")</f>
        <v>1554800</v>
      </c>
      <c r="O17" s="403">
        <f>SUMIFS('3. R-STU'!$C$5:$C$10,'3. R-STU'!$E$5:$E$10,"sd",'3. R-STU'!$D$5:$D$10,"V")</f>
        <v>0</v>
      </c>
      <c r="P17" s="402">
        <f>SUMIFS('4. Aktivity'!$B$4:$B$114,'4. Aktivity'!$D$4:$D$114,"stu",'4. Aktivity'!$C$4:$C$114,"V")</f>
        <v>578300</v>
      </c>
      <c r="Q17" s="403">
        <f>SUMIFS('4. Aktivity'!$B$4:$B$114,'4. Aktivity'!$D$4:$D$114,"f",'4. Aktivity'!$C$4:$C$114,"V")</f>
        <v>2584877</v>
      </c>
      <c r="R17" s="403">
        <f t="shared" si="8"/>
        <v>4717977</v>
      </c>
      <c r="S17" s="438">
        <v>831603</v>
      </c>
      <c r="Y17" s="355"/>
    </row>
    <row r="18" spans="2:25" ht="30" customHeight="1" thickBot="1" x14ac:dyDescent="0.25">
      <c r="B18" s="404" t="s">
        <v>219</v>
      </c>
      <c r="C18" s="491">
        <v>0</v>
      </c>
      <c r="D18" s="405"/>
      <c r="E18" s="406"/>
      <c r="F18" s="405"/>
      <c r="G18" s="406"/>
      <c r="H18" s="405"/>
      <c r="I18" s="406"/>
      <c r="J18" s="405"/>
      <c r="K18" s="406"/>
      <c r="L18" s="405"/>
      <c r="M18" s="406"/>
      <c r="N18" s="405"/>
      <c r="O18" s="406"/>
      <c r="P18" s="405"/>
      <c r="Q18" s="406"/>
      <c r="R18" s="407"/>
      <c r="S18" s="439">
        <v>0</v>
      </c>
    </row>
    <row r="19" spans="2:25" ht="30" customHeight="1" thickBot="1" x14ac:dyDescent="0.25">
      <c r="B19" s="890" t="s">
        <v>220</v>
      </c>
      <c r="C19" s="891">
        <v>5908557</v>
      </c>
      <c r="D19" s="892">
        <f>SUM(D20:D23)</f>
        <v>69196.380615456554</v>
      </c>
      <c r="E19" s="893">
        <f t="shared" ref="E19:R19" si="11">SUM(E20:E23)</f>
        <v>529009.73625464574</v>
      </c>
      <c r="F19" s="892">
        <f t="shared" si="11"/>
        <v>259352.69701798039</v>
      </c>
      <c r="G19" s="893">
        <f t="shared" si="11"/>
        <v>256377.66131260869</v>
      </c>
      <c r="H19" s="892">
        <f t="shared" si="11"/>
        <v>1054461.6080493135</v>
      </c>
      <c r="I19" s="893">
        <f t="shared" si="11"/>
        <v>458404.37796599924</v>
      </c>
      <c r="J19" s="892">
        <f t="shared" si="11"/>
        <v>159723.73466437281</v>
      </c>
      <c r="K19" s="893">
        <f t="shared" si="11"/>
        <v>7158.7076751784562</v>
      </c>
      <c r="L19" s="892">
        <f t="shared" si="11"/>
        <v>0</v>
      </c>
      <c r="M19" s="893">
        <f t="shared" si="11"/>
        <v>2793684.9035555553</v>
      </c>
      <c r="N19" s="892">
        <f t="shared" si="11"/>
        <v>0</v>
      </c>
      <c r="O19" s="893">
        <f t="shared" si="11"/>
        <v>2976577.12</v>
      </c>
      <c r="P19" s="892">
        <f t="shared" si="11"/>
        <v>118294.94444444444</v>
      </c>
      <c r="Q19" s="893">
        <f t="shared" si="11"/>
        <v>20000</v>
      </c>
      <c r="R19" s="893">
        <f t="shared" si="11"/>
        <v>5908556.9680000003</v>
      </c>
      <c r="S19" s="894">
        <v>6635699</v>
      </c>
    </row>
    <row r="20" spans="2:25" ht="20.100000000000001" customHeight="1" thickTop="1" x14ac:dyDescent="0.2">
      <c r="B20" s="886" t="s">
        <v>221</v>
      </c>
      <c r="C20" s="453">
        <v>212669</v>
      </c>
      <c r="D20" s="887">
        <f>'T15-Soc_stip'!L4</f>
        <v>25360.917383681983</v>
      </c>
      <c r="E20" s="888">
        <f>'T15-Soc_stip'!L5</f>
        <v>56526.027619537024</v>
      </c>
      <c r="F20" s="887">
        <f>'T15-Soc_stip'!L6</f>
        <v>0</v>
      </c>
      <c r="G20" s="888">
        <f>'T15-Soc_stip'!L7</f>
        <v>34381.091697068106</v>
      </c>
      <c r="H20" s="887">
        <f>'T15-Soc_stip'!L10</f>
        <v>8186.4084777872231</v>
      </c>
      <c r="I20" s="888">
        <f>'T15-Soc_stip'!L8</f>
        <v>79471.835075746974</v>
      </c>
      <c r="J20" s="887">
        <f>'T15-Soc_stip'!L9</f>
        <v>8742.7197461786891</v>
      </c>
      <c r="K20" s="888">
        <f>'T15-Soc_stip'!L11</f>
        <v>0</v>
      </c>
      <c r="L20" s="887">
        <f>'T15-Soc_stip'!L12</f>
        <v>0</v>
      </c>
      <c r="M20" s="888">
        <f t="shared" ref="M20:M22" si="12">SUM(D20:L20)</f>
        <v>212668.99999999997</v>
      </c>
      <c r="N20" s="887"/>
      <c r="O20" s="888"/>
      <c r="P20" s="887"/>
      <c r="Q20" s="888"/>
      <c r="R20" s="888">
        <f>SUM(M20:Q20)</f>
        <v>212668.99999999997</v>
      </c>
      <c r="S20" s="889">
        <v>550770</v>
      </c>
    </row>
    <row r="21" spans="2:25" ht="20.100000000000001" customHeight="1" x14ac:dyDescent="0.2">
      <c r="B21" s="411" t="s">
        <v>222</v>
      </c>
      <c r="C21" s="454">
        <v>1366020</v>
      </c>
      <c r="D21" s="412">
        <f>'T18-Mot_stip'!E4</f>
        <v>0</v>
      </c>
      <c r="E21" s="413">
        <f>'T18-Mot_stip'!E5</f>
        <v>359385.42439024389</v>
      </c>
      <c r="F21" s="412">
        <f>'T18-Mot_stip'!E6</f>
        <v>197388.03902439025</v>
      </c>
      <c r="G21" s="413">
        <f>'T18-Mot_stip'!E7</f>
        <v>168957.05365853658</v>
      </c>
      <c r="H21" s="412">
        <f>'T18-Mot_stip'!E10</f>
        <v>244624.93658536585</v>
      </c>
      <c r="I21" s="413">
        <f>'T18-Mot_stip'!E8</f>
        <v>280755.98048780486</v>
      </c>
      <c r="J21" s="412">
        <f>'T18-Mot_stip'!E9</f>
        <v>114908.56585365854</v>
      </c>
      <c r="K21" s="413">
        <f>'T18-Mot_stip'!E11</f>
        <v>0</v>
      </c>
      <c r="L21" s="412">
        <f>'T18-Mot_stip'!E12</f>
        <v>0</v>
      </c>
      <c r="M21" s="413">
        <f t="shared" si="12"/>
        <v>1366020</v>
      </c>
      <c r="N21" s="412"/>
      <c r="O21" s="413"/>
      <c r="P21" s="412"/>
      <c r="Q21" s="1104"/>
      <c r="R21" s="413">
        <f t="shared" ref="R21:R28" si="13">SUM(M21:Q21)</f>
        <v>1366020</v>
      </c>
      <c r="S21" s="440">
        <v>1621980</v>
      </c>
    </row>
    <row r="22" spans="2:25" ht="20.100000000000001" customHeight="1" thickBot="1" x14ac:dyDescent="0.25">
      <c r="B22" s="896" t="s">
        <v>223</v>
      </c>
      <c r="C22" s="897">
        <v>510550</v>
      </c>
      <c r="D22" s="898">
        <f>'T18-Mot_stip'!C4</f>
        <v>43835.463231774571</v>
      </c>
      <c r="E22" s="899">
        <f>'T18-Mot_stip'!C5</f>
        <v>113098.28424486483</v>
      </c>
      <c r="F22" s="898">
        <f>'T18-Mot_stip'!C6</f>
        <v>61964.657993590146</v>
      </c>
      <c r="G22" s="899">
        <f>'T18-Mot_stip'!C7</f>
        <v>53039.51595700402</v>
      </c>
      <c r="H22" s="898">
        <f>'T18-Mot_stip'!C10</f>
        <v>83022.41498616054</v>
      </c>
      <c r="I22" s="899">
        <f>'T18-Mot_stip'!C8</f>
        <v>98176.562402447395</v>
      </c>
      <c r="J22" s="898">
        <f>'T18-Mot_stip'!C9</f>
        <v>36072.449064535598</v>
      </c>
      <c r="K22" s="899">
        <f>'T18-Mot_stip'!C11</f>
        <v>7158.7076751784562</v>
      </c>
      <c r="L22" s="898">
        <f>'T18-Mot_stip'!C12</f>
        <v>0</v>
      </c>
      <c r="M22" s="899">
        <f t="shared" si="12"/>
        <v>496368.05555555556</v>
      </c>
      <c r="N22" s="898"/>
      <c r="O22" s="899"/>
      <c r="P22" s="898">
        <f>'T18-Mot_stip'!C13</f>
        <v>14181.944444444443</v>
      </c>
      <c r="Q22" s="899"/>
      <c r="R22" s="899">
        <f t="shared" si="13"/>
        <v>510550</v>
      </c>
      <c r="S22" s="900">
        <v>517400</v>
      </c>
    </row>
    <row r="23" spans="2:25" ht="20.25" customHeight="1" thickTop="1" x14ac:dyDescent="0.2">
      <c r="B23" s="895" t="s">
        <v>224</v>
      </c>
      <c r="C23" s="453">
        <v>3819318</v>
      </c>
      <c r="D23" s="887">
        <f t="shared" ref="D23:Q23" si="14">SUM(D24:D28)</f>
        <v>0</v>
      </c>
      <c r="E23" s="888">
        <f t="shared" si="14"/>
        <v>0</v>
      </c>
      <c r="F23" s="887">
        <f t="shared" si="14"/>
        <v>0</v>
      </c>
      <c r="G23" s="888">
        <f t="shared" si="14"/>
        <v>0</v>
      </c>
      <c r="H23" s="887">
        <f t="shared" si="14"/>
        <v>718627.848</v>
      </c>
      <c r="I23" s="888">
        <f t="shared" si="14"/>
        <v>0</v>
      </c>
      <c r="J23" s="887">
        <f t="shared" si="14"/>
        <v>0</v>
      </c>
      <c r="K23" s="888">
        <f t="shared" si="14"/>
        <v>0</v>
      </c>
      <c r="L23" s="887">
        <f t="shared" si="14"/>
        <v>0</v>
      </c>
      <c r="M23" s="888">
        <f t="shared" si="14"/>
        <v>718627.848</v>
      </c>
      <c r="N23" s="887">
        <f t="shared" si="14"/>
        <v>0</v>
      </c>
      <c r="O23" s="888">
        <f t="shared" si="14"/>
        <v>2976577.12</v>
      </c>
      <c r="P23" s="887">
        <f t="shared" si="14"/>
        <v>104113</v>
      </c>
      <c r="Q23" s="888">
        <f t="shared" si="14"/>
        <v>20000</v>
      </c>
      <c r="R23" s="888">
        <f t="shared" si="13"/>
        <v>3819317.9680000003</v>
      </c>
      <c r="S23" s="889">
        <v>3945549</v>
      </c>
    </row>
    <row r="24" spans="2:25" ht="20.100000000000001" customHeight="1" x14ac:dyDescent="0.2">
      <c r="B24" s="411" t="s">
        <v>225</v>
      </c>
      <c r="C24" s="454">
        <v>1956034</v>
      </c>
      <c r="D24" s="412"/>
      <c r="E24" s="413"/>
      <c r="F24" s="412"/>
      <c r="G24" s="413"/>
      <c r="H24" s="412">
        <f>'T11-Sumar_SD'!F15</f>
        <v>380349</v>
      </c>
      <c r="I24" s="413"/>
      <c r="J24" s="412"/>
      <c r="K24" s="413"/>
      <c r="L24" s="412"/>
      <c r="M24" s="413">
        <f t="shared" ref="M24:M28" si="15">SUM(D24:L24)</f>
        <v>380349</v>
      </c>
      <c r="N24" s="412"/>
      <c r="O24" s="413">
        <f>'T11-Sumar_SD'!F14</f>
        <v>1575685</v>
      </c>
      <c r="P24" s="412"/>
      <c r="Q24" s="1104"/>
      <c r="R24" s="413">
        <f t="shared" si="13"/>
        <v>1956034</v>
      </c>
      <c r="S24" s="442">
        <v>1743692</v>
      </c>
    </row>
    <row r="25" spans="2:25" ht="20.100000000000001" customHeight="1" x14ac:dyDescent="0.2">
      <c r="B25" s="411" t="s">
        <v>226</v>
      </c>
      <c r="C25" s="454">
        <v>688524</v>
      </c>
      <c r="D25" s="412"/>
      <c r="E25" s="413"/>
      <c r="F25" s="412"/>
      <c r="G25" s="413"/>
      <c r="H25" s="412">
        <f>H24*0.352</f>
        <v>133882.848</v>
      </c>
      <c r="I25" s="413"/>
      <c r="J25" s="412"/>
      <c r="K25" s="413"/>
      <c r="L25" s="412"/>
      <c r="M25" s="413">
        <f t="shared" si="15"/>
        <v>133882.848</v>
      </c>
      <c r="N25" s="412"/>
      <c r="O25" s="413">
        <f>O24*0.352</f>
        <v>554641.12</v>
      </c>
      <c r="P25" s="412"/>
      <c r="Q25" s="1104"/>
      <c r="R25" s="413">
        <f t="shared" si="13"/>
        <v>688523.96799999999</v>
      </c>
      <c r="S25" s="442">
        <v>613779.58400000003</v>
      </c>
    </row>
    <row r="26" spans="2:25" ht="20.100000000000001" customHeight="1" x14ac:dyDescent="0.2">
      <c r="B26" s="411" t="s">
        <v>268</v>
      </c>
      <c r="C26" s="454">
        <v>968976</v>
      </c>
      <c r="D26" s="412"/>
      <c r="E26" s="413"/>
      <c r="F26" s="412"/>
      <c r="G26" s="413"/>
      <c r="H26" s="412">
        <f>'T11-Sumar_SD'!G26</f>
        <v>188558</v>
      </c>
      <c r="I26" s="413"/>
      <c r="J26" s="412"/>
      <c r="K26" s="413"/>
      <c r="L26" s="412"/>
      <c r="M26" s="413">
        <f t="shared" si="15"/>
        <v>188558</v>
      </c>
      <c r="N26" s="412"/>
      <c r="O26" s="413">
        <f>'T11-Sumar_SD'!G25</f>
        <v>780418</v>
      </c>
      <c r="P26" s="412"/>
      <c r="Q26" s="1104"/>
      <c r="R26" s="413">
        <f t="shared" si="13"/>
        <v>968976</v>
      </c>
      <c r="S26" s="442">
        <v>961462</v>
      </c>
    </row>
    <row r="27" spans="2:25" ht="20.100000000000001" customHeight="1" x14ac:dyDescent="0.2">
      <c r="B27" s="411" t="s">
        <v>227</v>
      </c>
      <c r="C27" s="454">
        <v>81671</v>
      </c>
      <c r="D27" s="412"/>
      <c r="E27" s="413"/>
      <c r="F27" s="412"/>
      <c r="G27" s="413"/>
      <c r="H27" s="412">
        <f>'T11-Sumar_SD'!L26</f>
        <v>15838</v>
      </c>
      <c r="I27" s="413"/>
      <c r="J27" s="412"/>
      <c r="K27" s="413"/>
      <c r="L27" s="412"/>
      <c r="M27" s="413">
        <f t="shared" si="15"/>
        <v>15838</v>
      </c>
      <c r="N27" s="412"/>
      <c r="O27" s="413">
        <f>'T11-Sumar_SD'!L25</f>
        <v>65833</v>
      </c>
      <c r="P27" s="412"/>
      <c r="Q27" s="1104"/>
      <c r="R27" s="413">
        <f t="shared" si="13"/>
        <v>81671</v>
      </c>
      <c r="S27" s="441">
        <v>271648</v>
      </c>
      <c r="Y27" s="947"/>
    </row>
    <row r="28" spans="2:25" ht="20.100000000000001" customHeight="1" thickBot="1" x14ac:dyDescent="0.25">
      <c r="B28" s="415" t="s">
        <v>228</v>
      </c>
      <c r="C28" s="455">
        <v>124113</v>
      </c>
      <c r="D28" s="416">
        <f>SUMIFS('4. Aktivity'!$B$4:$B$114,'4. Aktivity'!$D$4:$D$114,"fad",'4. Aktivity'!$C$4:$C$114,"S")</f>
        <v>0</v>
      </c>
      <c r="E28" s="417">
        <f>SUMIFS('4. Aktivity'!$B$4:$B$114,'4. Aktivity'!$D$4:$D$114,"fei",'4. Aktivity'!$C$4:$C$114,"S")</f>
        <v>0</v>
      </c>
      <c r="F28" s="416">
        <f>SUMIFS('4. Aktivity'!$B$4:$B$114,'4. Aktivity'!$D$4:$D$114,"fchpt",'4. Aktivity'!$C$4:$C$114,"S")</f>
        <v>0</v>
      </c>
      <c r="G28" s="417">
        <f>SUMIFS('4. Aktivity'!$B$4:$B$114,'4. Aktivity'!$D$4:$D$114,"fiit",'4. Aktivity'!$C$4:$C$114,"S")</f>
        <v>0</v>
      </c>
      <c r="H28" s="416">
        <f>SUMIFS('4. Aktivity'!$B$4:$B$114,'4. Aktivity'!$D$4:$D$114,"mtf",'4. Aktivity'!$C$4:$C$114,"S")</f>
        <v>0</v>
      </c>
      <c r="I28" s="417">
        <f>SUMIFS('4. Aktivity'!$B$4:$B$114,'4. Aktivity'!$D$4:$D$114,"svf",'4. Aktivity'!$C$4:$C$114,"S")</f>
        <v>0</v>
      </c>
      <c r="J28" s="418">
        <f>SUMIFS('4. Aktivity'!$B$4:$B$114,'4. Aktivity'!$D$4:$D$114,"sjf",'4. Aktivity'!$C$4:$C$114,"S")</f>
        <v>0</v>
      </c>
      <c r="K28" s="417">
        <f>SUMIFS('4. Aktivity'!$B$4:$B$114,'4. Aktivity'!$D$4:$D$114,"um",'4. Aktivity'!$C$4:$C$114,"S")</f>
        <v>0</v>
      </c>
      <c r="L28" s="416">
        <f>SUMIFS('4. Aktivity'!$B$4:$B$114,'4. Aktivity'!$D$4:$D$114,"nc",'4. Aktivity'!$C$4:$C$114,"S")</f>
        <v>0</v>
      </c>
      <c r="M28" s="417">
        <f t="shared" si="15"/>
        <v>0</v>
      </c>
      <c r="N28" s="416">
        <f>SUMIFS('3. R-STU'!$C$5:$C$10,'3. R-STU'!$E$5:$E$10,"rek",'3. R-STU'!$D$5:$D$10,"S")</f>
        <v>0</v>
      </c>
      <c r="O28" s="417"/>
      <c r="P28" s="416">
        <f>SUMIFS('4. Aktivity'!$B$4:$B$114,'4. Aktivity'!$D$4:$D$114,"stu",'4. Aktivity'!$C$4:$C$114,"S")</f>
        <v>104113</v>
      </c>
      <c r="Q28" s="417">
        <f>SUMIFS('4. Aktivity'!$B$4:$B$114,'4. Aktivity'!$D$4:$D$114,"f",'4. Aktivity'!$C$4:$C$114,"S")</f>
        <v>20000</v>
      </c>
      <c r="R28" s="417">
        <f t="shared" si="13"/>
        <v>124113</v>
      </c>
      <c r="S28" s="443">
        <v>114254</v>
      </c>
      <c r="Y28" s="947"/>
    </row>
  </sheetData>
  <mergeCells count="1">
    <mergeCell ref="B1:S1"/>
  </mergeCells>
  <conditionalFormatting sqref="D5:R28">
    <cfRule type="cellIs" dxfId="33" priority="1" operator="lessThan">
      <formula>0</formula>
    </cfRule>
  </conditionalFormatting>
  <pageMargins left="0.7" right="0.7" top="0.75" bottom="0.75" header="0.3" footer="0.3"/>
  <pageSetup paperSize="9" scale="60" orientation="landscape" r:id="rId1"/>
  <ignoredErrors>
    <ignoredError sqref="M14 M23 M7 M10" formula="1"/>
    <ignoredError sqref="M12 M16 M20 M25:M28 M2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/>
  <dimension ref="A1:L28"/>
  <sheetViews>
    <sheetView workbookViewId="0">
      <selection activeCell="M25" sqref="M25"/>
    </sheetView>
  </sheetViews>
  <sheetFormatPr defaultColWidth="8.7109375" defaultRowHeight="15" x14ac:dyDescent="0.25"/>
  <cols>
    <col min="1" max="1" width="14.28515625" style="2" customWidth="1"/>
    <col min="2" max="2" width="10.7109375" style="2" customWidth="1"/>
    <col min="3" max="3" width="15.7109375" style="2" bestFit="1" customWidth="1"/>
    <col min="4" max="4" width="17.140625" style="2" customWidth="1"/>
    <col min="5" max="5" width="15.7109375" style="2" bestFit="1" customWidth="1"/>
    <col min="6" max="6" width="17.28515625" style="2" bestFit="1" customWidth="1"/>
    <col min="7" max="9" width="13.42578125" style="2" bestFit="1" customWidth="1"/>
    <col min="10" max="11" width="11.85546875" style="2" customWidth="1"/>
    <col min="12" max="12" width="10.7109375" style="2" bestFit="1" customWidth="1"/>
    <col min="13" max="16384" width="8.7109375" style="2"/>
  </cols>
  <sheetData>
    <row r="1" spans="1:9" ht="15.75" thickBot="1" x14ac:dyDescent="0.3"/>
    <row r="2" spans="1:9" ht="120.75" thickBot="1" x14ac:dyDescent="0.3">
      <c r="A2" s="917"/>
      <c r="B2" s="829" t="s">
        <v>346</v>
      </c>
      <c r="C2" s="830" t="s">
        <v>347</v>
      </c>
      <c r="D2" s="831" t="s">
        <v>348</v>
      </c>
      <c r="E2" s="830" t="s">
        <v>349</v>
      </c>
      <c r="F2" s="830" t="s">
        <v>350</v>
      </c>
      <c r="G2" s="830" t="s">
        <v>351</v>
      </c>
      <c r="H2" s="832" t="s">
        <v>352</v>
      </c>
      <c r="I2" s="833" t="s">
        <v>353</v>
      </c>
    </row>
    <row r="3" spans="1:9" x14ac:dyDescent="0.25">
      <c r="A3" s="827" t="s">
        <v>16</v>
      </c>
      <c r="B3" s="834">
        <v>6639</v>
      </c>
      <c r="C3" s="835">
        <v>6451</v>
      </c>
      <c r="D3" s="835">
        <v>6216</v>
      </c>
      <c r="E3" s="835">
        <v>232</v>
      </c>
      <c r="F3" s="835">
        <v>188</v>
      </c>
      <c r="G3" s="835">
        <v>6448</v>
      </c>
      <c r="H3" s="835">
        <v>514368</v>
      </c>
      <c r="I3" s="836">
        <v>6494.4</v>
      </c>
    </row>
    <row r="4" spans="1:9" x14ac:dyDescent="0.25">
      <c r="A4" s="537" t="s">
        <v>209</v>
      </c>
      <c r="B4" s="824">
        <v>5379</v>
      </c>
      <c r="C4" s="825">
        <v>5193</v>
      </c>
      <c r="D4" s="825">
        <v>4983</v>
      </c>
      <c r="E4" s="825">
        <v>210</v>
      </c>
      <c r="F4" s="825">
        <v>186</v>
      </c>
      <c r="G4" s="825">
        <f>D4+E4</f>
        <v>5193</v>
      </c>
      <c r="H4" s="825">
        <v>413968</v>
      </c>
      <c r="I4" s="826">
        <v>5235</v>
      </c>
    </row>
    <row r="5" spans="1:9" x14ac:dyDescent="0.25">
      <c r="A5" s="537" t="s">
        <v>62</v>
      </c>
      <c r="B5" s="824">
        <v>1260</v>
      </c>
      <c r="C5" s="825">
        <v>1258</v>
      </c>
      <c r="D5" s="825">
        <v>1233</v>
      </c>
      <c r="E5" s="825">
        <v>22</v>
      </c>
      <c r="F5" s="825">
        <v>2</v>
      </c>
      <c r="G5" s="825">
        <f>D5+E5</f>
        <v>1255</v>
      </c>
      <c r="H5" s="825">
        <v>100400</v>
      </c>
      <c r="I5" s="826">
        <v>1259.4000000000001</v>
      </c>
    </row>
    <row r="6" spans="1:9" ht="15.75" thickBot="1" x14ac:dyDescent="0.3">
      <c r="A6" s="828" t="s">
        <v>16</v>
      </c>
      <c r="B6" s="837">
        <f>SUM(B4:B5)</f>
        <v>6639</v>
      </c>
      <c r="C6" s="838">
        <f t="shared" ref="C6:G6" si="0">SUM(C4:C5)</f>
        <v>6451</v>
      </c>
      <c r="D6" s="838">
        <f t="shared" si="0"/>
        <v>6216</v>
      </c>
      <c r="E6" s="838">
        <f t="shared" si="0"/>
        <v>232</v>
      </c>
      <c r="F6" s="838">
        <f t="shared" si="0"/>
        <v>188</v>
      </c>
      <c r="G6" s="838">
        <f t="shared" si="0"/>
        <v>6448</v>
      </c>
      <c r="H6" s="838">
        <f>SUM(H4:H5)</f>
        <v>514368</v>
      </c>
      <c r="I6" s="839">
        <v>6494.4</v>
      </c>
    </row>
    <row r="7" spans="1:9" ht="15" customHeight="1" x14ac:dyDescent="0.25"/>
    <row r="8" spans="1:9" ht="15" customHeight="1" x14ac:dyDescent="0.25"/>
    <row r="9" spans="1:9" ht="15" customHeight="1" x14ac:dyDescent="0.25"/>
    <row r="10" spans="1:9" ht="15.75" thickBot="1" x14ac:dyDescent="0.3"/>
    <row r="11" spans="1:9" ht="15.75" thickBot="1" x14ac:dyDescent="0.3">
      <c r="B11" s="1375" t="s">
        <v>325</v>
      </c>
      <c r="C11" s="1376"/>
      <c r="D11" s="1376"/>
      <c r="E11" s="1376"/>
      <c r="F11" s="1377"/>
    </row>
    <row r="12" spans="1:9" ht="75.75" thickBot="1" x14ac:dyDescent="0.3">
      <c r="B12" s="796" t="s">
        <v>326</v>
      </c>
      <c r="C12" s="797" t="s">
        <v>327</v>
      </c>
      <c r="D12" s="798" t="s">
        <v>328</v>
      </c>
      <c r="E12" s="799" t="s">
        <v>329</v>
      </c>
      <c r="F12" s="800" t="s">
        <v>342</v>
      </c>
    </row>
    <row r="13" spans="1:9" x14ac:dyDescent="0.25">
      <c r="A13" s="529" t="s">
        <v>16</v>
      </c>
      <c r="B13" s="840">
        <v>1921734</v>
      </c>
      <c r="C13" s="593">
        <v>960867</v>
      </c>
      <c r="D13" s="793">
        <v>6448</v>
      </c>
      <c r="E13" s="593">
        <v>995166.58709710278</v>
      </c>
      <c r="F13" s="841">
        <v>1956034</v>
      </c>
    </row>
    <row r="14" spans="1:9" x14ac:dyDescent="0.25">
      <c r="A14" s="531" t="s">
        <v>209</v>
      </c>
      <c r="B14" s="842" t="s">
        <v>330</v>
      </c>
      <c r="C14" s="583">
        <v>774211</v>
      </c>
      <c r="D14" s="792">
        <f>G4</f>
        <v>5193</v>
      </c>
      <c r="E14" s="794">
        <f>D14/D$17*E$17</f>
        <v>801473.33852283726</v>
      </c>
      <c r="F14" s="843">
        <f>INT(0.7+E14+C14)</f>
        <v>1575685</v>
      </c>
    </row>
    <row r="15" spans="1:9" x14ac:dyDescent="0.25">
      <c r="A15" s="531" t="s">
        <v>62</v>
      </c>
      <c r="B15" s="842" t="s">
        <v>331</v>
      </c>
      <c r="C15" s="583">
        <v>186656</v>
      </c>
      <c r="D15" s="792">
        <f>G5</f>
        <v>1255</v>
      </c>
      <c r="E15" s="794">
        <f>D15/D$17*E$17</f>
        <v>193693.24857426548</v>
      </c>
      <c r="F15" s="843">
        <f>INT(0.7+E15+C15)</f>
        <v>380349</v>
      </c>
    </row>
    <row r="16" spans="1:9" ht="15.75" thickBot="1" x14ac:dyDescent="0.3">
      <c r="A16" s="795" t="s">
        <v>16</v>
      </c>
      <c r="B16" s="844"/>
      <c r="C16" s="636">
        <f>SUM(C14:C15)</f>
        <v>960867</v>
      </c>
      <c r="D16" s="637">
        <f t="shared" ref="D16:F16" si="1">SUM(D14:D15)</f>
        <v>6448</v>
      </c>
      <c r="E16" s="636">
        <f t="shared" si="1"/>
        <v>995166.58709710278</v>
      </c>
      <c r="F16" s="845">
        <f t="shared" si="1"/>
        <v>1956034</v>
      </c>
    </row>
    <row r="17" spans="1:12" x14ac:dyDescent="0.25">
      <c r="C17" s="2">
        <v>6062058.5</v>
      </c>
      <c r="D17" s="2">
        <v>39278</v>
      </c>
      <c r="E17" s="2">
        <v>6062058.5</v>
      </c>
    </row>
    <row r="21" spans="1:12" ht="15.75" thickBot="1" x14ac:dyDescent="0.3"/>
    <row r="22" spans="1:12" ht="75.75" thickBot="1" x14ac:dyDescent="0.3">
      <c r="B22" s="1378" t="s">
        <v>332</v>
      </c>
      <c r="C22" s="1379"/>
      <c r="D22" s="1379"/>
      <c r="E22" s="1379"/>
      <c r="F22" s="1379"/>
      <c r="G22" s="1379"/>
      <c r="H22" s="801" t="s">
        <v>333</v>
      </c>
      <c r="I22" s="802"/>
      <c r="J22" s="802"/>
      <c r="K22" s="802"/>
      <c r="L22" s="803"/>
    </row>
    <row r="23" spans="1:12" ht="135.75" thickBot="1" x14ac:dyDescent="0.3">
      <c r="B23" s="804" t="s">
        <v>404</v>
      </c>
      <c r="C23" s="805" t="s">
        <v>334</v>
      </c>
      <c r="D23" s="806" t="s">
        <v>335</v>
      </c>
      <c r="E23" s="806" t="s">
        <v>336</v>
      </c>
      <c r="F23" s="807" t="s">
        <v>337</v>
      </c>
      <c r="G23" s="179" t="s">
        <v>403</v>
      </c>
      <c r="H23" s="808" t="s">
        <v>338</v>
      </c>
      <c r="I23" s="809" t="s">
        <v>343</v>
      </c>
      <c r="J23" s="810" t="s">
        <v>339</v>
      </c>
      <c r="K23" s="811" t="s">
        <v>340</v>
      </c>
      <c r="L23" s="179" t="s">
        <v>341</v>
      </c>
    </row>
    <row r="24" spans="1:12" ht="15.75" thickBot="1" x14ac:dyDescent="0.3">
      <c r="A24" s="529" t="s">
        <v>16</v>
      </c>
      <c r="B24" s="818">
        <v>961462</v>
      </c>
      <c r="C24" s="558">
        <v>6494.4</v>
      </c>
      <c r="D24" s="565">
        <v>0</v>
      </c>
      <c r="E24" s="565">
        <v>454607.99999999994</v>
      </c>
      <c r="F24" s="566">
        <v>514368</v>
      </c>
      <c r="G24" s="618">
        <v>968976</v>
      </c>
      <c r="H24" s="642">
        <v>288944.61538461538</v>
      </c>
      <c r="I24" s="819">
        <v>404522</v>
      </c>
      <c r="J24" s="846">
        <v>241180.84000000003</v>
      </c>
      <c r="K24" s="850">
        <v>163341.15999999997</v>
      </c>
      <c r="L24" s="1017">
        <v>81671</v>
      </c>
    </row>
    <row r="25" spans="1:12" x14ac:dyDescent="0.25">
      <c r="A25" s="531" t="s">
        <v>209</v>
      </c>
      <c r="B25" s="815"/>
      <c r="C25" s="812">
        <f>I4</f>
        <v>5235</v>
      </c>
      <c r="D25" s="813"/>
      <c r="E25" s="814">
        <f>70*C25</f>
        <v>366450</v>
      </c>
      <c r="F25" s="195">
        <f>H4</f>
        <v>413968</v>
      </c>
      <c r="G25" s="816">
        <f t="shared" ref="G25:G26" si="2">INT(0.5+E25+F25)</f>
        <v>780418</v>
      </c>
      <c r="H25" s="901">
        <f>C25*H$28</f>
        <v>232912.21075672298</v>
      </c>
      <c r="I25" s="817">
        <f>H25*1.4</f>
        <v>326077.09505941218</v>
      </c>
      <c r="J25" s="847"/>
      <c r="K25" s="848">
        <f>(I25-J25)/(I$27-J$27)*K$24</f>
        <v>131665.89255358459</v>
      </c>
      <c r="L25" s="1016">
        <f>IF(K25&lt;0,0,INT(0.5+0.5*K25))</f>
        <v>65833</v>
      </c>
    </row>
    <row r="26" spans="1:12" x14ac:dyDescent="0.25">
      <c r="A26" s="531" t="s">
        <v>62</v>
      </c>
      <c r="B26" s="815"/>
      <c r="C26" s="812">
        <f>I5</f>
        <v>1259.4000000000001</v>
      </c>
      <c r="D26" s="813"/>
      <c r="E26" s="814">
        <f>70*C26</f>
        <v>88158</v>
      </c>
      <c r="F26" s="195">
        <f>H5</f>
        <v>100400</v>
      </c>
      <c r="G26" s="816">
        <f t="shared" si="2"/>
        <v>188558</v>
      </c>
      <c r="H26" s="901">
        <f>C26*H$28</f>
        <v>56032.404627892443</v>
      </c>
      <c r="I26" s="817">
        <f>H26*1.4</f>
        <v>78445.366479049422</v>
      </c>
      <c r="J26" s="847"/>
      <c r="K26" s="848">
        <f>(I26-J26)/(I$27-J$27)*K$24</f>
        <v>31675.267446415368</v>
      </c>
      <c r="L26" s="1016">
        <f>IF(K26&lt;0,0,INT(0.5+0.5*K26))</f>
        <v>15838</v>
      </c>
    </row>
    <row r="27" spans="1:12" ht="15.75" thickBot="1" x14ac:dyDescent="0.3">
      <c r="A27" s="795" t="s">
        <v>16</v>
      </c>
      <c r="B27" s="820"/>
      <c r="C27" s="576">
        <f>SUM(C25:C26)</f>
        <v>6494.4</v>
      </c>
      <c r="D27" s="637"/>
      <c r="E27" s="821">
        <v>454607.99999999994</v>
      </c>
      <c r="F27" s="822">
        <f>SUM(F25:F26)</f>
        <v>514368</v>
      </c>
      <c r="G27" s="642">
        <f>SUM(G25:G26)</f>
        <v>968976</v>
      </c>
      <c r="H27" s="642">
        <f>SUM(H25:H26)</f>
        <v>288944.61538461543</v>
      </c>
      <c r="I27" s="642">
        <f t="shared" ref="I27:L27" si="3">SUM(I25:I26)</f>
        <v>404522.46153846162</v>
      </c>
      <c r="J27" s="849">
        <f t="shared" si="3"/>
        <v>0</v>
      </c>
      <c r="K27" s="850">
        <f t="shared" si="3"/>
        <v>163341.15999999997</v>
      </c>
      <c r="L27" s="1017">
        <f t="shared" si="3"/>
        <v>81671</v>
      </c>
    </row>
    <row r="28" spans="1:12" hidden="1" x14ac:dyDescent="0.25">
      <c r="H28" s="2">
        <v>44.491348759641447</v>
      </c>
    </row>
  </sheetData>
  <sheetProtection algorithmName="SHA-512" hashValue="Loda2cpJ4J8PyLVr8fl3lqbk506KZyfeV9YgOJdiy/XQGmW2aNcjbK3Zr70XeXWBBhUf1kRoCY7W3qtO+booOA==" saltValue="hYSC+VTlsgaAEpbDDh7xaQ==" spinCount="100000" sheet="1" objects="1" scenarios="1"/>
  <mergeCells count="2">
    <mergeCell ref="B11:F11"/>
    <mergeCell ref="B22:G2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/>
  <dimension ref="A1:AX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4" sqref="J14"/>
    </sheetView>
  </sheetViews>
  <sheetFormatPr defaultColWidth="9.42578125" defaultRowHeight="15" x14ac:dyDescent="0.25"/>
  <cols>
    <col min="1" max="1" width="48.28515625" style="109" customWidth="1"/>
    <col min="2" max="2" width="13.28515625" style="109" bestFit="1" customWidth="1"/>
    <col min="3" max="3" width="12.42578125" style="109" bestFit="1" customWidth="1"/>
    <col min="4" max="4" width="13.28515625" style="109" bestFit="1" customWidth="1"/>
    <col min="5" max="5" width="13.42578125" style="109" customWidth="1"/>
    <col min="6" max="6" width="13.5703125" style="109" customWidth="1"/>
    <col min="7" max="7" width="12.5703125" style="109" customWidth="1"/>
    <col min="8" max="8" width="13.5703125" style="109" customWidth="1"/>
    <col min="9" max="9" width="12.7109375" style="109" customWidth="1"/>
    <col min="10" max="10" width="11.28515625" style="109" bestFit="1" customWidth="1"/>
    <col min="11" max="11" width="12.5703125" style="109" customWidth="1"/>
    <col min="12" max="12" width="11.42578125" style="109" customWidth="1"/>
    <col min="13" max="13" width="13.28515625" style="109" customWidth="1"/>
    <col min="14" max="14" width="13" style="109" customWidth="1"/>
    <col min="15" max="15" width="12.42578125" style="109" bestFit="1" customWidth="1"/>
    <col min="16" max="16" width="14.28515625" style="109" bestFit="1" customWidth="1"/>
    <col min="17" max="17" width="11.5703125" style="109" customWidth="1"/>
    <col min="18" max="18" width="12.5703125" style="109" customWidth="1"/>
    <col min="19" max="19" width="13.5703125" style="109" customWidth="1"/>
    <col min="20" max="21" width="12.5703125" style="109" customWidth="1"/>
    <col min="22" max="22" width="12.5703125" style="109" bestFit="1" customWidth="1"/>
    <col min="23" max="23" width="12.28515625" style="109" customWidth="1"/>
    <col min="24" max="25" width="12.42578125" style="109" bestFit="1" customWidth="1"/>
    <col min="26" max="26" width="10" style="109" customWidth="1"/>
    <col min="27" max="27" width="12.42578125" style="109" bestFit="1" customWidth="1"/>
    <col min="28" max="28" width="11.42578125" style="109" bestFit="1" customWidth="1"/>
    <col min="29" max="29" width="12.42578125" style="109" bestFit="1" customWidth="1"/>
    <col min="30" max="30" width="10.5703125" style="109" customWidth="1"/>
    <col min="31" max="32" width="11.42578125" style="109" customWidth="1"/>
    <col min="33" max="33" width="12.42578125" style="109" hidden="1" customWidth="1"/>
    <col min="34" max="34" width="7.5703125" style="109" hidden="1" customWidth="1"/>
    <col min="35" max="35" width="11.5703125" style="109" bestFit="1" customWidth="1"/>
    <col min="36" max="36" width="16.7109375" style="109" customWidth="1"/>
    <col min="37" max="37" width="12.5703125" style="109" customWidth="1"/>
    <col min="38" max="38" width="16.5703125" style="109" customWidth="1"/>
    <col min="39" max="39" width="15.28515625" style="109" customWidth="1"/>
    <col min="40" max="40" width="12.28515625" style="109" customWidth="1"/>
    <col min="41" max="41" width="9" style="109" customWidth="1"/>
    <col min="42" max="42" width="10.42578125" style="109" bestFit="1" customWidth="1"/>
    <col min="43" max="44" width="9.5703125" style="109" customWidth="1"/>
    <col min="45" max="46" width="9.42578125" style="109"/>
    <col min="47" max="50" width="14.28515625" style="109" customWidth="1"/>
    <col min="51" max="16384" width="9.42578125" style="109"/>
  </cols>
  <sheetData>
    <row r="1" spans="1:50" ht="15.75" thickBot="1" x14ac:dyDescent="0.3">
      <c r="B1" s="1387" t="s">
        <v>144</v>
      </c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7"/>
      <c r="P1" s="61" t="s">
        <v>145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269"/>
      <c r="AB1" s="269"/>
      <c r="AC1" s="269"/>
      <c r="AD1" s="270"/>
      <c r="AN1" s="270"/>
    </row>
    <row r="2" spans="1:50" s="138" customFormat="1" ht="47.1" customHeight="1" thickBot="1" x14ac:dyDescent="0.3">
      <c r="A2" s="1388"/>
      <c r="B2" s="1384" t="s">
        <v>322</v>
      </c>
      <c r="C2" s="1385"/>
      <c r="D2" s="1385"/>
      <c r="E2" s="1390" t="s">
        <v>317</v>
      </c>
      <c r="F2" s="1391"/>
      <c r="G2" s="1384" t="s">
        <v>146</v>
      </c>
      <c r="H2" s="1385"/>
      <c r="I2" s="1385"/>
      <c r="J2" s="1385"/>
      <c r="K2" s="1385"/>
      <c r="L2" s="1385"/>
      <c r="M2" s="1385"/>
      <c r="N2" s="1386"/>
      <c r="O2" s="309"/>
      <c r="P2" s="1384" t="s">
        <v>297</v>
      </c>
      <c r="Q2" s="1385"/>
      <c r="R2" s="1385"/>
      <c r="S2" s="1384" t="s">
        <v>298</v>
      </c>
      <c r="T2" s="1385"/>
      <c r="U2" s="1385"/>
      <c r="V2" s="1384" t="s">
        <v>323</v>
      </c>
      <c r="W2" s="1385"/>
      <c r="X2" s="1385"/>
      <c r="Y2" s="1384" t="s">
        <v>309</v>
      </c>
      <c r="Z2" s="1385"/>
      <c r="AA2" s="1386"/>
      <c r="AB2" s="1384" t="s">
        <v>147</v>
      </c>
      <c r="AC2" s="1385"/>
      <c r="AD2" s="1385"/>
      <c r="AE2" s="1385"/>
      <c r="AF2" s="1386"/>
      <c r="AG2" s="1384" t="s">
        <v>148</v>
      </c>
      <c r="AH2" s="1385"/>
      <c r="AI2" s="1380" t="s">
        <v>198</v>
      </c>
      <c r="AJ2" s="1371" t="s">
        <v>149</v>
      </c>
      <c r="AK2" s="1373"/>
      <c r="AL2" s="1382"/>
      <c r="AM2" s="1383"/>
      <c r="AN2" s="1382" t="s">
        <v>150</v>
      </c>
      <c r="AO2" s="1382"/>
      <c r="AP2" s="1382"/>
      <c r="AQ2" s="1382"/>
      <c r="AR2" s="1383"/>
    </row>
    <row r="3" spans="1:50" ht="124.35" customHeight="1" thickBot="1" x14ac:dyDescent="0.3">
      <c r="A3" s="1389"/>
      <c r="B3" s="310" t="s">
        <v>151</v>
      </c>
      <c r="C3" s="311" t="s">
        <v>152</v>
      </c>
      <c r="D3" s="312" t="s">
        <v>153</v>
      </c>
      <c r="E3" s="176" t="s">
        <v>154</v>
      </c>
      <c r="F3" s="313" t="s">
        <v>155</v>
      </c>
      <c r="G3" s="315" t="s">
        <v>156</v>
      </c>
      <c r="H3" s="314" t="s">
        <v>157</v>
      </c>
      <c r="I3" s="314" t="s">
        <v>158</v>
      </c>
      <c r="J3" s="314" t="s">
        <v>159</v>
      </c>
      <c r="K3" s="314" t="s">
        <v>160</v>
      </c>
      <c r="L3" s="314" t="s">
        <v>161</v>
      </c>
      <c r="M3" s="314" t="s">
        <v>162</v>
      </c>
      <c r="N3" s="314" t="s">
        <v>163</v>
      </c>
      <c r="O3" s="177" t="s">
        <v>164</v>
      </c>
      <c r="P3" s="213" t="s">
        <v>300</v>
      </c>
      <c r="Q3" s="314" t="s">
        <v>131</v>
      </c>
      <c r="R3" s="312" t="s">
        <v>165</v>
      </c>
      <c r="S3" s="213" t="s">
        <v>301</v>
      </c>
      <c r="T3" s="314" t="s">
        <v>166</v>
      </c>
      <c r="U3" s="312" t="s">
        <v>167</v>
      </c>
      <c r="V3" s="218" t="s">
        <v>302</v>
      </c>
      <c r="W3" s="311" t="s">
        <v>168</v>
      </c>
      <c r="X3" s="312" t="s">
        <v>169</v>
      </c>
      <c r="Y3" s="315" t="s">
        <v>196</v>
      </c>
      <c r="Z3" s="311" t="s">
        <v>170</v>
      </c>
      <c r="AA3" s="215" t="s">
        <v>171</v>
      </c>
      <c r="AB3" s="316" t="s">
        <v>316</v>
      </c>
      <c r="AC3" s="215" t="s">
        <v>172</v>
      </c>
      <c r="AD3" s="317" t="s">
        <v>318</v>
      </c>
      <c r="AE3" s="215" t="s">
        <v>173</v>
      </c>
      <c r="AF3" s="215" t="s">
        <v>174</v>
      </c>
      <c r="AG3" s="318" t="s">
        <v>315</v>
      </c>
      <c r="AH3" s="312" t="s">
        <v>175</v>
      </c>
      <c r="AI3" s="1381"/>
      <c r="AJ3" s="319" t="s">
        <v>197</v>
      </c>
      <c r="AK3" s="320" t="s">
        <v>176</v>
      </c>
      <c r="AL3" s="214" t="s">
        <v>199</v>
      </c>
      <c r="AM3" s="214" t="s">
        <v>201</v>
      </c>
      <c r="AN3" s="321" t="s">
        <v>177</v>
      </c>
      <c r="AO3" s="322" t="s">
        <v>178</v>
      </c>
      <c r="AP3" s="323" t="s">
        <v>179</v>
      </c>
      <c r="AQ3" s="324" t="s">
        <v>180</v>
      </c>
      <c r="AR3" s="325" t="s">
        <v>200</v>
      </c>
    </row>
    <row r="4" spans="1:50" s="112" customFormat="1" ht="15.75" thickBot="1" x14ac:dyDescent="0.3">
      <c r="A4" s="342" t="s">
        <v>2</v>
      </c>
      <c r="B4" s="560">
        <v>8058.2821250000015</v>
      </c>
      <c r="C4" s="601">
        <v>14.464352860486354</v>
      </c>
      <c r="D4" s="559">
        <v>3966366.0404117391</v>
      </c>
      <c r="E4" s="773">
        <v>16.387185830930942</v>
      </c>
      <c r="F4" s="566">
        <v>6740458.2152390275</v>
      </c>
      <c r="G4" s="606">
        <v>8924323.5909264125</v>
      </c>
      <c r="H4" s="565">
        <v>9915915.1010293476</v>
      </c>
      <c r="I4" s="565">
        <v>0</v>
      </c>
      <c r="J4" s="565">
        <v>790909.15462141903</v>
      </c>
      <c r="K4" s="565">
        <v>8924323.5909264125</v>
      </c>
      <c r="L4" s="565">
        <v>790909.15462141903</v>
      </c>
      <c r="M4" s="1010">
        <v>18.810199209841329</v>
      </c>
      <c r="N4" s="565">
        <v>-373619.63703519024</v>
      </c>
      <c r="O4" s="559">
        <v>10333204.618615575</v>
      </c>
      <c r="P4" s="606">
        <v>14854641.280000001</v>
      </c>
      <c r="Q4" s="601">
        <v>18.512825864686896</v>
      </c>
      <c r="R4" s="559">
        <v>2656321.0370380003</v>
      </c>
      <c r="S4" s="561">
        <v>3499728.04</v>
      </c>
      <c r="T4" s="601">
        <v>27.327633990890945</v>
      </c>
      <c r="U4" s="561">
        <v>1307039.2313065717</v>
      </c>
      <c r="V4" s="606">
        <v>3721141.9400000004</v>
      </c>
      <c r="W4" s="601">
        <v>21.389934238776295</v>
      </c>
      <c r="X4" s="559">
        <v>3410160.2324918061</v>
      </c>
      <c r="Y4" s="627">
        <v>312.5</v>
      </c>
      <c r="Z4" s="601">
        <v>17.161685964029108</v>
      </c>
      <c r="AA4" s="561">
        <v>2736057.9206901286</v>
      </c>
      <c r="AB4" s="227">
        <v>12.030314167325002</v>
      </c>
      <c r="AC4" s="559">
        <v>4315437.4213877171</v>
      </c>
      <c r="AD4" s="627">
        <v>8.0598080722868648</v>
      </c>
      <c r="AE4" s="561">
        <v>321240.31638913578</v>
      </c>
      <c r="AF4" s="618">
        <v>52241</v>
      </c>
      <c r="AG4" s="628">
        <v>22.160664819944596</v>
      </c>
      <c r="AH4" s="561">
        <v>0</v>
      </c>
      <c r="AI4" s="629">
        <v>15.730874356656605</v>
      </c>
      <c r="AJ4" s="618">
        <v>25079461</v>
      </c>
      <c r="AK4" s="561">
        <v>160693</v>
      </c>
      <c r="AL4" s="618">
        <v>25292395</v>
      </c>
      <c r="AM4" s="630">
        <v>1</v>
      </c>
      <c r="AN4" s="629">
        <v>10.855061657976481</v>
      </c>
      <c r="AO4" s="1165">
        <v>8.0598080722868648</v>
      </c>
      <c r="AP4" s="1165">
        <v>9.9866567253383636</v>
      </c>
      <c r="AQ4" s="1165">
        <v>0.64478464578294925</v>
      </c>
      <c r="AR4" s="625">
        <v>10.631441371121312</v>
      </c>
    </row>
    <row r="5" spans="1:50" x14ac:dyDescent="0.25">
      <c r="A5" s="500" t="s">
        <v>6</v>
      </c>
      <c r="B5" s="271">
        <v>342.13057499999996</v>
      </c>
      <c r="C5" s="602">
        <f>100*B5/$B$16</f>
        <v>0.61411319241457973</v>
      </c>
      <c r="D5" s="274">
        <f>C5/C$4*D$4</f>
        <v>168400.04767970846</v>
      </c>
      <c r="E5" s="760">
        <f>'T14aa-VVZ-6r'!H6</f>
        <v>0.899522460966096</v>
      </c>
      <c r="F5" s="603">
        <f t="shared" ref="F5:F14" si="0">E5/E$4*F$4</f>
        <v>369996.02154792339</v>
      </c>
      <c r="G5" s="273">
        <f>0.9*H5</f>
        <v>378900.107279344</v>
      </c>
      <c r="H5" s="608">
        <f>C5/C$4*H$4</f>
        <v>421000.11919927108</v>
      </c>
      <c r="I5" s="609">
        <f>IF(G5&gt;H5,G5-H5,0)</f>
        <v>0</v>
      </c>
      <c r="J5" s="608">
        <f t="shared" ref="J5:J14" si="1">+IF(I5=0,-H5+F5+D5,0)</f>
        <v>117395.95002836076</v>
      </c>
      <c r="K5" s="608">
        <f>+G5</f>
        <v>378900.107279344</v>
      </c>
      <c r="L5" s="609">
        <f>+IF(J5&gt;0,J5*L$4/J$16,0)</f>
        <v>91430.398267280834</v>
      </c>
      <c r="M5" s="1006">
        <f>+L5/$L$16*100</f>
        <v>2.1744899464033951</v>
      </c>
      <c r="N5" s="609">
        <f>+M5*$I$16/100</f>
        <v>-43191.04414837082</v>
      </c>
      <c r="O5" s="274">
        <f t="shared" ref="O5:O14" si="2">+D5+F5-I5+N5</f>
        <v>495205.0250792611</v>
      </c>
      <c r="P5" s="275">
        <f>'T14c-vstup_DG-ZG'!D4</f>
        <v>274341</v>
      </c>
      <c r="Q5" s="276">
        <f>100*P5/$P$16</f>
        <v>0.34190170363670119</v>
      </c>
      <c r="R5" s="274">
        <f>Q5/Q$4*R$4</f>
        <v>49057.91771647831</v>
      </c>
      <c r="S5" s="604">
        <f>'T14c-vstup_DG-ZG'!I4</f>
        <v>133409</v>
      </c>
      <c r="T5" s="276">
        <f>100*S5/$S$16</f>
        <v>1.0417244658504294</v>
      </c>
      <c r="U5" s="272">
        <f t="shared" ref="U5:U14" si="3">T5/T$4*U$4</f>
        <v>49824.099134679745</v>
      </c>
      <c r="V5" s="275">
        <f>'T14c-vstup_DG-ZG'!N4</f>
        <v>131901</v>
      </c>
      <c r="W5" s="276">
        <f>100*V5/$V$16</f>
        <v>0.75819567259743692</v>
      </c>
      <c r="X5" s="274">
        <f t="shared" ref="X5:X14" si="4">W5/W$4*X$4</f>
        <v>120877.82516189147</v>
      </c>
      <c r="Y5" s="611">
        <v>40</v>
      </c>
      <c r="Z5" s="277">
        <f>Y5/$Y$16*100</f>
        <v>2.196695803395726</v>
      </c>
      <c r="AA5" s="272">
        <f t="shared" ref="AA5:AA14" si="5">Z5/Z$4*AA$4</f>
        <v>350215.41384833644</v>
      </c>
      <c r="AB5" s="278">
        <f>'T20-Publik'!I6</f>
        <v>0.24091627775985314</v>
      </c>
      <c r="AC5" s="274">
        <f>AB5*$AC$17/100</f>
        <v>86420.948951049999</v>
      </c>
      <c r="AD5" s="612">
        <f>'T20-Publik'!L6</f>
        <v>6.2154685810368999</v>
      </c>
      <c r="AE5" s="272">
        <f>ROUND(AD5*$AE$17/100,0)</f>
        <v>247730</v>
      </c>
      <c r="AF5" s="619">
        <f>AF$4*AE5/AE$15</f>
        <v>40286.586134976962</v>
      </c>
      <c r="AG5" s="616"/>
      <c r="AH5" s="272"/>
      <c r="AI5" s="620">
        <f>AJ5/$AJ$16*100</f>
        <v>0.87771823104071667</v>
      </c>
      <c r="AJ5" s="906">
        <f>INT(0.7+AE5+AC5+AA5+X5+U5+R5+O5+AH5)</f>
        <v>1399331</v>
      </c>
      <c r="AK5" s="189"/>
      <c r="AL5" s="913">
        <f t="shared" ref="AL5:AL14" si="6">SUM(AJ5:AK5)+AF5</f>
        <v>1439617.5861349769</v>
      </c>
      <c r="AM5" s="776">
        <f>AJ5/AJ$4</f>
        <v>5.579589609202526E-2</v>
      </c>
      <c r="AN5" s="626">
        <f>'T20-Publik'!F6</f>
        <v>0.37589042574084264</v>
      </c>
      <c r="AO5" s="280">
        <f>'T20-Publik'!L6</f>
        <v>6.2154685810368999</v>
      </c>
      <c r="AP5" s="279">
        <f>AN5*13.8/15</f>
        <v>0.34581919168157527</v>
      </c>
      <c r="AQ5" s="281">
        <f>AO5*1.2/15</f>
        <v>0.49723748648295196</v>
      </c>
      <c r="AR5" s="282">
        <f>AP5+AQ5</f>
        <v>0.84305667816452723</v>
      </c>
      <c r="AU5" s="329">
        <v>160588271</v>
      </c>
      <c r="AV5" s="305" t="s">
        <v>191</v>
      </c>
      <c r="AW5" s="330">
        <v>163537938</v>
      </c>
      <c r="AX5" s="296">
        <f t="shared" ref="AX5:AX13" si="7">AU5-AW5</f>
        <v>-2949667</v>
      </c>
    </row>
    <row r="6" spans="1:50" x14ac:dyDescent="0.25">
      <c r="A6" s="500" t="s">
        <v>3</v>
      </c>
      <c r="B6" s="271">
        <v>1853.30115</v>
      </c>
      <c r="C6" s="602">
        <f t="shared" ref="C6:C14" si="8">100*B6/$B$16</f>
        <v>3.326614950248489</v>
      </c>
      <c r="D6" s="274">
        <f t="shared" ref="D6:D14" si="9">C6/C$4*D$4</f>
        <v>912213.12805749231</v>
      </c>
      <c r="E6" s="760">
        <f>'T14aa-VVZ-6r'!H7</f>
        <v>3.9361289235236954</v>
      </c>
      <c r="F6" s="603">
        <f t="shared" si="0"/>
        <v>1619027.9900730229</v>
      </c>
      <c r="G6" s="273">
        <f t="shared" ref="G6:G14" si="10">0.9*H6</f>
        <v>2052479.5381293579</v>
      </c>
      <c r="H6" s="608">
        <f t="shared" ref="H6:H14" si="11">C6/C$4*H$4</f>
        <v>2280532.8201437308</v>
      </c>
      <c r="I6" s="609">
        <v>0</v>
      </c>
      <c r="J6" s="608">
        <f t="shared" si="1"/>
        <v>250708.29798678437</v>
      </c>
      <c r="K6" s="608">
        <f t="shared" ref="K6:K14" si="12">+G6</f>
        <v>2052479.5381293579</v>
      </c>
      <c r="L6" s="609">
        <f t="shared" ref="L6:L14" si="13">+IF(J6&gt;0,J6*L$4/J$16,0)</f>
        <v>195256.81702227535</v>
      </c>
      <c r="M6" s="1006">
        <f t="shared" ref="M6:M14" si="14">+L6/$L$16*100</f>
        <v>4.6437945544157841</v>
      </c>
      <c r="N6" s="609">
        <f t="shared" ref="N6:N14" si="15">+M6*$I$16/100</f>
        <v>-92237.876724828893</v>
      </c>
      <c r="O6" s="274">
        <f t="shared" si="2"/>
        <v>2439003.2414056864</v>
      </c>
      <c r="P6" s="275">
        <f>'T14c-vstup_DG-ZG'!D5</f>
        <v>3412291.81</v>
      </c>
      <c r="Q6" s="276">
        <f t="shared" ref="Q6:Q14" si="16">100*P6/$P$16</f>
        <v>4.2526213112315068</v>
      </c>
      <c r="R6" s="274">
        <f t="shared" ref="R6:R14" si="17">Q6/Q$4*R$4</f>
        <v>610189.25658065279</v>
      </c>
      <c r="S6" s="604">
        <f>'T14c-vstup_DG-ZG'!I5</f>
        <v>294005</v>
      </c>
      <c r="T6" s="276">
        <f t="shared" ref="T6:T14" si="18">100*S6/$S$16</f>
        <v>2.2957386801666715</v>
      </c>
      <c r="U6" s="272">
        <f t="shared" si="3"/>
        <v>109801.69453403832</v>
      </c>
      <c r="V6" s="275">
        <f>'T14c-vstup_DG-ZG'!N5</f>
        <v>2379088.98</v>
      </c>
      <c r="W6" s="276">
        <f t="shared" ref="W6:W14" si="19">100*V6/$V$16</f>
        <v>13.67552156056626</v>
      </c>
      <c r="X6" s="274">
        <f t="shared" si="4"/>
        <v>2180264.757424301</v>
      </c>
      <c r="Y6" s="611">
        <v>38.75</v>
      </c>
      <c r="Z6" s="277">
        <f t="shared" ref="Z6:Z14" si="20">Y6/$Y$16*100</f>
        <v>2.1280490595396091</v>
      </c>
      <c r="AA6" s="272">
        <f t="shared" si="5"/>
        <v>339271.18216557591</v>
      </c>
      <c r="AB6" s="278">
        <f>'T20-Publik'!I7</f>
        <v>2.125266738445073</v>
      </c>
      <c r="AC6" s="274">
        <f t="shared" ref="AC6:AC14" si="21">AB6*$AC$17/100</f>
        <v>762370.93656912295</v>
      </c>
      <c r="AD6" s="612">
        <f>'T20-Publik'!L7</f>
        <v>0</v>
      </c>
      <c r="AE6" s="272"/>
      <c r="AF6" s="619">
        <f t="shared" ref="AF6:AF14" si="22">AF$4*AE6/AE$15</f>
        <v>0</v>
      </c>
      <c r="AG6" s="616"/>
      <c r="AH6" s="272"/>
      <c r="AI6" s="620">
        <f t="shared" ref="AI6:AI14" si="23">AJ6/$AJ$16*100</f>
        <v>4.0399992796760618</v>
      </c>
      <c r="AJ6" s="906">
        <f t="shared" ref="AJ6:AJ14" si="24">INT(0.7+AE6+AC6+AA6+X6+U6+R6+O6+AH6)</f>
        <v>6440901</v>
      </c>
      <c r="AK6" s="189">
        <v>25108</v>
      </c>
      <c r="AL6" s="913">
        <f t="shared" si="6"/>
        <v>6466009</v>
      </c>
      <c r="AM6" s="776">
        <f t="shared" ref="AM6:AM14" si="25">AJ6/AJ$4</f>
        <v>0.25681975382166305</v>
      </c>
      <c r="AN6" s="626">
        <f>'T20-Publik'!F7</f>
        <v>1.8656492509402876</v>
      </c>
      <c r="AO6" s="280">
        <f>'T20-Publik'!L7</f>
        <v>0</v>
      </c>
      <c r="AP6" s="279">
        <f t="shared" ref="AP6:AP14" si="26">AN6*13.8/15</f>
        <v>1.7163973108650648</v>
      </c>
      <c r="AQ6" s="281">
        <f t="shared" ref="AQ6:AQ14" si="27">AO6*1.2/15</f>
        <v>0</v>
      </c>
      <c r="AR6" s="282">
        <f t="shared" ref="AR6:AR14" si="28">AP6+AQ6</f>
        <v>1.7163973108650648</v>
      </c>
      <c r="AU6" s="298">
        <f>AU7+AU9+AU10</f>
        <v>160588271</v>
      </c>
      <c r="AV6" s="306"/>
      <c r="AW6" s="299">
        <v>154088099</v>
      </c>
      <c r="AX6" s="297">
        <f t="shared" si="7"/>
        <v>6500172</v>
      </c>
    </row>
    <row r="7" spans="1:50" x14ac:dyDescent="0.25">
      <c r="A7" s="500" t="s">
        <v>5</v>
      </c>
      <c r="B7" s="271">
        <v>1771.8999999999999</v>
      </c>
      <c r="C7" s="602">
        <f t="shared" si="8"/>
        <v>3.1805025483016065</v>
      </c>
      <c r="D7" s="274">
        <f t="shared" si="9"/>
        <v>872146.67816132889</v>
      </c>
      <c r="E7" s="760">
        <f>'T14aa-VVZ-6r'!H8</f>
        <v>4.2765552862349496</v>
      </c>
      <c r="F7" s="603">
        <f t="shared" si="0"/>
        <v>1759053.8430104982</v>
      </c>
      <c r="G7" s="273">
        <f t="shared" si="10"/>
        <v>1962330.0258629899</v>
      </c>
      <c r="H7" s="608">
        <f t="shared" si="11"/>
        <v>2180366.6954033221</v>
      </c>
      <c r="I7" s="609">
        <v>0</v>
      </c>
      <c r="J7" s="608">
        <f t="shared" si="1"/>
        <v>450833.82576850499</v>
      </c>
      <c r="K7" s="608">
        <f t="shared" si="12"/>
        <v>1962330.0258629899</v>
      </c>
      <c r="L7" s="609">
        <f t="shared" si="13"/>
        <v>351118.72455922299</v>
      </c>
      <c r="M7" s="1006">
        <f t="shared" si="14"/>
        <v>8.3506596385596179</v>
      </c>
      <c r="N7" s="609">
        <f t="shared" si="15"/>
        <v>-165865.8894761049</v>
      </c>
      <c r="O7" s="274">
        <f t="shared" si="2"/>
        <v>2465334.6316957218</v>
      </c>
      <c r="P7" s="275">
        <f>'T14c-vstup_DG-ZG'!D6</f>
        <v>4552727.8</v>
      </c>
      <c r="Q7" s="276">
        <f t="shared" si="16"/>
        <v>5.673907257807512</v>
      </c>
      <c r="R7" s="274">
        <f t="shared" si="17"/>
        <v>814123.10153394251</v>
      </c>
      <c r="S7" s="604">
        <f>'T14c-vstup_DG-ZG'!I6</f>
        <v>384105.81000000006</v>
      </c>
      <c r="T7" s="276">
        <f t="shared" si="18"/>
        <v>2.9992910504710819</v>
      </c>
      <c r="U7" s="272">
        <f t="shared" si="3"/>
        <v>143451.53592071348</v>
      </c>
      <c r="V7" s="275">
        <f>'T14c-vstup_DG-ZG'!N6</f>
        <v>473245.45999999996</v>
      </c>
      <c r="W7" s="276">
        <f t="shared" si="19"/>
        <v>2.720317964597565</v>
      </c>
      <c r="X7" s="274">
        <f t="shared" si="4"/>
        <v>433695.58966602903</v>
      </c>
      <c r="Y7" s="611">
        <v>76.583333333333329</v>
      </c>
      <c r="Z7" s="277">
        <f t="shared" si="20"/>
        <v>4.2057571735847326</v>
      </c>
      <c r="AA7" s="272">
        <f t="shared" si="5"/>
        <v>670516.59443046071</v>
      </c>
      <c r="AB7" s="278">
        <f>'T20-Publik'!I8</f>
        <v>4.3540902252109088</v>
      </c>
      <c r="AC7" s="274">
        <f t="shared" si="21"/>
        <v>1561889.518550094</v>
      </c>
      <c r="AD7" s="612">
        <f>'T20-Publik'!L8</f>
        <v>0</v>
      </c>
      <c r="AE7" s="272"/>
      <c r="AF7" s="619">
        <f t="shared" si="22"/>
        <v>0</v>
      </c>
      <c r="AG7" s="616"/>
      <c r="AH7" s="272"/>
      <c r="AI7" s="620">
        <f t="shared" si="23"/>
        <v>3.8192793296993108</v>
      </c>
      <c r="AJ7" s="906">
        <f t="shared" si="24"/>
        <v>6089011</v>
      </c>
      <c r="AK7" s="189">
        <v>75325</v>
      </c>
      <c r="AL7" s="913">
        <f t="shared" si="6"/>
        <v>6164336</v>
      </c>
      <c r="AM7" s="776">
        <f t="shared" si="25"/>
        <v>0.24278875052378518</v>
      </c>
      <c r="AN7" s="626">
        <f>'T20-Publik'!F8</f>
        <v>3.5912250839895115</v>
      </c>
      <c r="AO7" s="280">
        <f>'T20-Publik'!L8</f>
        <v>0</v>
      </c>
      <c r="AP7" s="279">
        <f t="shared" si="26"/>
        <v>3.3039270772703508</v>
      </c>
      <c r="AQ7" s="281">
        <f t="shared" si="27"/>
        <v>0</v>
      </c>
      <c r="AR7" s="282">
        <f t="shared" si="28"/>
        <v>3.3039270772703508</v>
      </c>
      <c r="AU7" s="298">
        <v>159428271</v>
      </c>
      <c r="AV7" s="306" t="s">
        <v>192</v>
      </c>
      <c r="AW7" s="299">
        <v>152928099</v>
      </c>
      <c r="AX7" s="297">
        <f t="shared" si="7"/>
        <v>6500172</v>
      </c>
    </row>
    <row r="8" spans="1:50" x14ac:dyDescent="0.25">
      <c r="A8" s="500" t="s">
        <v>7</v>
      </c>
      <c r="B8" s="271">
        <v>250.87999999999997</v>
      </c>
      <c r="C8" s="602">
        <f t="shared" si="8"/>
        <v>0.45032139472764088</v>
      </c>
      <c r="D8" s="274">
        <f t="shared" si="9"/>
        <v>123485.61353186645</v>
      </c>
      <c r="E8" s="760">
        <f>'T14aa-VVZ-6r'!H9</f>
        <v>0.50118153994895376</v>
      </c>
      <c r="F8" s="603">
        <f t="shared" si="0"/>
        <v>206148.46643764214</v>
      </c>
      <c r="G8" s="273">
        <f t="shared" si="10"/>
        <v>277842.63044669951</v>
      </c>
      <c r="H8" s="608">
        <f t="shared" si="11"/>
        <v>308714.03382966609</v>
      </c>
      <c r="I8" s="609">
        <v>0</v>
      </c>
      <c r="J8" s="608">
        <f t="shared" si="1"/>
        <v>20920.046139842496</v>
      </c>
      <c r="K8" s="608">
        <f t="shared" si="12"/>
        <v>277842.63044669951</v>
      </c>
      <c r="L8" s="609">
        <f t="shared" si="13"/>
        <v>16292.965386570913</v>
      </c>
      <c r="M8" s="1006">
        <f t="shared" si="14"/>
        <v>0.38749573557173816</v>
      </c>
      <c r="N8" s="609">
        <f t="shared" si="15"/>
        <v>-7696.6763861411609</v>
      </c>
      <c r="O8" s="274">
        <f t="shared" si="2"/>
        <v>321937.40358336741</v>
      </c>
      <c r="P8" s="275">
        <f>'T14c-vstup_DG-ZG'!D7</f>
        <v>661562.67000000004</v>
      </c>
      <c r="Q8" s="276">
        <f t="shared" si="16"/>
        <v>0.82448268372370437</v>
      </c>
      <c r="R8" s="274">
        <f t="shared" si="17"/>
        <v>118301.26386195901</v>
      </c>
      <c r="S8" s="604">
        <f>'T14c-vstup_DG-ZG'!I7</f>
        <v>380227.5</v>
      </c>
      <c r="T8" s="276">
        <f t="shared" si="18"/>
        <v>2.9690072584244249</v>
      </c>
      <c r="U8" s="272">
        <f t="shared" si="3"/>
        <v>142003.10813911684</v>
      </c>
      <c r="V8" s="275">
        <f>'T14c-vstup_DG-ZG'!N7</f>
        <v>15126.82</v>
      </c>
      <c r="W8" s="276">
        <f t="shared" si="19"/>
        <v>8.6952255586844385E-2</v>
      </c>
      <c r="X8" s="274">
        <f t="shared" si="4"/>
        <v>13862.647767760693</v>
      </c>
      <c r="Y8" s="611">
        <v>25.083333333333332</v>
      </c>
      <c r="Z8" s="277">
        <f t="shared" si="20"/>
        <v>1.3775113267127364</v>
      </c>
      <c r="AA8" s="272">
        <f t="shared" si="5"/>
        <v>219614.24910072764</v>
      </c>
      <c r="AB8" s="278">
        <f>'T20-Publik'!I9</f>
        <v>0.32374571946931363</v>
      </c>
      <c r="AC8" s="274">
        <f t="shared" si="21"/>
        <v>116133.3412400949</v>
      </c>
      <c r="AD8" s="612">
        <f>'T20-Publik'!L9</f>
        <v>0</v>
      </c>
      <c r="AE8" s="272"/>
      <c r="AF8" s="619">
        <f t="shared" si="22"/>
        <v>0</v>
      </c>
      <c r="AG8" s="616"/>
      <c r="AH8" s="272"/>
      <c r="AI8" s="620">
        <f t="shared" si="23"/>
        <v>0.58449608350830073</v>
      </c>
      <c r="AJ8" s="906">
        <f t="shared" si="24"/>
        <v>931852</v>
      </c>
      <c r="AK8" s="189"/>
      <c r="AL8" s="913">
        <f t="shared" si="6"/>
        <v>931852</v>
      </c>
      <c r="AM8" s="776">
        <f t="shared" si="25"/>
        <v>3.715598194076021E-2</v>
      </c>
      <c r="AN8" s="626">
        <f>'T20-Publik'!F9</f>
        <v>0.27479187975290087</v>
      </c>
      <c r="AO8" s="280">
        <f>'T20-Publik'!L9</f>
        <v>0</v>
      </c>
      <c r="AP8" s="279">
        <f t="shared" si="26"/>
        <v>0.25280852937266884</v>
      </c>
      <c r="AQ8" s="281">
        <f t="shared" si="27"/>
        <v>0</v>
      </c>
      <c r="AR8" s="282">
        <f t="shared" si="28"/>
        <v>0.25280852937266884</v>
      </c>
      <c r="AU8" s="298">
        <v>0</v>
      </c>
      <c r="AV8" s="307" t="s">
        <v>193</v>
      </c>
      <c r="AW8" s="299">
        <v>9449839</v>
      </c>
      <c r="AX8" s="297">
        <f t="shared" si="7"/>
        <v>-9449839</v>
      </c>
    </row>
    <row r="9" spans="1:50" x14ac:dyDescent="0.25">
      <c r="A9" s="500" t="s">
        <v>0</v>
      </c>
      <c r="B9" s="271">
        <v>1825.8925750000001</v>
      </c>
      <c r="C9" s="602">
        <f t="shared" si="8"/>
        <v>3.2774174545473684</v>
      </c>
      <c r="D9" s="274">
        <f t="shared" si="9"/>
        <v>898722.35677277786</v>
      </c>
      <c r="E9" s="760">
        <f>'T14aa-VVZ-6r'!H10</f>
        <v>3.3813880156054297</v>
      </c>
      <c r="F9" s="603">
        <f t="shared" si="0"/>
        <v>1390849.2198628844</v>
      </c>
      <c r="G9" s="273">
        <f t="shared" si="10"/>
        <v>2022125.3027387501</v>
      </c>
      <c r="H9" s="608">
        <f t="shared" si="11"/>
        <v>2246805.8919319445</v>
      </c>
      <c r="I9" s="609">
        <v>0</v>
      </c>
      <c r="J9" s="608">
        <f t="shared" si="1"/>
        <v>42765.684703717707</v>
      </c>
      <c r="K9" s="608">
        <f t="shared" si="12"/>
        <v>2022125.3027387501</v>
      </c>
      <c r="L9" s="609">
        <f t="shared" si="13"/>
        <v>33306.801330789211</v>
      </c>
      <c r="M9" s="1006">
        <f t="shared" si="14"/>
        <v>0.79213594180059899</v>
      </c>
      <c r="N9" s="609">
        <f t="shared" si="15"/>
        <v>-15733.886693939212</v>
      </c>
      <c r="O9" s="274">
        <f t="shared" si="2"/>
        <v>2273837.6899417234</v>
      </c>
      <c r="P9" s="275">
        <f>'T14c-vstup_DG-ZG'!D8</f>
        <v>2629539</v>
      </c>
      <c r="Q9" s="276">
        <f t="shared" si="16"/>
        <v>3.277103545875927</v>
      </c>
      <c r="R9" s="274">
        <f t="shared" si="17"/>
        <v>470216.65698627138</v>
      </c>
      <c r="S9" s="604">
        <f>'T14c-vstup_DG-ZG'!I8</f>
        <v>1242729</v>
      </c>
      <c r="T9" s="276">
        <f t="shared" si="18"/>
        <v>9.70385209185166</v>
      </c>
      <c r="U9" s="272">
        <f t="shared" si="3"/>
        <v>464120.50831309299</v>
      </c>
      <c r="V9" s="275">
        <f>'T14c-vstup_DG-ZG'!N8</f>
        <v>154314</v>
      </c>
      <c r="W9" s="276">
        <f t="shared" si="19"/>
        <v>0.88703047756424047</v>
      </c>
      <c r="X9" s="274">
        <f t="shared" si="4"/>
        <v>141417.73536237117</v>
      </c>
      <c r="Y9" s="611">
        <v>77.166666666666671</v>
      </c>
      <c r="Z9" s="277">
        <f t="shared" si="20"/>
        <v>4.2377923207175883</v>
      </c>
      <c r="AA9" s="272">
        <f t="shared" si="5"/>
        <v>675623.90254908253</v>
      </c>
      <c r="AB9" s="278">
        <f>'T20-Publik'!I10</f>
        <v>2.1799978473128916</v>
      </c>
      <c r="AC9" s="274">
        <f t="shared" si="21"/>
        <v>782003.95767288969</v>
      </c>
      <c r="AD9" s="612">
        <f>'T20-Publik'!L10</f>
        <v>1.8443394912499647</v>
      </c>
      <c r="AE9" s="272">
        <f>ROUND(AD9*$AE$17/100,0)</f>
        <v>73510</v>
      </c>
      <c r="AF9" s="619">
        <f t="shared" si="22"/>
        <v>11954.413865023036</v>
      </c>
      <c r="AG9" s="616"/>
      <c r="AH9" s="272"/>
      <c r="AI9" s="620">
        <f t="shared" si="23"/>
        <v>3.061396181107678</v>
      </c>
      <c r="AJ9" s="906">
        <f t="shared" si="24"/>
        <v>4880731</v>
      </c>
      <c r="AK9" s="189">
        <v>60260</v>
      </c>
      <c r="AL9" s="913">
        <f t="shared" si="6"/>
        <v>4952945.4138650233</v>
      </c>
      <c r="AM9" s="776">
        <f t="shared" si="25"/>
        <v>0.19461068162509554</v>
      </c>
      <c r="AN9" s="626">
        <f>'T20-Publik'!F10</f>
        <v>2.1676702742495855</v>
      </c>
      <c r="AO9" s="280">
        <f>'T20-Publik'!L10</f>
        <v>1.8443394912499647</v>
      </c>
      <c r="AP9" s="279">
        <f t="shared" si="26"/>
        <v>1.9942566523096188</v>
      </c>
      <c r="AQ9" s="281">
        <f t="shared" si="27"/>
        <v>0.14754715929999715</v>
      </c>
      <c r="AR9" s="282">
        <f t="shared" si="28"/>
        <v>2.1418038116096159</v>
      </c>
      <c r="AU9" s="298">
        <v>1160000</v>
      </c>
      <c r="AV9" s="283" t="s">
        <v>194</v>
      </c>
      <c r="AW9" s="299">
        <v>1160000</v>
      </c>
      <c r="AX9" s="297">
        <f t="shared" si="7"/>
        <v>0</v>
      </c>
    </row>
    <row r="10" spans="1:50" x14ac:dyDescent="0.25">
      <c r="A10" s="500" t="s">
        <v>1</v>
      </c>
      <c r="B10" s="271">
        <v>857.36922500000014</v>
      </c>
      <c r="C10" s="602">
        <f t="shared" si="8"/>
        <v>1.5389497177876144</v>
      </c>
      <c r="D10" s="274">
        <f t="shared" si="9"/>
        <v>422005.59938004578</v>
      </c>
      <c r="E10" s="760">
        <f>'T14aa-VVZ-6r'!H11</f>
        <v>1.3908492460096611</v>
      </c>
      <c r="F10" s="603">
        <f t="shared" si="0"/>
        <v>572090.9815234727</v>
      </c>
      <c r="G10" s="273">
        <f t="shared" si="10"/>
        <v>949512.59860510298</v>
      </c>
      <c r="H10" s="608">
        <f t="shared" si="11"/>
        <v>1055013.9984501144</v>
      </c>
      <c r="I10" s="609">
        <v>0</v>
      </c>
      <c r="J10" s="608">
        <f t="shared" si="1"/>
        <v>-60917.417546595912</v>
      </c>
      <c r="K10" s="608">
        <f t="shared" si="12"/>
        <v>949512.59860510298</v>
      </c>
      <c r="L10" s="609">
        <f t="shared" si="13"/>
        <v>0</v>
      </c>
      <c r="M10" s="1006">
        <f t="shared" si="14"/>
        <v>0</v>
      </c>
      <c r="N10" s="609">
        <f t="shared" si="15"/>
        <v>0</v>
      </c>
      <c r="O10" s="274">
        <f t="shared" si="2"/>
        <v>994096.58090351848</v>
      </c>
      <c r="P10" s="275">
        <f>'T14c-vstup_DG-ZG'!D9</f>
        <v>1946978</v>
      </c>
      <c r="Q10" s="276">
        <f t="shared" si="16"/>
        <v>2.4264513694386811</v>
      </c>
      <c r="R10" s="274">
        <f t="shared" si="17"/>
        <v>348160.45184567198</v>
      </c>
      <c r="S10" s="604">
        <f>'T14c-vstup_DG-ZG'!I9</f>
        <v>551588.54</v>
      </c>
      <c r="T10" s="276">
        <f t="shared" si="18"/>
        <v>4.3070803109289342</v>
      </c>
      <c r="U10" s="272">
        <f t="shared" si="3"/>
        <v>206001.11010886269</v>
      </c>
      <c r="V10" s="275">
        <f>'T14c-vstup_DG-ZG'!N9</f>
        <v>28589.74</v>
      </c>
      <c r="W10" s="276">
        <f t="shared" si="19"/>
        <v>0.16434005161966814</v>
      </c>
      <c r="X10" s="274">
        <f t="shared" si="4"/>
        <v>26200.450285774441</v>
      </c>
      <c r="Y10" s="611">
        <v>19.25</v>
      </c>
      <c r="Z10" s="277">
        <f t="shared" si="20"/>
        <v>1.057159855384193</v>
      </c>
      <c r="AA10" s="272">
        <f t="shared" si="5"/>
        <v>168541.1679145119</v>
      </c>
      <c r="AB10" s="278">
        <f>'T20-Publik'!I11</f>
        <v>0.55385931359797913</v>
      </c>
      <c r="AC10" s="274">
        <f t="shared" si="21"/>
        <v>198679.17565216048</v>
      </c>
      <c r="AD10" s="612">
        <f>'T20-Publik'!L11</f>
        <v>0</v>
      </c>
      <c r="AE10" s="272"/>
      <c r="AF10" s="619">
        <f t="shared" si="22"/>
        <v>0</v>
      </c>
      <c r="AG10" s="616"/>
      <c r="AH10" s="272"/>
      <c r="AI10" s="620">
        <f t="shared" si="23"/>
        <v>1.2179013093606215</v>
      </c>
      <c r="AJ10" s="906">
        <f t="shared" si="24"/>
        <v>1941679</v>
      </c>
      <c r="AK10" s="189"/>
      <c r="AL10" s="913">
        <f t="shared" si="6"/>
        <v>1941679</v>
      </c>
      <c r="AM10" s="776">
        <f t="shared" si="25"/>
        <v>7.7421081736963965E-2</v>
      </c>
      <c r="AN10" s="626">
        <f>'T20-Publik'!F11</f>
        <v>0.58771688746699513</v>
      </c>
      <c r="AO10" s="280">
        <f>'T20-Publik'!L11</f>
        <v>0</v>
      </c>
      <c r="AP10" s="279">
        <f t="shared" si="26"/>
        <v>0.54069953646963553</v>
      </c>
      <c r="AQ10" s="281">
        <f t="shared" si="27"/>
        <v>0</v>
      </c>
      <c r="AR10" s="282">
        <f t="shared" si="28"/>
        <v>0.54069953646963553</v>
      </c>
      <c r="AU10" s="299">
        <v>0</v>
      </c>
      <c r="AV10" s="283"/>
      <c r="AW10" s="299"/>
      <c r="AX10" s="297">
        <f t="shared" si="7"/>
        <v>0</v>
      </c>
    </row>
    <row r="11" spans="1:50" x14ac:dyDescent="0.25">
      <c r="A11" s="500" t="s">
        <v>4</v>
      </c>
      <c r="B11" s="271">
        <v>1043.605425</v>
      </c>
      <c r="C11" s="602">
        <f t="shared" si="8"/>
        <v>1.8732376057530791</v>
      </c>
      <c r="D11" s="274">
        <f t="shared" si="9"/>
        <v>513672.89617071609</v>
      </c>
      <c r="E11" s="760">
        <f>'T14aa-VVZ-6r'!H12</f>
        <v>1.4752678446168275</v>
      </c>
      <c r="F11" s="603">
        <f t="shared" si="0"/>
        <v>606814.45646122622</v>
      </c>
      <c r="G11" s="273">
        <f t="shared" si="10"/>
        <v>1155764.0163841113</v>
      </c>
      <c r="H11" s="608">
        <f t="shared" si="11"/>
        <v>1284182.2404267902</v>
      </c>
      <c r="I11" s="609">
        <v>0</v>
      </c>
      <c r="J11" s="608">
        <f t="shared" si="1"/>
        <v>-163694.88779484789</v>
      </c>
      <c r="K11" s="608">
        <f t="shared" si="12"/>
        <v>1155764.0163841113</v>
      </c>
      <c r="L11" s="609">
        <f t="shared" si="13"/>
        <v>0</v>
      </c>
      <c r="M11" s="1006">
        <f t="shared" si="14"/>
        <v>0</v>
      </c>
      <c r="N11" s="609">
        <f t="shared" si="15"/>
        <v>0</v>
      </c>
      <c r="O11" s="274">
        <f t="shared" si="2"/>
        <v>1120487.3526319424</v>
      </c>
      <c r="P11" s="275">
        <f>'T14c-vstup_DG-ZG'!D10</f>
        <v>1255900</v>
      </c>
      <c r="Q11" s="276">
        <f t="shared" si="16"/>
        <v>1.5651847503556999</v>
      </c>
      <c r="R11" s="274">
        <f t="shared" si="17"/>
        <v>224581.22869029827</v>
      </c>
      <c r="S11" s="604">
        <f>'T14c-vstup_DG-ZG'!I10</f>
        <v>482872.14</v>
      </c>
      <c r="T11" s="276">
        <f t="shared" si="18"/>
        <v>3.7705081524901147</v>
      </c>
      <c r="U11" s="272">
        <f t="shared" si="3"/>
        <v>180337.67866287095</v>
      </c>
      <c r="V11" s="275">
        <f>'T14c-vstup_DG-ZG'!N10</f>
        <v>52239.81</v>
      </c>
      <c r="W11" s="276">
        <f t="shared" si="19"/>
        <v>0.3002858043480513</v>
      </c>
      <c r="X11" s="274">
        <f t="shared" si="4"/>
        <v>47874.046593054103</v>
      </c>
      <c r="Y11" s="611">
        <v>29.25</v>
      </c>
      <c r="Z11" s="277">
        <f t="shared" si="20"/>
        <v>1.6063338062331245</v>
      </c>
      <c r="AA11" s="272">
        <f t="shared" si="5"/>
        <v>256095.02137659604</v>
      </c>
      <c r="AB11" s="278">
        <f>'T20-Publik'!I12</f>
        <v>1.8489951338642936</v>
      </c>
      <c r="AC11" s="274">
        <f t="shared" si="21"/>
        <v>663267.40376467037</v>
      </c>
      <c r="AD11" s="612">
        <f>'T20-Publik'!L12</f>
        <v>0</v>
      </c>
      <c r="AE11" s="272"/>
      <c r="AF11" s="619">
        <f t="shared" si="22"/>
        <v>0</v>
      </c>
      <c r="AG11" s="616"/>
      <c r="AH11" s="272"/>
      <c r="AI11" s="620">
        <f t="shared" si="23"/>
        <v>1.5634886989397256</v>
      </c>
      <c r="AJ11" s="906">
        <f t="shared" si="24"/>
        <v>2492643</v>
      </c>
      <c r="AK11" s="189"/>
      <c r="AL11" s="913">
        <f t="shared" si="6"/>
        <v>2492643</v>
      </c>
      <c r="AM11" s="776">
        <f t="shared" si="25"/>
        <v>9.9389815435028686E-2</v>
      </c>
      <c r="AN11" s="626">
        <f>'T20-Publik'!F12</f>
        <v>1.6389632282759712</v>
      </c>
      <c r="AO11" s="280">
        <f>'T20-Publik'!L12</f>
        <v>0</v>
      </c>
      <c r="AP11" s="279">
        <f t="shared" si="26"/>
        <v>1.5078461700138936</v>
      </c>
      <c r="AQ11" s="281">
        <f t="shared" si="27"/>
        <v>0</v>
      </c>
      <c r="AR11" s="282">
        <f t="shared" si="28"/>
        <v>1.5078461700138936</v>
      </c>
      <c r="AU11" s="300">
        <v>-2949667</v>
      </c>
      <c r="AV11" s="283"/>
      <c r="AW11" s="299"/>
      <c r="AX11" s="297">
        <f t="shared" si="7"/>
        <v>-2949667</v>
      </c>
    </row>
    <row r="12" spans="1:50" x14ac:dyDescent="0.25">
      <c r="A12" s="500" t="s">
        <v>17</v>
      </c>
      <c r="B12" s="271">
        <v>113.203175</v>
      </c>
      <c r="C12" s="602">
        <f t="shared" si="8"/>
        <v>0.20319599670598382</v>
      </c>
      <c r="D12" s="274">
        <f t="shared" si="9"/>
        <v>55719.720657805512</v>
      </c>
      <c r="E12" s="760">
        <f>'T14aa-VVZ-6r'!H13</f>
        <v>0.29656281116519695</v>
      </c>
      <c r="F12" s="603">
        <f t="shared" si="0"/>
        <v>121983.68026557447</v>
      </c>
      <c r="G12" s="273">
        <f t="shared" si="10"/>
        <v>125369.37148006241</v>
      </c>
      <c r="H12" s="608">
        <f t="shared" si="11"/>
        <v>139299.30164451379</v>
      </c>
      <c r="I12" s="609">
        <v>0</v>
      </c>
      <c r="J12" s="608">
        <f t="shared" si="1"/>
        <v>38404.09927886619</v>
      </c>
      <c r="K12" s="608">
        <f t="shared" si="12"/>
        <v>125369.37148006241</v>
      </c>
      <c r="L12" s="609">
        <f t="shared" si="13"/>
        <v>29909.908232052818</v>
      </c>
      <c r="M12" s="1006">
        <f t="shared" si="14"/>
        <v>0.71134760409024378</v>
      </c>
      <c r="N12" s="609">
        <f t="shared" si="15"/>
        <v>-14129.219509116034</v>
      </c>
      <c r="O12" s="274">
        <f t="shared" si="2"/>
        <v>163574.18141426396</v>
      </c>
      <c r="P12" s="275">
        <f>'T14c-vstup_DG-ZG'!D11</f>
        <v>54969</v>
      </c>
      <c r="Q12" s="276">
        <f t="shared" si="16"/>
        <v>6.8505964282428902E-2</v>
      </c>
      <c r="R12" s="274">
        <f t="shared" si="17"/>
        <v>9829.6086948618558</v>
      </c>
      <c r="S12" s="604">
        <f>'T14c-vstup_DG-ZG'!I11</f>
        <v>30791</v>
      </c>
      <c r="T12" s="276">
        <f t="shared" si="18"/>
        <v>0.24043159028251895</v>
      </c>
      <c r="U12" s="272">
        <f t="shared" si="3"/>
        <v>11499.477819756719</v>
      </c>
      <c r="V12" s="275">
        <f>'T14c-vstup_DG-ZG'!N11</f>
        <v>486637</v>
      </c>
      <c r="W12" s="276">
        <f t="shared" si="19"/>
        <v>2.7972954528456868</v>
      </c>
      <c r="X12" s="274">
        <f t="shared" si="4"/>
        <v>445967.97752334992</v>
      </c>
      <c r="Y12" s="611">
        <v>6.416666666666667</v>
      </c>
      <c r="Z12" s="277">
        <f t="shared" si="20"/>
        <v>0.35238661846139768</v>
      </c>
      <c r="AA12" s="272">
        <f t="shared" si="5"/>
        <v>56180.389304837307</v>
      </c>
      <c r="AB12" s="278">
        <f>'T20-Publik'!I13</f>
        <v>0.12483292525111311</v>
      </c>
      <c r="AC12" s="274">
        <f t="shared" si="21"/>
        <v>44779.788069324291</v>
      </c>
      <c r="AD12" s="612">
        <f>'T20-Publik'!L13</f>
        <v>0</v>
      </c>
      <c r="AE12" s="272"/>
      <c r="AF12" s="619">
        <f t="shared" si="22"/>
        <v>0</v>
      </c>
      <c r="AG12" s="616"/>
      <c r="AH12" s="272"/>
      <c r="AI12" s="620">
        <f t="shared" si="23"/>
        <v>0.45903527361216884</v>
      </c>
      <c r="AJ12" s="906">
        <f t="shared" si="24"/>
        <v>731832</v>
      </c>
      <c r="AK12" s="189"/>
      <c r="AL12" s="913">
        <f t="shared" si="6"/>
        <v>731832</v>
      </c>
      <c r="AM12" s="776">
        <f t="shared" si="25"/>
        <v>2.9180531431676301E-2</v>
      </c>
      <c r="AN12" s="626">
        <f>'T20-Publik'!F13</f>
        <v>0.1390166904084025</v>
      </c>
      <c r="AO12" s="280">
        <f>'T20-Publik'!L13</f>
        <v>0</v>
      </c>
      <c r="AP12" s="279">
        <f t="shared" si="26"/>
        <v>0.12789535517573031</v>
      </c>
      <c r="AQ12" s="281">
        <f t="shared" si="27"/>
        <v>0</v>
      </c>
      <c r="AR12" s="282">
        <f t="shared" si="28"/>
        <v>0.12789535517573031</v>
      </c>
      <c r="AU12" s="331">
        <v>0</v>
      </c>
      <c r="AV12" s="283"/>
      <c r="AW12" s="299"/>
      <c r="AX12" s="297">
        <f t="shared" si="7"/>
        <v>0</v>
      </c>
    </row>
    <row r="13" spans="1:50" x14ac:dyDescent="0.25">
      <c r="A13" s="500" t="s">
        <v>205</v>
      </c>
      <c r="B13" s="271">
        <v>0</v>
      </c>
      <c r="C13" s="602">
        <f t="shared" si="8"/>
        <v>0</v>
      </c>
      <c r="D13" s="274">
        <f t="shared" si="9"/>
        <v>0</v>
      </c>
      <c r="E13" s="760">
        <f>'T14aa-VVZ-6r'!H14</f>
        <v>7.0915033172586669E-2</v>
      </c>
      <c r="F13" s="603">
        <f t="shared" si="0"/>
        <v>29169.121706661892</v>
      </c>
      <c r="G13" s="273">
        <f t="shared" si="10"/>
        <v>0</v>
      </c>
      <c r="H13" s="608">
        <f t="shared" si="11"/>
        <v>0</v>
      </c>
      <c r="I13" s="609">
        <v>0</v>
      </c>
      <c r="J13" s="608">
        <f t="shared" si="1"/>
        <v>29169.121706661892</v>
      </c>
      <c r="K13" s="608">
        <f t="shared" si="12"/>
        <v>0</v>
      </c>
      <c r="L13" s="609">
        <f t="shared" si="13"/>
        <v>22717.516354717493</v>
      </c>
      <c r="M13" s="1006">
        <f t="shared" si="14"/>
        <v>0.5402908863655882</v>
      </c>
      <c r="N13" s="609">
        <f t="shared" si="15"/>
        <v>-10731.586763404357</v>
      </c>
      <c r="O13" s="274">
        <f t="shared" si="2"/>
        <v>18437.534943257535</v>
      </c>
      <c r="P13" s="275">
        <f>'T14c-vstup_DG-ZG'!D12</f>
        <v>66332</v>
      </c>
      <c r="Q13" s="276">
        <f t="shared" si="16"/>
        <v>8.2667278334735472E-2</v>
      </c>
      <c r="R13" s="274">
        <f t="shared" si="17"/>
        <v>11861.55112786437</v>
      </c>
      <c r="S13" s="604">
        <f>'T14c-vstup_DG-ZG'!I12</f>
        <v>0</v>
      </c>
      <c r="T13" s="276">
        <f t="shared" si="18"/>
        <v>0</v>
      </c>
      <c r="U13" s="272">
        <f t="shared" si="3"/>
        <v>0</v>
      </c>
      <c r="V13" s="275">
        <f>'T14c-vstup_DG-ZG'!N12</f>
        <v>0</v>
      </c>
      <c r="W13" s="276">
        <f t="shared" si="19"/>
        <v>0</v>
      </c>
      <c r="X13" s="274">
        <f t="shared" si="4"/>
        <v>0</v>
      </c>
      <c r="Y13" s="611">
        <v>0</v>
      </c>
      <c r="Z13" s="277">
        <f t="shared" si="20"/>
        <v>0</v>
      </c>
      <c r="AA13" s="272">
        <f t="shared" si="5"/>
        <v>0</v>
      </c>
      <c r="AB13" s="278">
        <f>'T20-Publik'!I14</f>
        <v>0.27846829889269781</v>
      </c>
      <c r="AC13" s="274">
        <f t="shared" si="21"/>
        <v>99891.526080608834</v>
      </c>
      <c r="AD13" s="612">
        <f>'T20-Publik'!L14</f>
        <v>0</v>
      </c>
      <c r="AE13" s="272"/>
      <c r="AF13" s="619">
        <f t="shared" si="22"/>
        <v>0</v>
      </c>
      <c r="AG13" s="616"/>
      <c r="AH13" s="272"/>
      <c r="AI13" s="620">
        <f t="shared" si="23"/>
        <v>8.1661175388397719E-2</v>
      </c>
      <c r="AJ13" s="906">
        <f t="shared" si="24"/>
        <v>130191</v>
      </c>
      <c r="AK13" s="189"/>
      <c r="AL13" s="913">
        <f t="shared" si="6"/>
        <v>130191</v>
      </c>
      <c r="AM13" s="776">
        <f t="shared" si="25"/>
        <v>5.1911402721135039E-3</v>
      </c>
      <c r="AN13" s="626">
        <f>'T20-Publik'!F14</f>
        <v>0.21413793715200302</v>
      </c>
      <c r="AO13" s="280">
        <f>'T20-Publik'!L14</f>
        <v>0</v>
      </c>
      <c r="AP13" s="279">
        <f t="shared" si="26"/>
        <v>0.19700690217984279</v>
      </c>
      <c r="AQ13" s="281">
        <f t="shared" si="27"/>
        <v>0</v>
      </c>
      <c r="AR13" s="282">
        <f t="shared" si="28"/>
        <v>0.19700690217984279</v>
      </c>
      <c r="AU13" s="283">
        <f>AU5</f>
        <v>160588271</v>
      </c>
      <c r="AV13" s="283"/>
      <c r="AW13" s="283">
        <f>SUM(AW7:AW9)</f>
        <v>163537938</v>
      </c>
      <c r="AX13" s="297">
        <f t="shared" si="7"/>
        <v>-2949667</v>
      </c>
    </row>
    <row r="14" spans="1:50" ht="15.75" thickBot="1" x14ac:dyDescent="0.3">
      <c r="A14" s="598" t="s">
        <v>64</v>
      </c>
      <c r="B14" s="271">
        <v>0</v>
      </c>
      <c r="C14" s="602">
        <f t="shared" si="8"/>
        <v>0</v>
      </c>
      <c r="D14" s="274">
        <f t="shared" si="9"/>
        <v>0</v>
      </c>
      <c r="E14" s="760">
        <f>'T14aa-VVZ-6r'!H15</f>
        <v>0.15881467127058713</v>
      </c>
      <c r="F14" s="603">
        <f t="shared" si="0"/>
        <v>65324.435001265934</v>
      </c>
      <c r="G14" s="273">
        <f t="shared" si="10"/>
        <v>0</v>
      </c>
      <c r="H14" s="608">
        <f t="shared" si="11"/>
        <v>0</v>
      </c>
      <c r="I14" s="609">
        <v>0</v>
      </c>
      <c r="J14" s="608">
        <f t="shared" si="1"/>
        <v>65324.435001265934</v>
      </c>
      <c r="K14" s="608">
        <f t="shared" si="12"/>
        <v>0</v>
      </c>
      <c r="L14" s="609">
        <f t="shared" si="13"/>
        <v>50876.023468509447</v>
      </c>
      <c r="M14" s="1006">
        <f t="shared" si="14"/>
        <v>1.2099849026343648</v>
      </c>
      <c r="N14" s="609">
        <f t="shared" si="15"/>
        <v>-24033.457333284925</v>
      </c>
      <c r="O14" s="274">
        <f t="shared" si="2"/>
        <v>41290.977667981009</v>
      </c>
      <c r="P14" s="275">
        <f>'T14c-vstup_DG-ZG'!D13</f>
        <v>0</v>
      </c>
      <c r="Q14" s="276">
        <f t="shared" si="16"/>
        <v>0</v>
      </c>
      <c r="R14" s="274">
        <f t="shared" si="17"/>
        <v>0</v>
      </c>
      <c r="S14" s="604">
        <f>'T14c-vstup_DG-ZG'!I13</f>
        <v>0</v>
      </c>
      <c r="T14" s="276">
        <f t="shared" si="18"/>
        <v>0</v>
      </c>
      <c r="U14" s="272">
        <f t="shared" si="3"/>
        <v>0</v>
      </c>
      <c r="V14" s="275">
        <f>'T14c-vstup_DG-ZG'!N13</f>
        <v>0</v>
      </c>
      <c r="W14" s="276">
        <f t="shared" si="19"/>
        <v>0</v>
      </c>
      <c r="X14" s="274">
        <f t="shared" si="4"/>
        <v>0</v>
      </c>
      <c r="Y14" s="611">
        <v>0</v>
      </c>
      <c r="Z14" s="277">
        <f t="shared" si="20"/>
        <v>0</v>
      </c>
      <c r="AA14" s="272">
        <f t="shared" si="5"/>
        <v>0</v>
      </c>
      <c r="AB14" s="278">
        <f>'T20-Publik'!I15</f>
        <v>0</v>
      </c>
      <c r="AC14" s="274">
        <f t="shared" si="21"/>
        <v>0</v>
      </c>
      <c r="AD14" s="612">
        <f>'T20-Publik'!L15</f>
        <v>0</v>
      </c>
      <c r="AE14" s="272"/>
      <c r="AF14" s="619">
        <f t="shared" si="22"/>
        <v>0</v>
      </c>
      <c r="AG14" s="616"/>
      <c r="AH14" s="272"/>
      <c r="AI14" s="620">
        <f t="shared" si="23"/>
        <v>2.5899421564949416E-2</v>
      </c>
      <c r="AJ14" s="906">
        <f t="shared" si="24"/>
        <v>41291</v>
      </c>
      <c r="AK14" s="189"/>
      <c r="AL14" s="913">
        <f t="shared" si="6"/>
        <v>41291</v>
      </c>
      <c r="AM14" s="776">
        <f t="shared" si="25"/>
        <v>1.6464069941535028E-3</v>
      </c>
      <c r="AN14" s="626">
        <f>'T20-Publik'!F15</f>
        <v>0</v>
      </c>
      <c r="AO14" s="280">
        <f>'T20-Publik'!L15</f>
        <v>0</v>
      </c>
      <c r="AP14" s="279">
        <f t="shared" si="26"/>
        <v>0</v>
      </c>
      <c r="AQ14" s="281">
        <f t="shared" si="27"/>
        <v>0</v>
      </c>
      <c r="AR14" s="282">
        <f t="shared" si="28"/>
        <v>0</v>
      </c>
      <c r="AU14" s="301">
        <v>2021</v>
      </c>
      <c r="AV14" s="302"/>
      <c r="AW14" s="301">
        <v>2020</v>
      </c>
      <c r="AX14" s="308" t="s">
        <v>195</v>
      </c>
    </row>
    <row r="15" spans="1:50" s="112" customFormat="1" ht="15.75" thickBot="1" x14ac:dyDescent="0.3">
      <c r="A15" s="631" t="s">
        <v>2</v>
      </c>
      <c r="B15" s="632">
        <f>SUM(B5:B14)</f>
        <v>8058.2821249999997</v>
      </c>
      <c r="C15" s="633">
        <f>SUM(C5:C14)</f>
        <v>14.464352860486363</v>
      </c>
      <c r="D15" s="634">
        <f>SUM(D5:D14)</f>
        <v>3966366.040411741</v>
      </c>
      <c r="E15" s="774">
        <f t="shared" ref="E15:AA15" si="29">SUM(E5:E14)</f>
        <v>16.387185832513982</v>
      </c>
      <c r="F15" s="636">
        <f t="shared" si="29"/>
        <v>6740458.2158901729</v>
      </c>
      <c r="G15" s="632">
        <f t="shared" si="29"/>
        <v>8924323.5909264181</v>
      </c>
      <c r="H15" s="637">
        <f t="shared" si="29"/>
        <v>9915915.1010293532</v>
      </c>
      <c r="I15" s="637">
        <f t="shared" si="29"/>
        <v>0</v>
      </c>
      <c r="J15" s="637">
        <f t="shared" si="29"/>
        <v>790909.15527256043</v>
      </c>
      <c r="K15" s="637">
        <f t="shared" si="29"/>
        <v>8924323.5909264181</v>
      </c>
      <c r="L15" s="637">
        <f t="shared" si="29"/>
        <v>790909.15462141915</v>
      </c>
      <c r="M15" s="633">
        <f t="shared" si="29"/>
        <v>18.810199209841333</v>
      </c>
      <c r="N15" s="637">
        <f t="shared" si="29"/>
        <v>-373619.63703519024</v>
      </c>
      <c r="O15" s="634">
        <f t="shared" si="29"/>
        <v>10333204.619266724</v>
      </c>
      <c r="P15" s="632">
        <f t="shared" si="29"/>
        <v>14854641.279999999</v>
      </c>
      <c r="Q15" s="633">
        <f t="shared" si="29"/>
        <v>18.512825864686899</v>
      </c>
      <c r="R15" s="634">
        <f t="shared" si="29"/>
        <v>2656321.0370380003</v>
      </c>
      <c r="S15" s="639">
        <f t="shared" si="29"/>
        <v>3499727.99</v>
      </c>
      <c r="T15" s="633">
        <f t="shared" si="29"/>
        <v>27.327633600465838</v>
      </c>
      <c r="U15" s="636">
        <f t="shared" si="29"/>
        <v>1307039.2126331315</v>
      </c>
      <c r="V15" s="632">
        <f t="shared" si="29"/>
        <v>3721142.81</v>
      </c>
      <c r="W15" s="633">
        <f t="shared" si="29"/>
        <v>21.389939239725752</v>
      </c>
      <c r="X15" s="634">
        <f t="shared" si="29"/>
        <v>3410161.0297845323</v>
      </c>
      <c r="Y15" s="1011">
        <f t="shared" si="29"/>
        <v>312.5</v>
      </c>
      <c r="Z15" s="633">
        <f t="shared" si="29"/>
        <v>17.161685964029108</v>
      </c>
      <c r="AA15" s="636">
        <f t="shared" si="29"/>
        <v>2736057.9206901286</v>
      </c>
      <c r="AB15" s="641">
        <f>SUM(AB5:AB14)</f>
        <v>12.030172479804124</v>
      </c>
      <c r="AC15" s="634">
        <f t="shared" ref="AC15" si="30">SUM(AC5:AC14)</f>
        <v>4315436.5965500157</v>
      </c>
      <c r="AD15" s="635">
        <f>SUM(AD5:AD14)</f>
        <v>8.0598080722868648</v>
      </c>
      <c r="AE15" s="636">
        <f>SUM(AE5:AE14)</f>
        <v>321240</v>
      </c>
      <c r="AF15" s="642">
        <f t="shared" ref="AF15:AI15" si="31">SUM(AF5:AF14)</f>
        <v>52241</v>
      </c>
      <c r="AG15" s="639">
        <f t="shared" si="31"/>
        <v>0</v>
      </c>
      <c r="AH15" s="637">
        <f t="shared" si="31"/>
        <v>0</v>
      </c>
      <c r="AI15" s="1012">
        <f t="shared" si="31"/>
        <v>15.730874983897932</v>
      </c>
      <c r="AJ15" s="642">
        <f>SUM(AJ5:AJ14)</f>
        <v>25079462</v>
      </c>
      <c r="AK15" s="644">
        <f t="shared" ref="AK15:AM15" si="32">SUM(AK5:AK14)</f>
        <v>160693</v>
      </c>
      <c r="AL15" s="642">
        <f t="shared" si="32"/>
        <v>25292396</v>
      </c>
      <c r="AM15" s="777">
        <f t="shared" si="32"/>
        <v>1.0000000398732651</v>
      </c>
      <c r="AN15" s="1013">
        <f>SUM(AN5:AN14)</f>
        <v>10.855061657976499</v>
      </c>
      <c r="AO15" s="1166">
        <f t="shared" ref="AO15" si="33">SUM(AO5:AO14)</f>
        <v>8.0598080722868648</v>
      </c>
      <c r="AP15" s="1166">
        <f>SUM(AP5:AP14)</f>
        <v>9.9866567253383813</v>
      </c>
      <c r="AQ15" s="1166">
        <f t="shared" ref="AQ15:AR15" si="34">SUM(AQ5:AQ14)</f>
        <v>0.64478464578294914</v>
      </c>
      <c r="AR15" s="646">
        <f t="shared" si="34"/>
        <v>10.63144137112133</v>
      </c>
    </row>
    <row r="16" spans="1:50" ht="15.75" hidden="1" thickBot="1" x14ac:dyDescent="0.3">
      <c r="A16" s="303" t="s">
        <v>90</v>
      </c>
      <c r="B16" s="326">
        <v>55711.321499999976</v>
      </c>
      <c r="C16" s="594">
        <v>100.00000000000007</v>
      </c>
      <c r="D16" s="327">
        <v>27421662.612000015</v>
      </c>
      <c r="E16" s="600">
        <v>100.00000000000001</v>
      </c>
      <c r="F16" s="595">
        <v>41132493.918000005</v>
      </c>
      <c r="G16" s="328">
        <v>61698740.876999982</v>
      </c>
      <c r="H16" s="62">
        <v>68554156.529999971</v>
      </c>
      <c r="I16" s="62">
        <v>-1986260.9261454062</v>
      </c>
      <c r="J16" s="62">
        <f>SUM(J5:J9)+SUM(J12:J14)</f>
        <v>1015521.4606140043</v>
      </c>
      <c r="K16" s="62">
        <v>61755421.382856026</v>
      </c>
      <c r="L16" s="62">
        <v>4204682.5012231786</v>
      </c>
      <c r="M16" s="62">
        <v>100</v>
      </c>
      <c r="N16" s="614">
        <v>-1986260.9261454064</v>
      </c>
      <c r="O16" s="596">
        <v>68554156.530000001</v>
      </c>
      <c r="P16" s="597">
        <v>80239728.870000005</v>
      </c>
      <c r="Q16" s="594">
        <v>99.999999999999986</v>
      </c>
      <c r="R16" s="327">
        <v>14348544.389999997</v>
      </c>
      <c r="S16" s="605">
        <v>12806553.4</v>
      </c>
      <c r="T16" s="594">
        <v>100</v>
      </c>
      <c r="U16" s="595">
        <v>4782848.13</v>
      </c>
      <c r="V16" s="597">
        <v>17396696.495000001</v>
      </c>
      <c r="W16" s="594">
        <v>100.00000000000003</v>
      </c>
      <c r="X16" s="327">
        <v>15942827.100000001</v>
      </c>
      <c r="Y16" s="600">
        <v>1820.9166666666665</v>
      </c>
      <c r="Z16" s="594">
        <v>100</v>
      </c>
      <c r="AA16" s="595">
        <v>15942827.099999996</v>
      </c>
      <c r="AB16" s="326">
        <v>99.999999999999972</v>
      </c>
      <c r="AC16" s="596">
        <v>35871360.974999987</v>
      </c>
      <c r="AD16" s="613">
        <v>100</v>
      </c>
      <c r="AE16" s="62">
        <v>3985706.7750000167</v>
      </c>
      <c r="AF16" s="615">
        <v>0</v>
      </c>
      <c r="AG16" s="617"/>
      <c r="AH16" s="614">
        <v>0</v>
      </c>
      <c r="AI16" s="621">
        <v>99.999999999999986</v>
      </c>
      <c r="AJ16" s="914">
        <v>159428271</v>
      </c>
      <c r="AK16" s="915">
        <v>1160000</v>
      </c>
      <c r="AL16" s="916">
        <v>160588271</v>
      </c>
      <c r="AM16" s="622"/>
      <c r="AN16" s="326">
        <v>99.999999999999986</v>
      </c>
      <c r="AO16" s="594">
        <v>100</v>
      </c>
      <c r="AP16" s="595">
        <v>91.999999999999986</v>
      </c>
      <c r="AQ16" s="595">
        <v>8</v>
      </c>
      <c r="AR16" s="327">
        <v>99.999999999999972</v>
      </c>
    </row>
    <row r="17" spans="1:44" ht="15.75" hidden="1" thickBot="1" x14ac:dyDescent="0.3">
      <c r="A17" s="284"/>
      <c r="B17" s="109" t="s">
        <v>181</v>
      </c>
      <c r="C17" s="285">
        <v>0.17200000000000001</v>
      </c>
      <c r="D17" s="284">
        <v>27421662.612000003</v>
      </c>
      <c r="E17" s="285">
        <v>0.25800000000000001</v>
      </c>
      <c r="F17" s="284"/>
      <c r="G17" s="284"/>
      <c r="H17" s="284"/>
      <c r="I17" s="284"/>
      <c r="J17" s="284"/>
      <c r="K17" s="284"/>
      <c r="L17" s="284"/>
      <c r="M17" s="284" t="s">
        <v>182</v>
      </c>
      <c r="N17" s="284">
        <v>64349474.028776824</v>
      </c>
      <c r="O17" s="284"/>
      <c r="P17" s="152" t="s">
        <v>183</v>
      </c>
      <c r="Q17" s="285">
        <v>0.09</v>
      </c>
      <c r="R17" s="284">
        <v>14348544.389999999</v>
      </c>
      <c r="S17" s="152" t="s">
        <v>184</v>
      </c>
      <c r="T17" s="286">
        <v>0.03</v>
      </c>
      <c r="U17" s="284">
        <v>4782848.13</v>
      </c>
      <c r="V17" s="160" t="s">
        <v>185</v>
      </c>
      <c r="W17" s="285">
        <v>0.1</v>
      </c>
      <c r="X17" s="284">
        <v>15942827.100000001</v>
      </c>
      <c r="Y17" s="160" t="s">
        <v>186</v>
      </c>
      <c r="Z17" s="285">
        <v>0.1</v>
      </c>
      <c r="AA17" s="284">
        <v>15942827.100000001</v>
      </c>
      <c r="AB17" s="285">
        <v>0.22500000000000001</v>
      </c>
      <c r="AC17" s="284">
        <v>35871776.600000001</v>
      </c>
      <c r="AD17" s="285">
        <v>2.5000000000000105E-2</v>
      </c>
      <c r="AE17" s="284">
        <v>3985706.7750000167</v>
      </c>
      <c r="AF17" s="284"/>
      <c r="AG17" s="285">
        <v>0</v>
      </c>
      <c r="AH17" s="284">
        <v>0</v>
      </c>
      <c r="AJ17" s="109">
        <v>6500172</v>
      </c>
      <c r="AK17" s="109">
        <v>7193073</v>
      </c>
      <c r="AL17" s="284">
        <v>160588271</v>
      </c>
      <c r="AN17" s="287">
        <v>0.92</v>
      </c>
      <c r="AO17" s="288">
        <v>0.08</v>
      </c>
      <c r="AP17" s="304"/>
      <c r="AQ17" s="304"/>
    </row>
    <row r="18" spans="1:44" hidden="1" x14ac:dyDescent="0.25">
      <c r="B18" s="289" t="s">
        <v>94</v>
      </c>
      <c r="D18" s="290">
        <v>65759082.57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Q18" s="291"/>
      <c r="R18" s="290">
        <v>13763528.91</v>
      </c>
      <c r="U18" s="290">
        <v>4587842.97</v>
      </c>
      <c r="X18" s="290">
        <v>15292809.9</v>
      </c>
      <c r="AA18" s="290">
        <v>15292809.9</v>
      </c>
      <c r="AC18" s="290">
        <v>34408822.274999999</v>
      </c>
      <c r="AE18" s="290">
        <v>3823202.4750000159</v>
      </c>
      <c r="AF18" s="290"/>
      <c r="AG18" s="131"/>
      <c r="AH18" s="131"/>
      <c r="AJ18" s="290">
        <v>152928099</v>
      </c>
      <c r="AK18" s="290">
        <v>1160000</v>
      </c>
      <c r="AL18" s="292">
        <v>163537938</v>
      </c>
      <c r="AN18" s="304">
        <f>15*AN17</f>
        <v>13.8</v>
      </c>
      <c r="AO18" s="304">
        <f>15*AO17</f>
        <v>1.2</v>
      </c>
      <c r="AP18" s="304"/>
      <c r="AQ18" s="304"/>
    </row>
    <row r="19" spans="1:44" ht="19.5" hidden="1" customHeight="1" x14ac:dyDescent="0.25">
      <c r="D19" s="293">
        <f>D16/D18</f>
        <v>0.41700190362007988</v>
      </c>
      <c r="E19" s="293"/>
      <c r="F19" s="293"/>
      <c r="G19" s="294"/>
      <c r="H19" s="293"/>
      <c r="I19" s="293"/>
      <c r="J19" s="293"/>
      <c r="K19" s="295"/>
      <c r="L19" s="295"/>
      <c r="M19" s="293"/>
      <c r="N19" s="293"/>
      <c r="O19" s="293"/>
      <c r="R19" s="293">
        <f>R16/R18</f>
        <v>1.0425047590501988</v>
      </c>
      <c r="U19" s="293">
        <f>U16/U18</f>
        <v>1.0425047590501992</v>
      </c>
      <c r="X19" s="293">
        <f>X16/X18</f>
        <v>1.0425047590501992</v>
      </c>
      <c r="AA19" s="293">
        <f>AA16/AA18</f>
        <v>1.0425047590501988</v>
      </c>
      <c r="AB19" s="131" t="s">
        <v>187</v>
      </c>
      <c r="AC19" s="293">
        <f>AC16/AC18</f>
        <v>1.0425047590501988</v>
      </c>
      <c r="AD19" s="131" t="s">
        <v>188</v>
      </c>
      <c r="AE19" s="293">
        <f>AE16/AE18</f>
        <v>1.0425047590501992</v>
      </c>
      <c r="AF19" s="293"/>
      <c r="AG19" s="293"/>
      <c r="AH19" s="131"/>
      <c r="AN19" s="131" t="s">
        <v>189</v>
      </c>
      <c r="AO19" s="131" t="s">
        <v>190</v>
      </c>
      <c r="AP19" s="131"/>
      <c r="AQ19" s="131"/>
    </row>
    <row r="20" spans="1:44" ht="15" customHeight="1" x14ac:dyDescent="0.25">
      <c r="D20" s="293"/>
      <c r="E20" s="293"/>
      <c r="F20" s="293"/>
      <c r="G20" s="294"/>
      <c r="H20" s="293"/>
      <c r="I20" s="293"/>
      <c r="J20" s="293"/>
      <c r="K20" s="295"/>
      <c r="L20" s="295"/>
      <c r="M20" s="293"/>
      <c r="N20" s="293"/>
      <c r="O20" s="293"/>
      <c r="R20" s="293"/>
      <c r="U20" s="293"/>
      <c r="X20" s="293"/>
      <c r="AA20" s="293"/>
      <c r="AB20" s="131"/>
      <c r="AC20" s="293"/>
      <c r="AD20" s="131"/>
      <c r="AE20" s="293"/>
      <c r="AF20" s="293"/>
      <c r="AG20" s="293"/>
      <c r="AH20" s="131"/>
      <c r="AN20" s="131"/>
      <c r="AO20" s="131"/>
      <c r="AP20" s="131"/>
      <c r="AQ20" s="131"/>
    </row>
    <row r="21" spans="1:44" s="131" customFormat="1" ht="15" customHeight="1" x14ac:dyDescent="0.25"/>
    <row r="22" spans="1:44" ht="15" customHeight="1" x14ac:dyDescent="0.25">
      <c r="D22" s="293"/>
      <c r="E22" s="293"/>
      <c r="F22" s="293"/>
      <c r="G22" s="294"/>
      <c r="H22" s="293"/>
      <c r="I22" s="293"/>
      <c r="J22" s="293"/>
      <c r="K22" s="295"/>
      <c r="L22" s="295"/>
      <c r="M22" s="293"/>
      <c r="N22" s="293"/>
      <c r="O22" s="293"/>
      <c r="R22" s="293"/>
      <c r="U22" s="293"/>
      <c r="X22" s="293"/>
      <c r="AA22" s="293"/>
      <c r="AB22" s="131"/>
      <c r="AC22" s="293"/>
      <c r="AD22" s="131"/>
      <c r="AE22" s="293"/>
      <c r="AF22" s="293"/>
      <c r="AG22" s="293"/>
      <c r="AH22" s="131"/>
      <c r="AN22" s="131"/>
      <c r="AO22" s="131"/>
      <c r="AP22" s="131"/>
      <c r="AQ22" s="131"/>
    </row>
    <row r="23" spans="1:44" ht="15" customHeight="1" thickBot="1" x14ac:dyDescent="0.3">
      <c r="A23" s="1" t="s">
        <v>270</v>
      </c>
      <c r="D23" s="293"/>
      <c r="E23" s="293"/>
      <c r="F23" s="293"/>
      <c r="G23" s="294"/>
      <c r="H23" s="293"/>
      <c r="I23" s="293"/>
      <c r="J23" s="293"/>
      <c r="K23" s="295"/>
      <c r="L23" s="295"/>
      <c r="M23" s="293"/>
      <c r="N23" s="293"/>
      <c r="O23" s="293"/>
      <c r="R23" s="293"/>
      <c r="U23" s="293"/>
      <c r="X23" s="293"/>
      <c r="AA23" s="293"/>
      <c r="AB23" s="131"/>
      <c r="AC23" s="293"/>
      <c r="AD23" s="131"/>
      <c r="AE23" s="293"/>
      <c r="AF23" s="293"/>
      <c r="AG23" s="293"/>
      <c r="AH23" s="131"/>
      <c r="AN23" s="131"/>
      <c r="AO23" s="131"/>
      <c r="AP23" s="131"/>
      <c r="AQ23" s="131"/>
    </row>
    <row r="24" spans="1:44" s="112" customFormat="1" x14ac:dyDescent="0.25">
      <c r="A24" s="342" t="s">
        <v>2</v>
      </c>
      <c r="B24" s="560">
        <f>B4-B40</f>
        <v>0</v>
      </c>
      <c r="C24" s="601">
        <f t="shared" ref="C24:AM24" si="35">C4-C40</f>
        <v>0</v>
      </c>
      <c r="D24" s="559">
        <f t="shared" si="35"/>
        <v>-5545259.9595882613</v>
      </c>
      <c r="E24" s="627"/>
      <c r="F24" s="566"/>
      <c r="G24" s="606"/>
      <c r="H24" s="565"/>
      <c r="I24" s="565"/>
      <c r="J24" s="565"/>
      <c r="K24" s="565"/>
      <c r="L24" s="565"/>
      <c r="M24" s="607"/>
      <c r="N24" s="601"/>
      <c r="O24" s="559">
        <f t="shared" si="35"/>
        <v>821578.61861557513</v>
      </c>
      <c r="P24" s="606">
        <f t="shared" si="35"/>
        <v>1654340.6100000013</v>
      </c>
      <c r="Q24" s="601">
        <f t="shared" si="35"/>
        <v>0.12282586468689516</v>
      </c>
      <c r="R24" s="559">
        <f t="shared" si="35"/>
        <v>125302.0370380003</v>
      </c>
      <c r="S24" s="561">
        <f t="shared" si="35"/>
        <v>166765.37000000011</v>
      </c>
      <c r="T24" s="601">
        <f t="shared" si="35"/>
        <v>-1.2223660091090558</v>
      </c>
      <c r="U24" s="561">
        <f t="shared" si="35"/>
        <v>-2692.7686934282538</v>
      </c>
      <c r="V24" s="606">
        <f t="shared" si="35"/>
        <v>970712.21999999974</v>
      </c>
      <c r="W24" s="601">
        <f t="shared" si="35"/>
        <v>7.8399342387762943</v>
      </c>
      <c r="X24" s="559">
        <f t="shared" si="35"/>
        <v>1337765.2324918061</v>
      </c>
      <c r="Y24" s="627">
        <f t="shared" si="35"/>
        <v>-8.0833333333333144</v>
      </c>
      <c r="Z24" s="601">
        <f t="shared" si="35"/>
        <v>0.30168596402910808</v>
      </c>
      <c r="AA24" s="561">
        <f t="shared" si="35"/>
        <v>157427.92069012858</v>
      </c>
      <c r="AB24" s="227">
        <f t="shared" si="35"/>
        <v>-4.9685832674997599E-2</v>
      </c>
      <c r="AC24" s="559">
        <f t="shared" si="35"/>
        <v>160150.42138771713</v>
      </c>
      <c r="AD24" s="627">
        <f t="shared" si="35"/>
        <v>2.3098080722868648</v>
      </c>
      <c r="AE24" s="561">
        <f t="shared" si="35"/>
        <v>101530.31638913578</v>
      </c>
      <c r="AF24" s="618">
        <f t="shared" si="35"/>
        <v>52241</v>
      </c>
      <c r="AG24" s="628">
        <f t="shared" si="35"/>
        <v>22.160664819944596</v>
      </c>
      <c r="AH24" s="561">
        <f t="shared" si="35"/>
        <v>-14.635533034522558</v>
      </c>
      <c r="AI24" s="629">
        <f t="shared" si="35"/>
        <v>1.0953413221340469</v>
      </c>
      <c r="AJ24" s="618">
        <f t="shared" si="35"/>
        <v>2701062</v>
      </c>
      <c r="AK24" s="561">
        <f t="shared" si="35"/>
        <v>8693</v>
      </c>
      <c r="AL24" s="618">
        <f t="shared" si="35"/>
        <v>2761996</v>
      </c>
      <c r="AM24" s="630">
        <f t="shared" si="35"/>
        <v>0</v>
      </c>
      <c r="AN24" s="623"/>
      <c r="AO24" s="624"/>
      <c r="AP24" s="624"/>
      <c r="AQ24" s="624"/>
      <c r="AR24" s="625"/>
    </row>
    <row r="25" spans="1:44" x14ac:dyDescent="0.25">
      <c r="A25" s="500" t="s">
        <v>6</v>
      </c>
      <c r="B25" s="271">
        <f t="shared" ref="B25:AM25" si="36">B5-B41</f>
        <v>0</v>
      </c>
      <c r="C25" s="602">
        <f t="shared" si="36"/>
        <v>0</v>
      </c>
      <c r="D25" s="274">
        <f t="shared" si="36"/>
        <v>-235435.16460071906</v>
      </c>
      <c r="E25" s="599"/>
      <c r="F25" s="603"/>
      <c r="G25" s="273"/>
      <c r="H25" s="608"/>
      <c r="I25" s="609"/>
      <c r="J25" s="608"/>
      <c r="K25" s="608"/>
      <c r="L25" s="609"/>
      <c r="M25" s="610"/>
      <c r="N25" s="602"/>
      <c r="O25" s="274">
        <f t="shared" si="36"/>
        <v>91369.812798833591</v>
      </c>
      <c r="P25" s="275">
        <f t="shared" si="36"/>
        <v>55946</v>
      </c>
      <c r="Q25" s="276">
        <f t="shared" si="36"/>
        <v>3.7644698436592461E-2</v>
      </c>
      <c r="R25" s="274">
        <f t="shared" si="36"/>
        <v>7182.9714932823408</v>
      </c>
      <c r="S25" s="604">
        <f t="shared" si="36"/>
        <v>21600</v>
      </c>
      <c r="T25" s="276">
        <f t="shared" si="36"/>
        <v>8.3973974770870541E-2</v>
      </c>
      <c r="U25" s="272">
        <f t="shared" si="36"/>
        <v>5887.2701965847227</v>
      </c>
      <c r="V25" s="275">
        <f t="shared" si="36"/>
        <v>27284</v>
      </c>
      <c r="W25" s="276">
        <f t="shared" si="36"/>
        <v>0.2427997708657077</v>
      </c>
      <c r="X25" s="274">
        <f t="shared" si="36"/>
        <v>42050.969828361805</v>
      </c>
      <c r="Y25" s="611">
        <f t="shared" si="36"/>
        <v>-1.25</v>
      </c>
      <c r="Z25" s="277">
        <f t="shared" si="36"/>
        <v>2.7854847054769483E-2</v>
      </c>
      <c r="AA25" s="272">
        <f t="shared" si="36"/>
        <v>18504.953869126504</v>
      </c>
      <c r="AB25" s="278">
        <f t="shared" si="36"/>
        <v>4.5371165758095994E-2</v>
      </c>
      <c r="AC25" s="274">
        <f t="shared" si="36"/>
        <v>19157.20211210585</v>
      </c>
      <c r="AD25" s="612">
        <f t="shared" si="36"/>
        <v>1.4467188655027865</v>
      </c>
      <c r="AE25" s="272">
        <f t="shared" si="36"/>
        <v>65514</v>
      </c>
      <c r="AF25" s="619">
        <f t="shared" si="36"/>
        <v>40286.586134976962</v>
      </c>
      <c r="AG25" s="616">
        <f t="shared" si="36"/>
        <v>0</v>
      </c>
      <c r="AH25" s="272">
        <f t="shared" si="36"/>
        <v>0</v>
      </c>
      <c r="AI25" s="620">
        <f t="shared" si="36"/>
        <v>0.12583463016885266</v>
      </c>
      <c r="AJ25" s="906">
        <f t="shared" si="36"/>
        <v>249666.60566752404</v>
      </c>
      <c r="AK25" s="189">
        <f t="shared" si="36"/>
        <v>0</v>
      </c>
      <c r="AL25" s="913">
        <f t="shared" si="36"/>
        <v>289953.19180250098</v>
      </c>
      <c r="AM25" s="147">
        <f t="shared" si="36"/>
        <v>4.7686420104408184E-3</v>
      </c>
      <c r="AN25" s="626"/>
      <c r="AO25" s="280"/>
      <c r="AP25" s="279"/>
      <c r="AQ25" s="281"/>
      <c r="AR25" s="282"/>
    </row>
    <row r="26" spans="1:44" x14ac:dyDescent="0.25">
      <c r="A26" s="500" t="s">
        <v>3</v>
      </c>
      <c r="B26" s="271">
        <f t="shared" ref="B26:AM26" si="37">B6-B42</f>
        <v>0</v>
      </c>
      <c r="C26" s="602">
        <f t="shared" si="37"/>
        <v>0</v>
      </c>
      <c r="D26" s="274">
        <f t="shared" si="37"/>
        <v>-1275338.4034880605</v>
      </c>
      <c r="E26" s="599"/>
      <c r="F26" s="603"/>
      <c r="G26" s="273"/>
      <c r="H26" s="608"/>
      <c r="I26" s="609"/>
      <c r="J26" s="608"/>
      <c r="K26" s="608"/>
      <c r="L26" s="609"/>
      <c r="M26" s="610"/>
      <c r="N26" s="602"/>
      <c r="O26" s="274">
        <f t="shared" si="37"/>
        <v>251451.70986013347</v>
      </c>
      <c r="P26" s="275">
        <f t="shared" si="37"/>
        <v>18099.810000000056</v>
      </c>
      <c r="Q26" s="276">
        <f t="shared" si="37"/>
        <v>-0.47599744374991371</v>
      </c>
      <c r="R26" s="274">
        <f t="shared" si="37"/>
        <v>-40611.391196091077</v>
      </c>
      <c r="S26" s="604">
        <f t="shared" si="37"/>
        <v>7553</v>
      </c>
      <c r="T26" s="276">
        <f t="shared" si="37"/>
        <v>-0.15799530967960074</v>
      </c>
      <c r="U26" s="272">
        <f t="shared" si="37"/>
        <v>-2763.4167090207775</v>
      </c>
      <c r="V26" s="275">
        <f t="shared" si="37"/>
        <v>943915.98</v>
      </c>
      <c r="W26" s="276">
        <f t="shared" si="37"/>
        <v>6.6051383295805595</v>
      </c>
      <c r="X26" s="274">
        <f t="shared" si="37"/>
        <v>1098890.0817063225</v>
      </c>
      <c r="Y26" s="611">
        <f t="shared" si="37"/>
        <v>1.5833333333333357</v>
      </c>
      <c r="Z26" s="277">
        <f t="shared" si="37"/>
        <v>0.173901450392</v>
      </c>
      <c r="AA26" s="272">
        <f t="shared" si="37"/>
        <v>40396.70711360086</v>
      </c>
      <c r="AB26" s="278">
        <f t="shared" si="37"/>
        <v>-0.57987004569612788</v>
      </c>
      <c r="AC26" s="274">
        <f t="shared" si="37"/>
        <v>-168143.94028217974</v>
      </c>
      <c r="AD26" s="612">
        <f t="shared" si="37"/>
        <v>0</v>
      </c>
      <c r="AE26" s="272">
        <f t="shared" si="37"/>
        <v>0</v>
      </c>
      <c r="AF26" s="619">
        <f t="shared" si="37"/>
        <v>0</v>
      </c>
      <c r="AG26" s="616">
        <f t="shared" si="37"/>
        <v>0</v>
      </c>
      <c r="AH26" s="272">
        <f t="shared" si="37"/>
        <v>0</v>
      </c>
      <c r="AI26" s="620">
        <f t="shared" si="37"/>
        <v>0.59884556937487554</v>
      </c>
      <c r="AJ26" s="906">
        <f t="shared" si="37"/>
        <v>1179219.6818133881</v>
      </c>
      <c r="AK26" s="189">
        <f t="shared" si="37"/>
        <v>5108</v>
      </c>
      <c r="AL26" s="913">
        <f t="shared" si="37"/>
        <v>1184327.6818133881</v>
      </c>
      <c r="AM26" s="147">
        <f t="shared" si="37"/>
        <v>2.2395085257799097E-2</v>
      </c>
      <c r="AN26" s="626"/>
      <c r="AO26" s="280"/>
      <c r="AP26" s="279"/>
      <c r="AQ26" s="281"/>
      <c r="AR26" s="282"/>
    </row>
    <row r="27" spans="1:44" x14ac:dyDescent="0.25">
      <c r="A27" s="500" t="s">
        <v>5</v>
      </c>
      <c r="B27" s="271">
        <f t="shared" ref="B27:AM27" si="38">B7-B43</f>
        <v>0</v>
      </c>
      <c r="C27" s="602">
        <f t="shared" si="38"/>
        <v>0</v>
      </c>
      <c r="D27" s="274">
        <f t="shared" si="38"/>
        <v>-1219322.6757240689</v>
      </c>
      <c r="E27" s="599"/>
      <c r="F27" s="603"/>
      <c r="G27" s="273"/>
      <c r="H27" s="608"/>
      <c r="I27" s="609"/>
      <c r="J27" s="608"/>
      <c r="K27" s="608"/>
      <c r="L27" s="609"/>
      <c r="M27" s="610"/>
      <c r="N27" s="602"/>
      <c r="O27" s="274">
        <f t="shared" si="38"/>
        <v>373865.27781032398</v>
      </c>
      <c r="P27" s="275">
        <f t="shared" si="38"/>
        <v>641452.79999999981</v>
      </c>
      <c r="Q27" s="276">
        <f t="shared" si="38"/>
        <v>0.2249142954500627</v>
      </c>
      <c r="R27" s="274">
        <f t="shared" si="38"/>
        <v>64177.222328233533</v>
      </c>
      <c r="S27" s="604">
        <f t="shared" si="38"/>
        <v>-11290.189999999944</v>
      </c>
      <c r="T27" s="276">
        <f t="shared" si="38"/>
        <v>-0.38765197889948144</v>
      </c>
      <c r="U27" s="272">
        <f t="shared" si="38"/>
        <v>-11924.564525646128</v>
      </c>
      <c r="V27" s="275">
        <f t="shared" si="38"/>
        <v>57716.459999999963</v>
      </c>
      <c r="W27" s="276">
        <f t="shared" si="38"/>
        <v>0.67321334822848788</v>
      </c>
      <c r="X27" s="274">
        <f t="shared" si="38"/>
        <v>120602.64712431736</v>
      </c>
      <c r="Y27" s="611">
        <f t="shared" si="38"/>
        <v>3.9166666666666572</v>
      </c>
      <c r="Z27" s="277">
        <f t="shared" si="38"/>
        <v>0.38509189291945134</v>
      </c>
      <c r="AA27" s="272">
        <f t="shared" si="38"/>
        <v>86170.087153953384</v>
      </c>
      <c r="AB27" s="278">
        <f t="shared" si="38"/>
        <v>0.3680383913680636</v>
      </c>
      <c r="AC27" s="274">
        <f t="shared" si="38"/>
        <v>190764.57099269889</v>
      </c>
      <c r="AD27" s="612">
        <f t="shared" si="38"/>
        <v>0</v>
      </c>
      <c r="AE27" s="272">
        <f t="shared" si="38"/>
        <v>0</v>
      </c>
      <c r="AF27" s="619">
        <f t="shared" si="38"/>
        <v>0</v>
      </c>
      <c r="AG27" s="616">
        <f t="shared" si="38"/>
        <v>0</v>
      </c>
      <c r="AH27" s="272">
        <f t="shared" si="38"/>
        <v>0</v>
      </c>
      <c r="AI27" s="620">
        <f t="shared" si="38"/>
        <v>0.37572254360880164</v>
      </c>
      <c r="AJ27" s="906">
        <f t="shared" si="38"/>
        <v>823655.26908691972</v>
      </c>
      <c r="AK27" s="189">
        <f t="shared" si="38"/>
        <v>-4675</v>
      </c>
      <c r="AL27" s="913">
        <f t="shared" si="38"/>
        <v>818980.26908691972</v>
      </c>
      <c r="AM27" s="147">
        <f t="shared" si="38"/>
        <v>5.5379263855584171E-3</v>
      </c>
      <c r="AN27" s="626"/>
      <c r="AO27" s="280"/>
      <c r="AP27" s="279"/>
      <c r="AQ27" s="281"/>
      <c r="AR27" s="282"/>
    </row>
    <row r="28" spans="1:44" x14ac:dyDescent="0.25">
      <c r="A28" s="500" t="s">
        <v>7</v>
      </c>
      <c r="B28" s="271">
        <f t="shared" ref="B28:AM28" si="39">B8-B44</f>
        <v>0</v>
      </c>
      <c r="C28" s="602">
        <f t="shared" si="39"/>
        <v>0</v>
      </c>
      <c r="D28" s="274">
        <f t="shared" si="39"/>
        <v>-172641.61232894316</v>
      </c>
      <c r="E28" s="599"/>
      <c r="F28" s="603"/>
      <c r="G28" s="273"/>
      <c r="H28" s="608"/>
      <c r="I28" s="609"/>
      <c r="J28" s="608"/>
      <c r="K28" s="608"/>
      <c r="L28" s="609"/>
      <c r="M28" s="610"/>
      <c r="N28" s="602"/>
      <c r="O28" s="274">
        <f t="shared" si="39"/>
        <v>25810.177722557797</v>
      </c>
      <c r="P28" s="275">
        <f t="shared" si="39"/>
        <v>278736.67000000004</v>
      </c>
      <c r="Q28" s="276">
        <f t="shared" si="39"/>
        <v>0.29114862262918839</v>
      </c>
      <c r="R28" s="274">
        <f t="shared" si="39"/>
        <v>44898.40132920313</v>
      </c>
      <c r="S28" s="604">
        <f t="shared" si="39"/>
        <v>8403.5</v>
      </c>
      <c r="T28" s="276">
        <f t="shared" si="39"/>
        <v>-0.21601915801044136</v>
      </c>
      <c r="U28" s="272">
        <f t="shared" si="39"/>
        <v>-4110.0623845283408</v>
      </c>
      <c r="V28" s="275">
        <f t="shared" si="39"/>
        <v>-18471.18</v>
      </c>
      <c r="W28" s="276">
        <f t="shared" si="39"/>
        <v>-7.8568372096826905E-2</v>
      </c>
      <c r="X28" s="274">
        <f t="shared" si="39"/>
        <v>-11452.785531759746</v>
      </c>
      <c r="Y28" s="611">
        <f t="shared" si="39"/>
        <v>0.33333333333333215</v>
      </c>
      <c r="Z28" s="277">
        <f t="shared" si="39"/>
        <v>7.6206752908162478E-2</v>
      </c>
      <c r="AA28" s="272">
        <f t="shared" si="39"/>
        <v>20587.973113201646</v>
      </c>
      <c r="AB28" s="278">
        <f t="shared" si="39"/>
        <v>0.14343845804355351</v>
      </c>
      <c r="AC28" s="274">
        <f t="shared" si="39"/>
        <v>54111.121090420864</v>
      </c>
      <c r="AD28" s="612">
        <f t="shared" si="39"/>
        <v>0</v>
      </c>
      <c r="AE28" s="272">
        <f t="shared" si="39"/>
        <v>0</v>
      </c>
      <c r="AF28" s="619">
        <f t="shared" si="39"/>
        <v>0</v>
      </c>
      <c r="AG28" s="616">
        <f t="shared" si="39"/>
        <v>0</v>
      </c>
      <c r="AH28" s="272">
        <f t="shared" si="39"/>
        <v>0</v>
      </c>
      <c r="AI28" s="620">
        <f t="shared" si="39"/>
        <v>5.9981228845171652E-2</v>
      </c>
      <c r="AJ28" s="906">
        <f t="shared" si="39"/>
        <v>129844.81164606893</v>
      </c>
      <c r="AK28" s="189">
        <f t="shared" si="39"/>
        <v>0</v>
      </c>
      <c r="AL28" s="913">
        <f t="shared" si="39"/>
        <v>129844.81164606893</v>
      </c>
      <c r="AM28" s="147">
        <f t="shared" si="39"/>
        <v>1.5593114888107773E-3</v>
      </c>
      <c r="AN28" s="626"/>
      <c r="AO28" s="280"/>
      <c r="AP28" s="279"/>
      <c r="AQ28" s="281"/>
      <c r="AR28" s="282"/>
    </row>
    <row r="29" spans="1:44" x14ac:dyDescent="0.25">
      <c r="A29" s="500" t="s">
        <v>0</v>
      </c>
      <c r="B29" s="271">
        <f t="shared" ref="B29:AM29" si="40">B9-B45</f>
        <v>0</v>
      </c>
      <c r="C29" s="602">
        <f t="shared" si="40"/>
        <v>0</v>
      </c>
      <c r="D29" s="274">
        <f t="shared" si="40"/>
        <v>-1256477.3520704953</v>
      </c>
      <c r="E29" s="599"/>
      <c r="F29" s="603"/>
      <c r="G29" s="273"/>
      <c r="H29" s="608"/>
      <c r="I29" s="609"/>
      <c r="J29" s="608"/>
      <c r="K29" s="608"/>
      <c r="L29" s="609"/>
      <c r="M29" s="610"/>
      <c r="N29" s="602"/>
      <c r="O29" s="274">
        <f t="shared" si="40"/>
        <v>118637.98109845025</v>
      </c>
      <c r="P29" s="275">
        <f t="shared" si="40"/>
        <v>493859</v>
      </c>
      <c r="Q29" s="276">
        <f t="shared" si="40"/>
        <v>0.30178084679504957</v>
      </c>
      <c r="R29" s="274">
        <f t="shared" si="40"/>
        <v>60722.460003944987</v>
      </c>
      <c r="S29" s="604">
        <f t="shared" si="40"/>
        <v>87580</v>
      </c>
      <c r="T29" s="276">
        <f t="shared" si="40"/>
        <v>-0.19109842215044637</v>
      </c>
      <c r="U29" s="272">
        <f t="shared" si="40"/>
        <v>10189.393545842322</v>
      </c>
      <c r="V29" s="275">
        <f t="shared" si="40"/>
        <v>-275302</v>
      </c>
      <c r="W29" s="276">
        <f t="shared" si="40"/>
        <v>-1.2294737781339595</v>
      </c>
      <c r="X29" s="274">
        <f t="shared" si="40"/>
        <v>-182289.48507952338</v>
      </c>
      <c r="Y29" s="611">
        <f t="shared" si="40"/>
        <v>-8.4166666666666572</v>
      </c>
      <c r="Z29" s="277">
        <f t="shared" si="40"/>
        <v>-0.26200497657970878</v>
      </c>
      <c r="AA29" s="272">
        <f t="shared" si="40"/>
        <v>-12591.5366401067</v>
      </c>
      <c r="AB29" s="278">
        <f t="shared" si="40"/>
        <v>1.9015284648031816E-2</v>
      </c>
      <c r="AC29" s="274">
        <f t="shared" si="40"/>
        <v>38667.637319580419</v>
      </c>
      <c r="AD29" s="612">
        <f t="shared" si="40"/>
        <v>0.86308920678407786</v>
      </c>
      <c r="AE29" s="272">
        <f t="shared" si="40"/>
        <v>36016</v>
      </c>
      <c r="AF29" s="619">
        <f t="shared" si="40"/>
        <v>11954.413865023036</v>
      </c>
      <c r="AG29" s="616">
        <f t="shared" si="40"/>
        <v>0</v>
      </c>
      <c r="AH29" s="272">
        <f t="shared" si="40"/>
        <v>0</v>
      </c>
      <c r="AI29" s="620">
        <f t="shared" si="40"/>
        <v>-8.5257724901560472E-2</v>
      </c>
      <c r="AJ29" s="906">
        <f t="shared" si="40"/>
        <v>69353.344161830842</v>
      </c>
      <c r="AK29" s="189">
        <f t="shared" si="40"/>
        <v>8260</v>
      </c>
      <c r="AL29" s="913">
        <f t="shared" si="40"/>
        <v>89567.758026854135</v>
      </c>
      <c r="AM29" s="147">
        <f t="shared" si="40"/>
        <v>-2.124779721667594E-2</v>
      </c>
      <c r="AN29" s="626"/>
      <c r="AO29" s="280"/>
      <c r="AP29" s="279"/>
      <c r="AQ29" s="281"/>
      <c r="AR29" s="282"/>
    </row>
    <row r="30" spans="1:44" x14ac:dyDescent="0.25">
      <c r="A30" s="500" t="s">
        <v>1</v>
      </c>
      <c r="B30" s="271">
        <f t="shared" ref="B30:AM31" si="41">B10-B46</f>
        <v>0</v>
      </c>
      <c r="C30" s="602">
        <f t="shared" si="41"/>
        <v>0</v>
      </c>
      <c r="D30" s="274">
        <f t="shared" si="41"/>
        <v>-589993.64383456833</v>
      </c>
      <c r="E30" s="599"/>
      <c r="F30" s="603"/>
      <c r="G30" s="273"/>
      <c r="H30" s="608"/>
      <c r="I30" s="609"/>
      <c r="J30" s="608"/>
      <c r="K30" s="608"/>
      <c r="L30" s="609"/>
      <c r="M30" s="610"/>
      <c r="N30" s="602"/>
      <c r="O30" s="274">
        <f t="shared" si="41"/>
        <v>-17902.662311095628</v>
      </c>
      <c r="P30" s="275">
        <f t="shared" si="41"/>
        <v>-53693</v>
      </c>
      <c r="Q30" s="276">
        <f t="shared" si="41"/>
        <v>-0.3607835345229784</v>
      </c>
      <c r="R30" s="274">
        <f t="shared" si="41"/>
        <v>-35447.188142916129</v>
      </c>
      <c r="S30" s="604">
        <f t="shared" si="41"/>
        <v>87662.540000000037</v>
      </c>
      <c r="T30" s="276">
        <f t="shared" si="41"/>
        <v>0.33311261311770712</v>
      </c>
      <c r="U30" s="272">
        <f t="shared" si="41"/>
        <v>23695.237576824351</v>
      </c>
      <c r="V30" s="275">
        <f t="shared" si="41"/>
        <v>12198.740000000002</v>
      </c>
      <c r="W30" s="276">
        <f t="shared" si="41"/>
        <v>8.3589750757621109E-2</v>
      </c>
      <c r="X30" s="274">
        <f t="shared" si="41"/>
        <v>13850.153624888688</v>
      </c>
      <c r="Y30" s="611">
        <f t="shared" si="41"/>
        <v>-1.8333333333333321</v>
      </c>
      <c r="Z30" s="277">
        <f t="shared" si="41"/>
        <v>-5.1358855634518141E-2</v>
      </c>
      <c r="AA30" s="272">
        <f t="shared" si="41"/>
        <v>-999.73385263985256</v>
      </c>
      <c r="AB30" s="278">
        <f t="shared" si="41"/>
        <v>-7.2027324933540582E-2</v>
      </c>
      <c r="AC30" s="274">
        <f t="shared" si="41"/>
        <v>-16613.755851458933</v>
      </c>
      <c r="AD30" s="612">
        <f t="shared" si="41"/>
        <v>0</v>
      </c>
      <c r="AE30" s="272">
        <f t="shared" si="41"/>
        <v>0</v>
      </c>
      <c r="AF30" s="619">
        <f t="shared" si="41"/>
        <v>0</v>
      </c>
      <c r="AG30" s="616">
        <f t="shared" si="41"/>
        <v>0</v>
      </c>
      <c r="AH30" s="272">
        <f t="shared" si="41"/>
        <v>0</v>
      </c>
      <c r="AI30" s="620">
        <f t="shared" si="41"/>
        <v>-7.3817357223189939E-2</v>
      </c>
      <c r="AJ30" s="906">
        <f t="shared" si="41"/>
        <v>-33417.885666897288</v>
      </c>
      <c r="AK30" s="189">
        <f t="shared" si="41"/>
        <v>0</v>
      </c>
      <c r="AL30" s="913">
        <f t="shared" si="41"/>
        <v>-33417.885666897288</v>
      </c>
      <c r="AM30" s="147">
        <f t="shared" si="41"/>
        <v>-1.0242562642653871E-2</v>
      </c>
      <c r="AN30" s="626"/>
      <c r="AO30" s="280"/>
      <c r="AP30" s="279"/>
      <c r="AQ30" s="281"/>
      <c r="AR30" s="282"/>
    </row>
    <row r="31" spans="1:44" x14ac:dyDescent="0.25">
      <c r="A31" s="500" t="s">
        <v>4</v>
      </c>
      <c r="B31" s="271">
        <f t="shared" ref="B31:AM31" si="42">B11-B47</f>
        <v>0</v>
      </c>
      <c r="C31" s="602">
        <f t="shared" si="42"/>
        <v>0</v>
      </c>
      <c r="D31" s="274">
        <f t="shared" si="42"/>
        <v>-718151.00130433659</v>
      </c>
      <c r="E31" s="599"/>
      <c r="F31" s="603"/>
      <c r="G31" s="273"/>
      <c r="H31" s="608"/>
      <c r="I31" s="609"/>
      <c r="J31" s="608"/>
      <c r="K31" s="608"/>
      <c r="L31" s="609"/>
      <c r="M31" s="610"/>
      <c r="N31" s="602"/>
      <c r="O31" s="274">
        <f t="shared" si="42"/>
        <v>-111336.54484311026</v>
      </c>
      <c r="P31" s="275">
        <f t="shared" si="42"/>
        <v>216089</v>
      </c>
      <c r="Q31" s="276">
        <f t="shared" si="42"/>
        <v>0.11657200357060749</v>
      </c>
      <c r="R31" s="274">
        <f t="shared" si="42"/>
        <v>25208.396403443592</v>
      </c>
      <c r="S31" s="604">
        <f t="shared" si="42"/>
        <v>-65534.859999999986</v>
      </c>
      <c r="T31" s="276">
        <f t="shared" si="42"/>
        <v>-0.92711970896529339</v>
      </c>
      <c r="U31" s="272">
        <f t="shared" si="42"/>
        <v>-35166.122886681231</v>
      </c>
      <c r="V31" s="275">
        <f t="shared" si="42"/>
        <v>-18023.190000000002</v>
      </c>
      <c r="W31" s="276">
        <f t="shared" si="42"/>
        <v>-4.5865033884516015E-2</v>
      </c>
      <c r="X31" s="274">
        <f t="shared" si="42"/>
        <v>-5067.7442850994921</v>
      </c>
      <c r="Y31" s="611">
        <f t="shared" si="42"/>
        <v>-2</v>
      </c>
      <c r="Z31" s="277">
        <f t="shared" si="42"/>
        <v>-3.672752432820614E-2</v>
      </c>
      <c r="AA31" s="272">
        <f t="shared" si="42"/>
        <v>4799.2183620430296</v>
      </c>
      <c r="AB31" s="278">
        <f t="shared" si="42"/>
        <v>0.16952135773831944</v>
      </c>
      <c r="AC31" s="274">
        <f t="shared" si="42"/>
        <v>85560.818600997445</v>
      </c>
      <c r="AD31" s="612">
        <f t="shared" si="41"/>
        <v>0</v>
      </c>
      <c r="AE31" s="272">
        <f t="shared" si="42"/>
        <v>0</v>
      </c>
      <c r="AF31" s="619">
        <f t="shared" si="42"/>
        <v>0</v>
      </c>
      <c r="AG31" s="616">
        <f t="shared" si="42"/>
        <v>0</v>
      </c>
      <c r="AH31" s="272">
        <f t="shared" si="42"/>
        <v>0</v>
      </c>
      <c r="AI31" s="620">
        <f t="shared" si="42"/>
        <v>-9.0251731336776331E-2</v>
      </c>
      <c r="AJ31" s="906">
        <f t="shared" si="42"/>
        <v>-36001.710367839318</v>
      </c>
      <c r="AK31" s="189">
        <f t="shared" si="42"/>
        <v>0</v>
      </c>
      <c r="AL31" s="913">
        <f t="shared" si="42"/>
        <v>-36001.710367839318</v>
      </c>
      <c r="AM31" s="147">
        <f t="shared" si="42"/>
        <v>-1.2842760222767674E-2</v>
      </c>
      <c r="AN31" s="626"/>
      <c r="AO31" s="280"/>
      <c r="AP31" s="279"/>
      <c r="AQ31" s="281"/>
      <c r="AR31" s="282"/>
    </row>
    <row r="32" spans="1:44" x14ac:dyDescent="0.25">
      <c r="A32" s="500" t="s">
        <v>17</v>
      </c>
      <c r="B32" s="271">
        <f t="shared" ref="B32:AM32" si="43">B12-B48</f>
        <v>0</v>
      </c>
      <c r="C32" s="602">
        <f t="shared" si="43"/>
        <v>0</v>
      </c>
      <c r="D32" s="274">
        <f t="shared" si="43"/>
        <v>-77900.106237067579</v>
      </c>
      <c r="E32" s="599"/>
      <c r="F32" s="603"/>
      <c r="G32" s="273"/>
      <c r="H32" s="608"/>
      <c r="I32" s="609"/>
      <c r="J32" s="608"/>
      <c r="K32" s="608"/>
      <c r="L32" s="609"/>
      <c r="M32" s="610"/>
      <c r="N32" s="602"/>
      <c r="O32" s="274">
        <f t="shared" si="43"/>
        <v>29954.354519390879</v>
      </c>
      <c r="P32" s="275">
        <f t="shared" si="43"/>
        <v>20785</v>
      </c>
      <c r="Q32" s="276">
        <f t="shared" si="43"/>
        <v>2.0882522968477049E-2</v>
      </c>
      <c r="R32" s="274">
        <f t="shared" si="43"/>
        <v>3275.1859210175326</v>
      </c>
      <c r="S32" s="604">
        <f t="shared" si="43"/>
        <v>30791</v>
      </c>
      <c r="T32" s="276">
        <f t="shared" si="43"/>
        <v>0.24043159028251895</v>
      </c>
      <c r="U32" s="272">
        <f t="shared" si="43"/>
        <v>11499.477819756719</v>
      </c>
      <c r="V32" s="275">
        <f t="shared" si="43"/>
        <v>256394</v>
      </c>
      <c r="W32" s="276">
        <f t="shared" si="43"/>
        <v>1.663002760430319</v>
      </c>
      <c r="X32" s="274">
        <f t="shared" si="43"/>
        <v>272484.39787035022</v>
      </c>
      <c r="Y32" s="611">
        <f t="shared" si="43"/>
        <v>-0.5</v>
      </c>
      <c r="Z32" s="277">
        <f t="shared" si="43"/>
        <v>-1.1277622702843548E-2</v>
      </c>
      <c r="AA32" s="272">
        <f t="shared" si="43"/>
        <v>560.25157094957103</v>
      </c>
      <c r="AB32" s="278">
        <f t="shared" si="43"/>
        <v>-2.302142116930822E-2</v>
      </c>
      <c r="AC32" s="274">
        <f t="shared" si="43"/>
        <v>-6079.2552729168674</v>
      </c>
      <c r="AD32" s="612">
        <f t="shared" si="43"/>
        <v>0</v>
      </c>
      <c r="AE32" s="272">
        <f t="shared" si="43"/>
        <v>0</v>
      </c>
      <c r="AF32" s="619">
        <f t="shared" si="43"/>
        <v>0</v>
      </c>
      <c r="AG32" s="616">
        <f t="shared" si="43"/>
        <v>0</v>
      </c>
      <c r="AH32" s="272">
        <f t="shared" si="43"/>
        <v>0</v>
      </c>
      <c r="AI32" s="620">
        <f t="shared" si="43"/>
        <v>0.18426454069677023</v>
      </c>
      <c r="AJ32" s="906">
        <f t="shared" si="43"/>
        <v>311694.98960215395</v>
      </c>
      <c r="AK32" s="189">
        <f t="shared" si="43"/>
        <v>0</v>
      </c>
      <c r="AL32" s="913">
        <f t="shared" si="43"/>
        <v>311694.98960215395</v>
      </c>
      <c r="AM32" s="147">
        <f t="shared" si="43"/>
        <v>1.0532969513316753E-2</v>
      </c>
      <c r="AN32" s="626"/>
      <c r="AO32" s="280"/>
      <c r="AP32" s="279"/>
      <c r="AQ32" s="281"/>
      <c r="AR32" s="282"/>
    </row>
    <row r="33" spans="1:44" x14ac:dyDescent="0.25">
      <c r="A33" s="500" t="s">
        <v>205</v>
      </c>
      <c r="B33" s="271">
        <f t="shared" ref="B33:AM33" si="44">B13-B49</f>
        <v>0</v>
      </c>
      <c r="C33" s="602">
        <f t="shared" si="44"/>
        <v>0</v>
      </c>
      <c r="D33" s="274">
        <f t="shared" si="44"/>
        <v>0</v>
      </c>
      <c r="E33" s="599"/>
      <c r="F33" s="603"/>
      <c r="G33" s="273"/>
      <c r="H33" s="608"/>
      <c r="I33" s="609"/>
      <c r="J33" s="608"/>
      <c r="K33" s="608"/>
      <c r="L33" s="609"/>
      <c r="M33" s="610"/>
      <c r="N33" s="602"/>
      <c r="O33" s="274">
        <f t="shared" si="44"/>
        <v>18437.534943257535</v>
      </c>
      <c r="P33" s="275">
        <f t="shared" si="44"/>
        <v>-16935</v>
      </c>
      <c r="Q33" s="276">
        <f t="shared" si="44"/>
        <v>-3.3336146890189336E-2</v>
      </c>
      <c r="R33" s="274">
        <f t="shared" si="44"/>
        <v>-4104.0211021173563</v>
      </c>
      <c r="S33" s="604">
        <f t="shared" si="44"/>
        <v>0</v>
      </c>
      <c r="T33" s="276">
        <f t="shared" si="44"/>
        <v>0</v>
      </c>
      <c r="U33" s="272">
        <f t="shared" si="44"/>
        <v>0</v>
      </c>
      <c r="V33" s="275">
        <f t="shared" si="44"/>
        <v>-15000</v>
      </c>
      <c r="W33" s="276">
        <f t="shared" si="44"/>
        <v>-7.3897536021640259E-2</v>
      </c>
      <c r="X33" s="274">
        <f t="shared" si="44"/>
        <v>-11302.205473325988</v>
      </c>
      <c r="Y33" s="611">
        <f t="shared" si="44"/>
        <v>0</v>
      </c>
      <c r="Z33" s="277">
        <f t="shared" si="44"/>
        <v>0</v>
      </c>
      <c r="AA33" s="272">
        <f t="shared" si="44"/>
        <v>0</v>
      </c>
      <c r="AB33" s="278">
        <f t="shared" si="44"/>
        <v>-0.12029338595296574</v>
      </c>
      <c r="AC33" s="274">
        <f t="shared" si="44"/>
        <v>-37274.802159232437</v>
      </c>
      <c r="AD33" s="612">
        <f t="shared" si="44"/>
        <v>0</v>
      </c>
      <c r="AE33" s="272">
        <f t="shared" si="44"/>
        <v>0</v>
      </c>
      <c r="AF33" s="619">
        <f t="shared" si="44"/>
        <v>0</v>
      </c>
      <c r="AG33" s="616">
        <f t="shared" si="44"/>
        <v>0</v>
      </c>
      <c r="AH33" s="272">
        <f t="shared" si="44"/>
        <v>0</v>
      </c>
      <c r="AI33" s="620">
        <f t="shared" si="44"/>
        <v>-2.5879171422521996E-2</v>
      </c>
      <c r="AJ33" s="906">
        <f t="shared" si="44"/>
        <v>-34243.105943148985</v>
      </c>
      <c r="AK33" s="189">
        <f t="shared" si="44"/>
        <v>0</v>
      </c>
      <c r="AL33" s="913">
        <f t="shared" si="44"/>
        <v>-34243.105943148985</v>
      </c>
      <c r="AM33" s="147">
        <f t="shared" si="44"/>
        <v>-2.1071816947166875E-3</v>
      </c>
      <c r="AN33" s="626"/>
      <c r="AO33" s="280"/>
      <c r="AP33" s="279"/>
      <c r="AQ33" s="281"/>
      <c r="AR33" s="282"/>
    </row>
    <row r="34" spans="1:44" x14ac:dyDescent="0.25">
      <c r="A34" s="598" t="s">
        <v>64</v>
      </c>
      <c r="B34" s="271">
        <f t="shared" ref="B34:AM34" si="45">B14-B50</f>
        <v>0</v>
      </c>
      <c r="C34" s="602">
        <f t="shared" si="45"/>
        <v>0</v>
      </c>
      <c r="D34" s="274">
        <f t="shared" si="45"/>
        <v>0</v>
      </c>
      <c r="E34" s="599"/>
      <c r="F34" s="603"/>
      <c r="G34" s="273"/>
      <c r="H34" s="608"/>
      <c r="I34" s="609"/>
      <c r="J34" s="608"/>
      <c r="K34" s="608"/>
      <c r="L34" s="609"/>
      <c r="M34" s="610"/>
      <c r="N34" s="602"/>
      <c r="O34" s="274">
        <f t="shared" si="45"/>
        <v>41290.977667981009</v>
      </c>
      <c r="P34" s="275">
        <f t="shared" si="45"/>
        <v>0</v>
      </c>
      <c r="Q34" s="276">
        <f t="shared" si="45"/>
        <v>0</v>
      </c>
      <c r="R34" s="274">
        <f t="shared" si="45"/>
        <v>0</v>
      </c>
      <c r="S34" s="604">
        <f t="shared" si="45"/>
        <v>0</v>
      </c>
      <c r="T34" s="276">
        <f t="shared" si="45"/>
        <v>0</v>
      </c>
      <c r="U34" s="272">
        <f t="shared" si="45"/>
        <v>0</v>
      </c>
      <c r="V34" s="275">
        <f t="shared" si="45"/>
        <v>0</v>
      </c>
      <c r="W34" s="276">
        <f t="shared" si="45"/>
        <v>0</v>
      </c>
      <c r="X34" s="274">
        <f t="shared" si="45"/>
        <v>0</v>
      </c>
      <c r="Y34" s="611">
        <f t="shared" si="45"/>
        <v>0</v>
      </c>
      <c r="Z34" s="277">
        <f t="shared" si="45"/>
        <v>0</v>
      </c>
      <c r="AA34" s="272">
        <f t="shared" si="45"/>
        <v>0</v>
      </c>
      <c r="AB34" s="278">
        <f t="shared" si="45"/>
        <v>0</v>
      </c>
      <c r="AC34" s="274">
        <f t="shared" si="45"/>
        <v>0</v>
      </c>
      <c r="AD34" s="612">
        <f t="shared" si="45"/>
        <v>0</v>
      </c>
      <c r="AE34" s="272">
        <f t="shared" si="45"/>
        <v>0</v>
      </c>
      <c r="AF34" s="619">
        <f t="shared" si="45"/>
        <v>0</v>
      </c>
      <c r="AG34" s="616">
        <f t="shared" si="45"/>
        <v>0</v>
      </c>
      <c r="AH34" s="272">
        <f t="shared" si="45"/>
        <v>0</v>
      </c>
      <c r="AI34" s="620">
        <f t="shared" si="45"/>
        <v>2.5899421564949416E-2</v>
      </c>
      <c r="AJ34" s="906">
        <f t="shared" si="45"/>
        <v>41291</v>
      </c>
      <c r="AK34" s="189">
        <f t="shared" si="45"/>
        <v>0</v>
      </c>
      <c r="AL34" s="913">
        <f t="shared" si="45"/>
        <v>41291</v>
      </c>
      <c r="AM34" s="147">
        <f t="shared" si="45"/>
        <v>1.6464069941535028E-3</v>
      </c>
      <c r="AN34" s="626"/>
      <c r="AO34" s="280"/>
      <c r="AP34" s="279"/>
      <c r="AQ34" s="281"/>
      <c r="AR34" s="282"/>
    </row>
    <row r="35" spans="1:44" s="112" customFormat="1" ht="15.75" thickBot="1" x14ac:dyDescent="0.3">
      <c r="A35" s="631" t="s">
        <v>2</v>
      </c>
      <c r="B35" s="632">
        <f>SUM(B25:B34)</f>
        <v>0</v>
      </c>
      <c r="C35" s="633">
        <f>SUM(C25:C34)</f>
        <v>0</v>
      </c>
      <c r="D35" s="634">
        <f>SUM(D25:D34)</f>
        <v>-5545259.9595882604</v>
      </c>
      <c r="E35" s="635"/>
      <c r="F35" s="636"/>
      <c r="G35" s="632"/>
      <c r="H35" s="637"/>
      <c r="I35" s="637"/>
      <c r="J35" s="638"/>
      <c r="K35" s="637"/>
      <c r="L35" s="637"/>
      <c r="M35" s="637"/>
      <c r="N35" s="637"/>
      <c r="O35" s="634">
        <f t="shared" ref="O35:AA35" si="46">SUM(O25:O34)</f>
        <v>821578.6192667227</v>
      </c>
      <c r="P35" s="632">
        <f t="shared" si="46"/>
        <v>1654340.2799999998</v>
      </c>
      <c r="Q35" s="633">
        <f t="shared" si="46"/>
        <v>0.1228258646868962</v>
      </c>
      <c r="R35" s="634">
        <f t="shared" si="46"/>
        <v>125302.03703800053</v>
      </c>
      <c r="S35" s="639">
        <f t="shared" si="46"/>
        <v>166764.99000000011</v>
      </c>
      <c r="T35" s="633">
        <f t="shared" si="46"/>
        <v>-1.2223663995341667</v>
      </c>
      <c r="U35" s="636">
        <f t="shared" si="46"/>
        <v>-2692.7873668683624</v>
      </c>
      <c r="V35" s="632">
        <f t="shared" si="46"/>
        <v>970712.80999999982</v>
      </c>
      <c r="W35" s="633">
        <f t="shared" si="46"/>
        <v>7.8399392397257541</v>
      </c>
      <c r="X35" s="634">
        <f t="shared" si="46"/>
        <v>1337766.0297845323</v>
      </c>
      <c r="Y35" s="640">
        <f t="shared" si="46"/>
        <v>-8.1666666666666643</v>
      </c>
      <c r="Z35" s="633">
        <f t="shared" si="46"/>
        <v>0.30168596402910669</v>
      </c>
      <c r="AA35" s="636">
        <f t="shared" si="46"/>
        <v>157427.92069012843</v>
      </c>
      <c r="AB35" s="641">
        <f>SUM(AB25:AB34)</f>
        <v>-4.9827520195878078E-2</v>
      </c>
      <c r="AC35" s="634">
        <f t="shared" ref="AC35" si="47">SUM(AC25:AC34)</f>
        <v>160149.5965500155</v>
      </c>
      <c r="AD35" s="635">
        <f>SUM(AD25:AD34)</f>
        <v>2.3098080722868644</v>
      </c>
      <c r="AE35" s="636">
        <f>SUM(AE25:AE34)</f>
        <v>101530</v>
      </c>
      <c r="AF35" s="642">
        <f t="shared" ref="AF35:AI35" si="48">SUM(AF25:AF34)</f>
        <v>52241</v>
      </c>
      <c r="AG35" s="639">
        <f t="shared" si="48"/>
        <v>0</v>
      </c>
      <c r="AH35" s="637">
        <f t="shared" si="48"/>
        <v>0</v>
      </c>
      <c r="AI35" s="643">
        <f t="shared" si="48"/>
        <v>1.0953419493753724</v>
      </c>
      <c r="AJ35" s="642">
        <f>SUM(AJ25:AJ34)</f>
        <v>2701063.0000000005</v>
      </c>
      <c r="AK35" s="644">
        <f t="shared" ref="AK35:AM35" si="49">SUM(AK25:AK34)</f>
        <v>8693</v>
      </c>
      <c r="AL35" s="642">
        <f t="shared" si="49"/>
        <v>2761997.0000000005</v>
      </c>
      <c r="AM35" s="645">
        <f t="shared" si="49"/>
        <v>3.9873265192868698E-8</v>
      </c>
      <c r="AN35" s="641"/>
      <c r="AO35" s="633"/>
      <c r="AP35" s="633"/>
      <c r="AQ35" s="633"/>
      <c r="AR35" s="646"/>
    </row>
    <row r="36" spans="1:44" ht="15" customHeight="1" x14ac:dyDescent="0.25"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S36" s="291"/>
      <c r="T36" s="291"/>
      <c r="U36" s="291"/>
      <c r="V36" s="291"/>
      <c r="W36" s="291"/>
      <c r="AE36" s="131"/>
      <c r="AF36" s="131"/>
      <c r="AG36" s="131"/>
      <c r="AH36" s="131"/>
    </row>
    <row r="37" spans="1:44" x14ac:dyDescent="0.25"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S37" s="291"/>
      <c r="T37" s="291"/>
      <c r="U37" s="291"/>
      <c r="V37" s="291"/>
      <c r="W37" s="291"/>
      <c r="AE37" s="131"/>
      <c r="AF37" s="131"/>
      <c r="AG37" s="131"/>
      <c r="AH37" s="131"/>
    </row>
    <row r="38" spans="1:44" x14ac:dyDescent="0.25">
      <c r="D38" s="131"/>
      <c r="E38" s="131"/>
      <c r="F38" s="131"/>
      <c r="G38" s="131"/>
      <c r="H38" s="131"/>
      <c r="O38" s="291"/>
      <c r="P38" s="291"/>
      <c r="Q38" s="291"/>
      <c r="R38" s="291"/>
      <c r="S38" s="291"/>
      <c r="AA38" s="131"/>
      <c r="AB38" s="131"/>
      <c r="AC38" s="131"/>
    </row>
    <row r="39" spans="1:44" ht="15.75" thickBot="1" x14ac:dyDescent="0.3">
      <c r="A39" s="109" t="s">
        <v>229</v>
      </c>
      <c r="O39" s="291" t="s">
        <v>276</v>
      </c>
      <c r="P39" s="291"/>
      <c r="Q39" s="291"/>
      <c r="R39" s="291"/>
      <c r="S39" s="291"/>
      <c r="AA39" s="131"/>
      <c r="AB39" s="131"/>
      <c r="AC39" s="131"/>
    </row>
    <row r="40" spans="1:44" s="112" customFormat="1" x14ac:dyDescent="0.25">
      <c r="A40" s="342" t="s">
        <v>2</v>
      </c>
      <c r="B40" s="560">
        <v>8058.2821250000015</v>
      </c>
      <c r="C40" s="601">
        <v>14.464352860486365</v>
      </c>
      <c r="D40" s="559">
        <v>9511626</v>
      </c>
      <c r="E40" s="627"/>
      <c r="F40" s="566"/>
      <c r="G40" s="606"/>
      <c r="H40" s="565"/>
      <c r="I40" s="565"/>
      <c r="J40" s="565"/>
      <c r="K40" s="565"/>
      <c r="L40" s="565"/>
      <c r="M40" s="607"/>
      <c r="N40" s="601"/>
      <c r="O40" s="559">
        <v>9511626</v>
      </c>
      <c r="P40" s="606">
        <v>13200300.67</v>
      </c>
      <c r="Q40" s="601">
        <v>18.39</v>
      </c>
      <c r="R40" s="559">
        <v>2531019</v>
      </c>
      <c r="S40" s="561">
        <v>3332962.67</v>
      </c>
      <c r="T40" s="601">
        <v>28.55</v>
      </c>
      <c r="U40" s="561">
        <v>1309732</v>
      </c>
      <c r="V40" s="606">
        <v>2750429.7200000007</v>
      </c>
      <c r="W40" s="601">
        <v>13.55</v>
      </c>
      <c r="X40" s="559">
        <v>2072395</v>
      </c>
      <c r="Y40" s="627">
        <v>320.58333333333331</v>
      </c>
      <c r="Z40" s="601">
        <v>16.86</v>
      </c>
      <c r="AA40" s="561">
        <v>2578630</v>
      </c>
      <c r="AB40" s="227">
        <v>12.08</v>
      </c>
      <c r="AC40" s="559">
        <v>4155287</v>
      </c>
      <c r="AD40" s="627">
        <v>5.75</v>
      </c>
      <c r="AE40" s="561">
        <v>219710</v>
      </c>
      <c r="AF40" s="618">
        <v>0</v>
      </c>
      <c r="AG40" s="628">
        <v>0</v>
      </c>
      <c r="AH40" s="561">
        <v>14.635533034522558</v>
      </c>
      <c r="AI40" s="629">
        <f>AJ40/$AJ$52*100</f>
        <v>14.635533034522558</v>
      </c>
      <c r="AJ40" s="618">
        <v>22378399</v>
      </c>
      <c r="AK40" s="561">
        <v>152000</v>
      </c>
      <c r="AL40" s="618">
        <f>AJ40+AK40</f>
        <v>22530399</v>
      </c>
      <c r="AM40" s="630">
        <v>1</v>
      </c>
      <c r="AN40" s="623"/>
      <c r="AO40" s="624"/>
      <c r="AP40" s="624"/>
      <c r="AQ40" s="624"/>
      <c r="AR40" s="625"/>
    </row>
    <row r="41" spans="1:44" x14ac:dyDescent="0.25">
      <c r="A41" s="500" t="s">
        <v>6</v>
      </c>
      <c r="B41" s="271">
        <v>342.13057499999996</v>
      </c>
      <c r="C41" s="602">
        <f>100*B41/$B$16</f>
        <v>0.61411319241457973</v>
      </c>
      <c r="D41" s="274">
        <v>403835.21228042751</v>
      </c>
      <c r="E41" s="599"/>
      <c r="F41" s="603"/>
      <c r="G41" s="273"/>
      <c r="H41" s="608"/>
      <c r="I41" s="609"/>
      <c r="J41" s="608"/>
      <c r="K41" s="608"/>
      <c r="L41" s="609"/>
      <c r="M41" s="610"/>
      <c r="N41" s="602"/>
      <c r="O41" s="274">
        <v>403835.21228042751</v>
      </c>
      <c r="P41" s="275">
        <v>218395</v>
      </c>
      <c r="Q41" s="647">
        <f>P41/P$51*Q$40</f>
        <v>0.30425700520010873</v>
      </c>
      <c r="R41" s="274">
        <v>41874.94622319597</v>
      </c>
      <c r="S41" s="604">
        <v>111809</v>
      </c>
      <c r="T41" s="647">
        <f>S41/S$51*T$40</f>
        <v>0.9577504910795589</v>
      </c>
      <c r="U41" s="272">
        <v>43936.828938095023</v>
      </c>
      <c r="V41" s="275">
        <v>104617</v>
      </c>
      <c r="W41" s="276">
        <f t="shared" ref="W41:W50" si="50">V41/V$51*W$40</f>
        <v>0.51539590173172922</v>
      </c>
      <c r="X41" s="274">
        <v>78826.85533352966</v>
      </c>
      <c r="Y41" s="611">
        <v>41.25</v>
      </c>
      <c r="Z41" s="277">
        <f t="shared" ref="Z41:Z50" si="51">Y41/Y$51*Z$40</f>
        <v>2.1688409563409565</v>
      </c>
      <c r="AA41" s="272">
        <v>331710.45997920993</v>
      </c>
      <c r="AB41" s="278">
        <v>0.19554511200175714</v>
      </c>
      <c r="AC41" s="274">
        <f t="shared" ref="AC41:AC50" si="52">AB41/AB$51*AC$40</f>
        <v>67263.746838944149</v>
      </c>
      <c r="AD41" s="612">
        <f>AD$40*AE41/AE$40</f>
        <v>4.7687497155341134</v>
      </c>
      <c r="AE41" s="272">
        <v>182216</v>
      </c>
      <c r="AF41" s="619"/>
      <c r="AG41" s="616"/>
      <c r="AH41" s="272"/>
      <c r="AI41" s="620">
        <f t="shared" ref="AI41:AI50" si="53">AJ41/$AJ$52*100</f>
        <v>0.75188360087186401</v>
      </c>
      <c r="AJ41" s="906">
        <v>1149664.394332476</v>
      </c>
      <c r="AK41" s="189">
        <v>0</v>
      </c>
      <c r="AL41" s="913">
        <f t="shared" ref="AL41:AL50" si="54">SUM(AJ41:AK41)+AF41</f>
        <v>1149664.394332476</v>
      </c>
      <c r="AM41" s="147">
        <f>AL41/AL$40</f>
        <v>5.1027254081584442E-2</v>
      </c>
      <c r="AN41" s="626"/>
      <c r="AO41" s="280"/>
      <c r="AP41" s="279"/>
      <c r="AQ41" s="281"/>
      <c r="AR41" s="282"/>
    </row>
    <row r="42" spans="1:44" x14ac:dyDescent="0.25">
      <c r="A42" s="500" t="s">
        <v>3</v>
      </c>
      <c r="B42" s="271">
        <v>1853.30115</v>
      </c>
      <c r="C42" s="602">
        <f t="shared" ref="C42:C50" si="55">100*B42/$B$16</f>
        <v>3.326614950248489</v>
      </c>
      <c r="D42" s="274">
        <v>2187551.5315455529</v>
      </c>
      <c r="E42" s="599"/>
      <c r="F42" s="603"/>
      <c r="G42" s="273"/>
      <c r="H42" s="608"/>
      <c r="I42" s="609"/>
      <c r="J42" s="608"/>
      <c r="K42" s="608"/>
      <c r="L42" s="609"/>
      <c r="M42" s="610"/>
      <c r="N42" s="602"/>
      <c r="O42" s="274">
        <v>2187551.5315455529</v>
      </c>
      <c r="P42" s="275">
        <v>3394192</v>
      </c>
      <c r="Q42" s="647">
        <f t="shared" ref="Q42:Q50" si="56">P42/P$51*Q$40</f>
        <v>4.7286187549814205</v>
      </c>
      <c r="R42" s="274">
        <v>650800.64777674386</v>
      </c>
      <c r="S42" s="604">
        <v>286452</v>
      </c>
      <c r="T42" s="276">
        <f t="shared" ref="T42:T50" si="57">S42/S$51*T$40</f>
        <v>2.4537339898462722</v>
      </c>
      <c r="U42" s="272">
        <v>112565.1112430591</v>
      </c>
      <c r="V42" s="275">
        <v>1435173</v>
      </c>
      <c r="W42" s="276">
        <f t="shared" si="50"/>
        <v>7.0703832309857004</v>
      </c>
      <c r="X42" s="274">
        <v>1081374.6757179785</v>
      </c>
      <c r="Y42" s="611">
        <v>37.166666666666664</v>
      </c>
      <c r="Z42" s="277">
        <f t="shared" si="51"/>
        <v>1.9541476091476091</v>
      </c>
      <c r="AA42" s="272">
        <v>298874.47505197505</v>
      </c>
      <c r="AB42" s="278">
        <v>2.7051367841412008</v>
      </c>
      <c r="AC42" s="274">
        <f t="shared" si="52"/>
        <v>930514.87685130269</v>
      </c>
      <c r="AD42" s="612"/>
      <c r="AE42" s="272"/>
      <c r="AF42" s="619"/>
      <c r="AG42" s="616"/>
      <c r="AH42" s="272"/>
      <c r="AI42" s="620">
        <f t="shared" si="53"/>
        <v>3.4411537103011862</v>
      </c>
      <c r="AJ42" s="906">
        <v>5261681.3181866119</v>
      </c>
      <c r="AK42" s="189">
        <v>20000</v>
      </c>
      <c r="AL42" s="913">
        <f t="shared" si="54"/>
        <v>5281681.3181866119</v>
      </c>
      <c r="AM42" s="147">
        <f t="shared" ref="AM42:AM50" si="58">AL42/AL$40</f>
        <v>0.23442466856386396</v>
      </c>
      <c r="AN42" s="626"/>
      <c r="AO42" s="280"/>
      <c r="AP42" s="279"/>
      <c r="AQ42" s="281"/>
      <c r="AR42" s="282"/>
    </row>
    <row r="43" spans="1:44" x14ac:dyDescent="0.25">
      <c r="A43" s="500" t="s">
        <v>5</v>
      </c>
      <c r="B43" s="271">
        <v>1771.8999999999999</v>
      </c>
      <c r="C43" s="602">
        <f t="shared" si="55"/>
        <v>3.1805025483016065</v>
      </c>
      <c r="D43" s="274">
        <v>2091469.3538853978</v>
      </c>
      <c r="E43" s="599"/>
      <c r="F43" s="603"/>
      <c r="G43" s="273"/>
      <c r="H43" s="608"/>
      <c r="I43" s="609"/>
      <c r="J43" s="608"/>
      <c r="K43" s="608"/>
      <c r="L43" s="609"/>
      <c r="M43" s="610"/>
      <c r="N43" s="602"/>
      <c r="O43" s="274">
        <v>2091469.3538853978</v>
      </c>
      <c r="P43" s="275">
        <v>3911275</v>
      </c>
      <c r="Q43" s="647">
        <f t="shared" si="56"/>
        <v>5.4489929623574493</v>
      </c>
      <c r="R43" s="274">
        <v>749945.87920570897</v>
      </c>
      <c r="S43" s="604">
        <v>395396</v>
      </c>
      <c r="T43" s="276">
        <f t="shared" si="57"/>
        <v>3.3869430293705634</v>
      </c>
      <c r="U43" s="272">
        <v>155376.1004463596</v>
      </c>
      <c r="V43" s="275">
        <v>415529</v>
      </c>
      <c r="W43" s="276">
        <f t="shared" si="50"/>
        <v>2.0471046163690771</v>
      </c>
      <c r="X43" s="274">
        <v>313092.94254171167</v>
      </c>
      <c r="Y43" s="611">
        <v>72.666666666666671</v>
      </c>
      <c r="Z43" s="277">
        <f t="shared" si="51"/>
        <v>3.8206652806652812</v>
      </c>
      <c r="AA43" s="272">
        <v>584346.50727650733</v>
      </c>
      <c r="AB43" s="278">
        <v>3.9860518338428452</v>
      </c>
      <c r="AC43" s="274">
        <f t="shared" si="52"/>
        <v>1371124.9475573951</v>
      </c>
      <c r="AD43" s="612"/>
      <c r="AE43" s="272"/>
      <c r="AF43" s="619"/>
      <c r="AG43" s="616"/>
      <c r="AH43" s="272"/>
      <c r="AI43" s="620">
        <f t="shared" si="53"/>
        <v>3.4435567860905092</v>
      </c>
      <c r="AJ43" s="906">
        <v>5265355.7309130803</v>
      </c>
      <c r="AK43" s="189">
        <v>80000</v>
      </c>
      <c r="AL43" s="913">
        <f t="shared" si="54"/>
        <v>5345355.7309130803</v>
      </c>
      <c r="AM43" s="147">
        <f t="shared" si="58"/>
        <v>0.23725082413822676</v>
      </c>
      <c r="AN43" s="626"/>
      <c r="AO43" s="280"/>
      <c r="AP43" s="279"/>
      <c r="AQ43" s="281"/>
      <c r="AR43" s="282"/>
    </row>
    <row r="44" spans="1:44" x14ac:dyDescent="0.25">
      <c r="A44" s="500" t="s">
        <v>7</v>
      </c>
      <c r="B44" s="271">
        <v>250.87999999999997</v>
      </c>
      <c r="C44" s="602">
        <f t="shared" si="55"/>
        <v>0.45032139472764088</v>
      </c>
      <c r="D44" s="274">
        <v>296127.22586080962</v>
      </c>
      <c r="E44" s="599"/>
      <c r="F44" s="603"/>
      <c r="G44" s="273"/>
      <c r="H44" s="608"/>
      <c r="I44" s="609"/>
      <c r="J44" s="608"/>
      <c r="K44" s="608"/>
      <c r="L44" s="609"/>
      <c r="M44" s="610"/>
      <c r="N44" s="602"/>
      <c r="O44" s="274">
        <v>296127.22586080962</v>
      </c>
      <c r="P44" s="275">
        <v>382826</v>
      </c>
      <c r="Q44" s="647">
        <f t="shared" si="56"/>
        <v>0.53333406109451598</v>
      </c>
      <c r="R44" s="274">
        <v>73402.862532755884</v>
      </c>
      <c r="S44" s="604">
        <v>371824</v>
      </c>
      <c r="T44" s="276">
        <f t="shared" si="57"/>
        <v>3.1850264164348663</v>
      </c>
      <c r="U44" s="272">
        <v>146113.17052364518</v>
      </c>
      <c r="V44" s="275">
        <v>33598</v>
      </c>
      <c r="W44" s="276">
        <f t="shared" si="50"/>
        <v>0.16552062768367129</v>
      </c>
      <c r="X44" s="274">
        <v>25315.433299520439</v>
      </c>
      <c r="Y44" s="611">
        <v>24.75</v>
      </c>
      <c r="Z44" s="277">
        <f t="shared" si="51"/>
        <v>1.3013045738045739</v>
      </c>
      <c r="AA44" s="272">
        <v>199026.27598752599</v>
      </c>
      <c r="AB44" s="278">
        <v>0.18030726142576012</v>
      </c>
      <c r="AC44" s="274">
        <f t="shared" si="52"/>
        <v>62022.220149674038</v>
      </c>
      <c r="AD44" s="612"/>
      <c r="AE44" s="272"/>
      <c r="AF44" s="619"/>
      <c r="AG44" s="616"/>
      <c r="AH44" s="272"/>
      <c r="AI44" s="620">
        <f t="shared" si="53"/>
        <v>0.52451485466312908</v>
      </c>
      <c r="AJ44" s="906">
        <v>802007.18835393107</v>
      </c>
      <c r="AK44" s="189">
        <v>0</v>
      </c>
      <c r="AL44" s="913">
        <f t="shared" si="54"/>
        <v>802007.18835393107</v>
      </c>
      <c r="AM44" s="147">
        <f t="shared" si="58"/>
        <v>3.5596670451949433E-2</v>
      </c>
      <c r="AN44" s="626"/>
      <c r="AO44" s="280"/>
      <c r="AP44" s="279"/>
      <c r="AQ44" s="281"/>
      <c r="AR44" s="282"/>
    </row>
    <row r="45" spans="1:44" x14ac:dyDescent="0.25">
      <c r="A45" s="500" t="s">
        <v>0</v>
      </c>
      <c r="B45" s="271">
        <v>1825.8925750000001</v>
      </c>
      <c r="C45" s="602">
        <f t="shared" si="55"/>
        <v>3.2774174545473684</v>
      </c>
      <c r="D45" s="274">
        <v>2155199.7088432731</v>
      </c>
      <c r="E45" s="599"/>
      <c r="F45" s="603"/>
      <c r="G45" s="273"/>
      <c r="H45" s="608"/>
      <c r="I45" s="609"/>
      <c r="J45" s="608"/>
      <c r="K45" s="608"/>
      <c r="L45" s="609"/>
      <c r="M45" s="610"/>
      <c r="N45" s="602"/>
      <c r="O45" s="274">
        <v>2155199.7088432731</v>
      </c>
      <c r="P45" s="275">
        <v>2135680</v>
      </c>
      <c r="Q45" s="647">
        <f t="shared" si="56"/>
        <v>2.9753226990808774</v>
      </c>
      <c r="R45" s="274">
        <v>409494.19698232639</v>
      </c>
      <c r="S45" s="604">
        <v>1155149</v>
      </c>
      <c r="T45" s="276">
        <f t="shared" si="57"/>
        <v>9.8949505140021063</v>
      </c>
      <c r="U45" s="272">
        <v>453931.11476725066</v>
      </c>
      <c r="V45" s="275">
        <v>429616</v>
      </c>
      <c r="W45" s="276">
        <f t="shared" si="50"/>
        <v>2.1165042556981999</v>
      </c>
      <c r="X45" s="274">
        <v>323707.22044189455</v>
      </c>
      <c r="Y45" s="611">
        <v>85.583333333333329</v>
      </c>
      <c r="Z45" s="277">
        <f t="shared" si="51"/>
        <v>4.499797297297297</v>
      </c>
      <c r="AA45" s="272">
        <v>688215.43918918923</v>
      </c>
      <c r="AB45" s="278">
        <v>2.1609825626648598</v>
      </c>
      <c r="AC45" s="274">
        <f t="shared" si="52"/>
        <v>743336.32035330927</v>
      </c>
      <c r="AD45" s="612">
        <f>AD$40*AE45/AE$40</f>
        <v>0.9812502844658868</v>
      </c>
      <c r="AE45" s="272">
        <v>37494</v>
      </c>
      <c r="AF45" s="619"/>
      <c r="AG45" s="616"/>
      <c r="AH45" s="272"/>
      <c r="AI45" s="620">
        <f t="shared" si="53"/>
        <v>3.1466539060092384</v>
      </c>
      <c r="AJ45" s="906">
        <v>4811377.6558381692</v>
      </c>
      <c r="AK45" s="189">
        <v>52000</v>
      </c>
      <c r="AL45" s="913">
        <f t="shared" si="54"/>
        <v>4863377.6558381692</v>
      </c>
      <c r="AM45" s="147">
        <f t="shared" si="58"/>
        <v>0.21585847884177148</v>
      </c>
      <c r="AN45" s="626"/>
      <c r="AO45" s="280"/>
      <c r="AP45" s="279"/>
      <c r="AQ45" s="281"/>
      <c r="AR45" s="282"/>
    </row>
    <row r="46" spans="1:44" x14ac:dyDescent="0.25">
      <c r="A46" s="500" t="s">
        <v>1</v>
      </c>
      <c r="B46" s="271">
        <v>857.36922500000014</v>
      </c>
      <c r="C46" s="602">
        <f t="shared" si="55"/>
        <v>1.5389497177876144</v>
      </c>
      <c r="D46" s="274">
        <v>1011999.2432146141</v>
      </c>
      <c r="E46" s="599"/>
      <c r="F46" s="603"/>
      <c r="G46" s="273"/>
      <c r="H46" s="608"/>
      <c r="I46" s="609"/>
      <c r="J46" s="608"/>
      <c r="K46" s="608"/>
      <c r="L46" s="609"/>
      <c r="M46" s="610"/>
      <c r="N46" s="602"/>
      <c r="O46" s="274">
        <v>1011999.2432146141</v>
      </c>
      <c r="P46" s="275">
        <v>2000671</v>
      </c>
      <c r="Q46" s="647">
        <f t="shared" si="56"/>
        <v>2.7872349039616595</v>
      </c>
      <c r="R46" s="274">
        <v>383607.63998858811</v>
      </c>
      <c r="S46" s="604">
        <v>463926</v>
      </c>
      <c r="T46" s="276">
        <f t="shared" si="57"/>
        <v>3.9739676978112271</v>
      </c>
      <c r="U46" s="272">
        <v>182305.87253203834</v>
      </c>
      <c r="V46" s="275">
        <v>16391</v>
      </c>
      <c r="W46" s="276">
        <f t="shared" si="50"/>
        <v>8.0750300862047028E-2</v>
      </c>
      <c r="X46" s="274">
        <v>12350.296660885753</v>
      </c>
      <c r="Y46" s="611">
        <v>21.083333333333332</v>
      </c>
      <c r="Z46" s="277">
        <f t="shared" si="51"/>
        <v>1.1085187110187111</v>
      </c>
      <c r="AA46" s="272">
        <v>169540.90176715175</v>
      </c>
      <c r="AB46" s="278">
        <v>0.62588663853151971</v>
      </c>
      <c r="AC46" s="274">
        <f t="shared" si="52"/>
        <v>215292.93150361942</v>
      </c>
      <c r="AD46" s="612"/>
      <c r="AE46" s="272"/>
      <c r="AF46" s="619"/>
      <c r="AG46" s="616"/>
      <c r="AH46" s="272"/>
      <c r="AI46" s="620">
        <f t="shared" si="53"/>
        <v>1.2917186665838114</v>
      </c>
      <c r="AJ46" s="906">
        <v>1975096.8856668973</v>
      </c>
      <c r="AK46" s="189">
        <v>0</v>
      </c>
      <c r="AL46" s="913">
        <f t="shared" si="54"/>
        <v>1975096.8856668973</v>
      </c>
      <c r="AM46" s="147">
        <f t="shared" si="58"/>
        <v>8.7663644379617836E-2</v>
      </c>
      <c r="AN46" s="626"/>
      <c r="AO46" s="280"/>
      <c r="AP46" s="279"/>
      <c r="AQ46" s="281"/>
      <c r="AR46" s="282"/>
    </row>
    <row r="47" spans="1:44" x14ac:dyDescent="0.25">
      <c r="A47" s="500" t="s">
        <v>4</v>
      </c>
      <c r="B47" s="271">
        <v>1043.605425</v>
      </c>
      <c r="C47" s="602">
        <f t="shared" si="55"/>
        <v>1.8732376057530791</v>
      </c>
      <c r="D47" s="274">
        <v>1231823.8974750526</v>
      </c>
      <c r="E47" s="599"/>
      <c r="F47" s="603"/>
      <c r="G47" s="273"/>
      <c r="H47" s="608"/>
      <c r="I47" s="609"/>
      <c r="J47" s="608"/>
      <c r="K47" s="608"/>
      <c r="L47" s="609"/>
      <c r="M47" s="610"/>
      <c r="N47" s="602"/>
      <c r="O47" s="274">
        <v>1231823.8974750526</v>
      </c>
      <c r="P47" s="275">
        <v>1039811</v>
      </c>
      <c r="Q47" s="647">
        <f t="shared" si="56"/>
        <v>1.4486127467850924</v>
      </c>
      <c r="R47" s="274">
        <v>199372.83228685468</v>
      </c>
      <c r="S47" s="604">
        <v>548407</v>
      </c>
      <c r="T47" s="276">
        <f t="shared" si="57"/>
        <v>4.6976278614554081</v>
      </c>
      <c r="U47" s="272">
        <v>215503.80154955218</v>
      </c>
      <c r="V47" s="275">
        <v>70263</v>
      </c>
      <c r="W47" s="276">
        <f t="shared" si="50"/>
        <v>0.34615083823256731</v>
      </c>
      <c r="X47" s="274">
        <v>52941.790878153595</v>
      </c>
      <c r="Y47" s="611">
        <v>31.25</v>
      </c>
      <c r="Z47" s="277">
        <f t="shared" si="51"/>
        <v>1.6430613305613306</v>
      </c>
      <c r="AA47" s="272">
        <v>251295.80301455301</v>
      </c>
      <c r="AB47" s="278">
        <v>1.6794737761259741</v>
      </c>
      <c r="AC47" s="274">
        <f t="shared" si="52"/>
        <v>577706.58516367292</v>
      </c>
      <c r="AD47" s="612"/>
      <c r="AE47" s="272"/>
      <c r="AF47" s="619"/>
      <c r="AG47" s="616"/>
      <c r="AH47" s="272"/>
      <c r="AI47" s="620">
        <f t="shared" si="53"/>
        <v>1.653740430276502</v>
      </c>
      <c r="AJ47" s="906">
        <v>2528644.7103678393</v>
      </c>
      <c r="AK47" s="189">
        <v>0</v>
      </c>
      <c r="AL47" s="913">
        <f t="shared" si="54"/>
        <v>2528644.7103678393</v>
      </c>
      <c r="AM47" s="147">
        <f t="shared" si="58"/>
        <v>0.11223257565779636</v>
      </c>
      <c r="AN47" s="626"/>
      <c r="AO47" s="280"/>
      <c r="AP47" s="279"/>
      <c r="AQ47" s="281"/>
      <c r="AR47" s="282"/>
    </row>
    <row r="48" spans="1:44" x14ac:dyDescent="0.25">
      <c r="A48" s="500" t="s">
        <v>17</v>
      </c>
      <c r="B48" s="271">
        <v>113.203175</v>
      </c>
      <c r="C48" s="602">
        <f t="shared" si="55"/>
        <v>0.20319599670598382</v>
      </c>
      <c r="D48" s="274">
        <v>133619.82689487308</v>
      </c>
      <c r="E48" s="599"/>
      <c r="F48" s="603"/>
      <c r="G48" s="273"/>
      <c r="H48" s="608"/>
      <c r="I48" s="609"/>
      <c r="J48" s="608"/>
      <c r="K48" s="608"/>
      <c r="L48" s="609"/>
      <c r="M48" s="610"/>
      <c r="N48" s="602"/>
      <c r="O48" s="274">
        <v>133619.82689487308</v>
      </c>
      <c r="P48" s="275">
        <v>34184</v>
      </c>
      <c r="Q48" s="647">
        <f t="shared" si="56"/>
        <v>4.7623441313951853E-2</v>
      </c>
      <c r="R48" s="274">
        <v>6554.4227738443233</v>
      </c>
      <c r="S48" s="604">
        <v>0</v>
      </c>
      <c r="T48" s="276">
        <f t="shared" si="57"/>
        <v>0</v>
      </c>
      <c r="U48" s="272">
        <v>0</v>
      </c>
      <c r="V48" s="275">
        <v>230243</v>
      </c>
      <c r="W48" s="276">
        <f t="shared" si="50"/>
        <v>1.1342926924153678</v>
      </c>
      <c r="X48" s="274">
        <v>173483.5796529997</v>
      </c>
      <c r="Y48" s="611">
        <v>6.916666666666667</v>
      </c>
      <c r="Z48" s="277">
        <f t="shared" si="51"/>
        <v>0.36366424116424123</v>
      </c>
      <c r="AA48" s="272">
        <v>55620.137733887736</v>
      </c>
      <c r="AB48" s="278">
        <v>0.14785434642042133</v>
      </c>
      <c r="AC48" s="274">
        <f t="shared" si="52"/>
        <v>50859.043342241159</v>
      </c>
      <c r="AD48" s="612"/>
      <c r="AE48" s="272"/>
      <c r="AF48" s="619"/>
      <c r="AG48" s="616"/>
      <c r="AH48" s="272"/>
      <c r="AI48" s="620">
        <f t="shared" si="53"/>
        <v>0.27477073291539861</v>
      </c>
      <c r="AJ48" s="906">
        <v>420137.01039784605</v>
      </c>
      <c r="AK48" s="189">
        <v>0</v>
      </c>
      <c r="AL48" s="913">
        <f t="shared" si="54"/>
        <v>420137.01039784605</v>
      </c>
      <c r="AM48" s="147">
        <f t="shared" si="58"/>
        <v>1.8647561918359548E-2</v>
      </c>
      <c r="AN48" s="626"/>
      <c r="AO48" s="280"/>
      <c r="AP48" s="279"/>
      <c r="AQ48" s="281"/>
      <c r="AR48" s="282"/>
    </row>
    <row r="49" spans="1:44" x14ac:dyDescent="0.25">
      <c r="A49" s="500" t="s">
        <v>205</v>
      </c>
      <c r="B49" s="271">
        <v>0</v>
      </c>
      <c r="C49" s="602">
        <f t="shared" si="55"/>
        <v>0</v>
      </c>
      <c r="D49" s="274">
        <v>0</v>
      </c>
      <c r="E49" s="599"/>
      <c r="F49" s="603"/>
      <c r="G49" s="273"/>
      <c r="H49" s="608"/>
      <c r="I49" s="609"/>
      <c r="J49" s="608"/>
      <c r="K49" s="608"/>
      <c r="L49" s="609"/>
      <c r="M49" s="610"/>
      <c r="N49" s="602"/>
      <c r="O49" s="274">
        <v>0</v>
      </c>
      <c r="P49" s="275">
        <v>83267</v>
      </c>
      <c r="Q49" s="647">
        <f t="shared" si="56"/>
        <v>0.11600342522492481</v>
      </c>
      <c r="R49" s="274">
        <v>15965.572229981726</v>
      </c>
      <c r="S49" s="604">
        <v>0</v>
      </c>
      <c r="T49" s="276">
        <f t="shared" si="57"/>
        <v>0</v>
      </c>
      <c r="U49" s="272">
        <v>0</v>
      </c>
      <c r="V49" s="275">
        <v>15000</v>
      </c>
      <c r="W49" s="276">
        <f t="shared" si="50"/>
        <v>7.3897536021640259E-2</v>
      </c>
      <c r="X49" s="274">
        <v>11302.205473325988</v>
      </c>
      <c r="Y49" s="611">
        <v>0</v>
      </c>
      <c r="Z49" s="277">
        <f t="shared" si="51"/>
        <v>0</v>
      </c>
      <c r="AA49" s="272">
        <v>0</v>
      </c>
      <c r="AB49" s="278">
        <v>0.39876168484566354</v>
      </c>
      <c r="AC49" s="274">
        <f t="shared" si="52"/>
        <v>137166.32823984127</v>
      </c>
      <c r="AD49" s="612"/>
      <c r="AE49" s="272"/>
      <c r="AF49" s="619"/>
      <c r="AG49" s="616"/>
      <c r="AH49" s="272"/>
      <c r="AI49" s="620">
        <f t="shared" si="53"/>
        <v>0.10754034681091972</v>
      </c>
      <c r="AJ49" s="906">
        <v>164434.10594314898</v>
      </c>
      <c r="AK49" s="189">
        <v>0</v>
      </c>
      <c r="AL49" s="913">
        <f t="shared" si="54"/>
        <v>164434.10594314898</v>
      </c>
      <c r="AM49" s="147">
        <f t="shared" si="58"/>
        <v>7.2983219668301914E-3</v>
      </c>
      <c r="AN49" s="626"/>
      <c r="AO49" s="280"/>
      <c r="AP49" s="279"/>
      <c r="AQ49" s="281"/>
      <c r="AR49" s="282"/>
    </row>
    <row r="50" spans="1:44" x14ac:dyDescent="0.25">
      <c r="A50" s="598" t="s">
        <v>64</v>
      </c>
      <c r="B50" s="271">
        <v>0</v>
      </c>
      <c r="C50" s="602">
        <f t="shared" si="55"/>
        <v>0</v>
      </c>
      <c r="D50" s="274">
        <v>0</v>
      </c>
      <c r="E50" s="599"/>
      <c r="F50" s="603"/>
      <c r="G50" s="273"/>
      <c r="H50" s="608"/>
      <c r="I50" s="609"/>
      <c r="J50" s="608"/>
      <c r="K50" s="608"/>
      <c r="L50" s="609"/>
      <c r="M50" s="610"/>
      <c r="N50" s="602"/>
      <c r="O50" s="274">
        <v>0</v>
      </c>
      <c r="P50" s="275">
        <v>0</v>
      </c>
      <c r="Q50" s="647">
        <f t="shared" si="56"/>
        <v>0</v>
      </c>
      <c r="R50" s="274">
        <v>0</v>
      </c>
      <c r="S50" s="604">
        <v>0</v>
      </c>
      <c r="T50" s="276">
        <f t="shared" si="57"/>
        <v>0</v>
      </c>
      <c r="U50" s="272">
        <v>0</v>
      </c>
      <c r="V50" s="275">
        <v>0</v>
      </c>
      <c r="W50" s="276">
        <f t="shared" si="50"/>
        <v>0</v>
      </c>
      <c r="X50" s="274">
        <v>0</v>
      </c>
      <c r="Y50" s="611">
        <v>0</v>
      </c>
      <c r="Z50" s="277">
        <f t="shared" si="51"/>
        <v>0</v>
      </c>
      <c r="AA50" s="272">
        <v>0</v>
      </c>
      <c r="AB50" s="278">
        <v>0</v>
      </c>
      <c r="AC50" s="274">
        <f t="shared" si="52"/>
        <v>0</v>
      </c>
      <c r="AD50" s="612"/>
      <c r="AE50" s="272"/>
      <c r="AF50" s="619"/>
      <c r="AG50" s="616"/>
      <c r="AH50" s="272"/>
      <c r="AI50" s="620">
        <f t="shared" si="53"/>
        <v>0</v>
      </c>
      <c r="AJ50" s="906">
        <v>0</v>
      </c>
      <c r="AK50" s="189">
        <v>0</v>
      </c>
      <c r="AL50" s="913">
        <f t="shared" si="54"/>
        <v>0</v>
      </c>
      <c r="AM50" s="147">
        <f t="shared" si="58"/>
        <v>0</v>
      </c>
      <c r="AN50" s="626"/>
      <c r="AO50" s="280"/>
      <c r="AP50" s="279"/>
      <c r="AQ50" s="281"/>
      <c r="AR50" s="282"/>
    </row>
    <row r="51" spans="1:44" s="112" customFormat="1" ht="15.75" thickBot="1" x14ac:dyDescent="0.3">
      <c r="A51" s="631" t="s">
        <v>2</v>
      </c>
      <c r="B51" s="632">
        <f>SUM(B41:B50)</f>
        <v>8058.2821249999997</v>
      </c>
      <c r="C51" s="633">
        <f t="shared" ref="C51:AR51" si="59">SUM(C41:C50)</f>
        <v>14.464352860486363</v>
      </c>
      <c r="D51" s="634">
        <f t="shared" si="59"/>
        <v>9511626.0000000019</v>
      </c>
      <c r="E51" s="635">
        <f t="shared" si="59"/>
        <v>0</v>
      </c>
      <c r="F51" s="636">
        <f t="shared" si="59"/>
        <v>0</v>
      </c>
      <c r="G51" s="632">
        <f t="shared" si="59"/>
        <v>0</v>
      </c>
      <c r="H51" s="637">
        <f t="shared" si="59"/>
        <v>0</v>
      </c>
      <c r="I51" s="637">
        <f t="shared" si="59"/>
        <v>0</v>
      </c>
      <c r="J51" s="638">
        <f t="shared" si="59"/>
        <v>0</v>
      </c>
      <c r="K51" s="637">
        <f t="shared" si="59"/>
        <v>0</v>
      </c>
      <c r="L51" s="637">
        <f t="shared" si="59"/>
        <v>0</v>
      </c>
      <c r="M51" s="637">
        <f t="shared" si="59"/>
        <v>0</v>
      </c>
      <c r="N51" s="637">
        <f t="shared" si="59"/>
        <v>0</v>
      </c>
      <c r="O51" s="634">
        <f t="shared" si="59"/>
        <v>9511626.0000000019</v>
      </c>
      <c r="P51" s="632">
        <f t="shared" si="59"/>
        <v>13200301</v>
      </c>
      <c r="Q51" s="633">
        <f t="shared" si="59"/>
        <v>18.39</v>
      </c>
      <c r="R51" s="634">
        <f t="shared" si="59"/>
        <v>2531019</v>
      </c>
      <c r="S51" s="639">
        <f t="shared" si="59"/>
        <v>3332963</v>
      </c>
      <c r="T51" s="633">
        <f t="shared" si="59"/>
        <v>28.550000000000004</v>
      </c>
      <c r="U51" s="636">
        <f t="shared" si="59"/>
        <v>1309732</v>
      </c>
      <c r="V51" s="632">
        <f t="shared" si="59"/>
        <v>2750430</v>
      </c>
      <c r="W51" s="633">
        <f t="shared" si="59"/>
        <v>13.549999999999999</v>
      </c>
      <c r="X51" s="634">
        <f t="shared" si="59"/>
        <v>2072395</v>
      </c>
      <c r="Y51" s="640">
        <f t="shared" si="59"/>
        <v>320.66666666666663</v>
      </c>
      <c r="Z51" s="633">
        <f t="shared" si="59"/>
        <v>16.86</v>
      </c>
      <c r="AA51" s="636">
        <f t="shared" si="59"/>
        <v>2578630.0000000005</v>
      </c>
      <c r="AB51" s="641">
        <f t="shared" si="59"/>
        <v>12.080000000000002</v>
      </c>
      <c r="AC51" s="634">
        <f t="shared" si="59"/>
        <v>4155287</v>
      </c>
      <c r="AD51" s="635">
        <f t="shared" si="59"/>
        <v>5.75</v>
      </c>
      <c r="AE51" s="636">
        <f t="shared" si="59"/>
        <v>219710</v>
      </c>
      <c r="AF51" s="642">
        <f t="shared" si="59"/>
        <v>0</v>
      </c>
      <c r="AG51" s="639">
        <f t="shared" si="59"/>
        <v>0</v>
      </c>
      <c r="AH51" s="637">
        <f t="shared" si="59"/>
        <v>0</v>
      </c>
      <c r="AI51" s="648">
        <f t="shared" si="59"/>
        <v>14.635533034522558</v>
      </c>
      <c r="AJ51" s="642">
        <f t="shared" si="59"/>
        <v>22378399.000000004</v>
      </c>
      <c r="AK51" s="644">
        <f t="shared" si="59"/>
        <v>152000</v>
      </c>
      <c r="AL51" s="642">
        <f t="shared" si="59"/>
        <v>22530399.000000004</v>
      </c>
      <c r="AM51" s="645">
        <f t="shared" si="59"/>
        <v>1</v>
      </c>
      <c r="AN51" s="641">
        <f t="shared" si="59"/>
        <v>0</v>
      </c>
      <c r="AO51" s="633">
        <f t="shared" si="59"/>
        <v>0</v>
      </c>
      <c r="AP51" s="633">
        <f t="shared" si="59"/>
        <v>0</v>
      </c>
      <c r="AQ51" s="633">
        <f t="shared" si="59"/>
        <v>0</v>
      </c>
      <c r="AR51" s="646">
        <f t="shared" si="59"/>
        <v>0</v>
      </c>
    </row>
    <row r="52" spans="1:44" x14ac:dyDescent="0.25">
      <c r="O52" s="291"/>
      <c r="P52" s="291"/>
      <c r="Q52" s="291"/>
      <c r="R52" s="291"/>
      <c r="S52" s="291"/>
      <c r="AJ52" s="109">
        <v>152904571</v>
      </c>
    </row>
    <row r="53" spans="1:44" x14ac:dyDescent="0.25">
      <c r="O53" s="291"/>
      <c r="P53" s="291"/>
      <c r="Q53" s="291"/>
      <c r="R53" s="291"/>
      <c r="S53" s="291"/>
    </row>
  </sheetData>
  <sheetProtection algorithmName="SHA-512" hashValue="jQx1MuW/9ADnRHTXWZFXgHBNkYSVs0Qa5Hhp0wh4UDha/75cDQsJXa6o/C54/iJKQvi/3fnvtw/2pjsMaMxXtw==" saltValue="yTiBQVwuDzo1uE3UJMqn+A==" spinCount="100000" sheet="1" objects="1" scenarios="1"/>
  <mergeCells count="14">
    <mergeCell ref="B1:O1"/>
    <mergeCell ref="A2:A3"/>
    <mergeCell ref="B2:D2"/>
    <mergeCell ref="E2:F2"/>
    <mergeCell ref="G2:N2"/>
    <mergeCell ref="AI2:AI3"/>
    <mergeCell ref="AJ2:AM2"/>
    <mergeCell ref="AN2:AR2"/>
    <mergeCell ref="P2:R2"/>
    <mergeCell ref="S2:U2"/>
    <mergeCell ref="V2:X2"/>
    <mergeCell ref="Y2:AA2"/>
    <mergeCell ref="AB2:AF2"/>
    <mergeCell ref="AG2:AH2"/>
  </mergeCells>
  <conditionalFormatting sqref="A24:XFD35">
    <cfRule type="cellIs" dxfId="4" priority="1" operator="lessThan">
      <formula>0</formula>
    </cfRule>
  </conditionalFormatting>
  <pageMargins left="0.7" right="0.7" top="0.75" bottom="0.75" header="0.3" footer="0.3"/>
  <ignoredErrors>
    <ignoredError sqref="B15" formulaRange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BH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8.7109375" defaultRowHeight="15" x14ac:dyDescent="0.25"/>
  <cols>
    <col min="1" max="1" width="45.7109375" style="2" customWidth="1"/>
    <col min="2" max="2" width="8.85546875" style="2" bestFit="1" customWidth="1"/>
    <col min="3" max="7" width="9.140625" style="2" bestFit="1" customWidth="1"/>
    <col min="8" max="8" width="9.7109375" style="2" customWidth="1"/>
    <col min="9" max="9" width="8.7109375" style="2"/>
    <col min="10" max="10" width="8.85546875" style="2" bestFit="1" customWidth="1"/>
    <col min="11" max="11" width="8.85546875" style="2" customWidth="1"/>
    <col min="12" max="45" width="8.85546875" style="2" bestFit="1" customWidth="1"/>
    <col min="46" max="46" width="8.7109375" style="2"/>
    <col min="47" max="52" width="8.85546875" style="2" bestFit="1" customWidth="1"/>
    <col min="53" max="53" width="8.7109375" style="2"/>
    <col min="54" max="60" width="10.42578125" style="2" customWidth="1"/>
    <col min="61" max="16384" width="8.7109375" style="2"/>
  </cols>
  <sheetData>
    <row r="1" spans="1:60" ht="10.5" customHeight="1" x14ac:dyDescent="0.25">
      <c r="C1" s="237"/>
    </row>
    <row r="2" spans="1:60" ht="15.75" thickBot="1" x14ac:dyDescent="0.3">
      <c r="B2" s="2" t="s">
        <v>288</v>
      </c>
      <c r="H2" s="246"/>
    </row>
    <row r="3" spans="1:60" ht="15.75" thickBot="1" x14ac:dyDescent="0.3">
      <c r="B3" s="1397">
        <v>2020</v>
      </c>
      <c r="C3" s="1399">
        <v>2019</v>
      </c>
      <c r="D3" s="1399">
        <v>2018</v>
      </c>
      <c r="E3" s="1399">
        <v>2017</v>
      </c>
      <c r="F3" s="1401">
        <v>2016</v>
      </c>
      <c r="G3" s="1399">
        <v>2015</v>
      </c>
      <c r="H3" s="1395" t="s">
        <v>296</v>
      </c>
      <c r="J3" s="1392">
        <v>2020</v>
      </c>
      <c r="K3" s="1393"/>
      <c r="L3" s="1393"/>
      <c r="M3" s="1393"/>
      <c r="N3" s="1393"/>
      <c r="O3" s="1394"/>
      <c r="P3" s="1392">
        <v>2019</v>
      </c>
      <c r="Q3" s="1393"/>
      <c r="R3" s="1393"/>
      <c r="S3" s="1393"/>
      <c r="T3" s="1393"/>
      <c r="U3" s="1394"/>
      <c r="V3" s="1392">
        <v>2018</v>
      </c>
      <c r="W3" s="1393"/>
      <c r="X3" s="1393"/>
      <c r="Y3" s="1393"/>
      <c r="Z3" s="1393"/>
      <c r="AA3" s="1394"/>
      <c r="AB3" s="1392">
        <v>2017</v>
      </c>
      <c r="AC3" s="1393"/>
      <c r="AD3" s="1393"/>
      <c r="AE3" s="1393"/>
      <c r="AF3" s="1393"/>
      <c r="AG3" s="1394"/>
      <c r="AH3" s="1392">
        <v>2016</v>
      </c>
      <c r="AI3" s="1393"/>
      <c r="AJ3" s="1393"/>
      <c r="AK3" s="1393"/>
      <c r="AL3" s="1393"/>
      <c r="AM3" s="1394"/>
      <c r="AN3" s="1392">
        <v>2015</v>
      </c>
      <c r="AO3" s="1393"/>
      <c r="AP3" s="1393"/>
      <c r="AQ3" s="1393"/>
      <c r="AR3" s="1393"/>
      <c r="AS3" s="1394"/>
    </row>
    <row r="4" spans="1:60" ht="15.75" thickBot="1" x14ac:dyDescent="0.3">
      <c r="B4" s="1398"/>
      <c r="C4" s="1400"/>
      <c r="D4" s="1400"/>
      <c r="E4" s="1400"/>
      <c r="F4" s="1402"/>
      <c r="G4" s="1400"/>
      <c r="H4" s="1396"/>
      <c r="J4" s="761" t="s">
        <v>289</v>
      </c>
      <c r="K4" s="762" t="s">
        <v>290</v>
      </c>
      <c r="L4" s="762" t="s">
        <v>291</v>
      </c>
      <c r="M4" s="762" t="s">
        <v>292</v>
      </c>
      <c r="N4" s="762" t="s">
        <v>293</v>
      </c>
      <c r="O4" s="763" t="s">
        <v>294</v>
      </c>
      <c r="P4" s="761" t="s">
        <v>289</v>
      </c>
      <c r="Q4" s="762" t="s">
        <v>290</v>
      </c>
      <c r="R4" s="762" t="s">
        <v>291</v>
      </c>
      <c r="S4" s="762" t="s">
        <v>292</v>
      </c>
      <c r="T4" s="762" t="s">
        <v>293</v>
      </c>
      <c r="U4" s="763" t="s">
        <v>294</v>
      </c>
      <c r="V4" s="764" t="s">
        <v>289</v>
      </c>
      <c r="W4" s="765" t="s">
        <v>290</v>
      </c>
      <c r="X4" s="765" t="s">
        <v>291</v>
      </c>
      <c r="Y4" s="765" t="s">
        <v>292</v>
      </c>
      <c r="Z4" s="765" t="s">
        <v>293</v>
      </c>
      <c r="AA4" s="766" t="s">
        <v>294</v>
      </c>
      <c r="AB4" s="761" t="s">
        <v>289</v>
      </c>
      <c r="AC4" s="762" t="s">
        <v>290</v>
      </c>
      <c r="AD4" s="762" t="s">
        <v>291</v>
      </c>
      <c r="AE4" s="762" t="s">
        <v>292</v>
      </c>
      <c r="AF4" s="762" t="s">
        <v>293</v>
      </c>
      <c r="AG4" s="763" t="s">
        <v>294</v>
      </c>
      <c r="AH4" s="764" t="s">
        <v>289</v>
      </c>
      <c r="AI4" s="765" t="s">
        <v>290</v>
      </c>
      <c r="AJ4" s="765" t="s">
        <v>291</v>
      </c>
      <c r="AK4" s="765" t="s">
        <v>292</v>
      </c>
      <c r="AL4" s="765" t="s">
        <v>293</v>
      </c>
      <c r="AM4" s="766" t="s">
        <v>294</v>
      </c>
      <c r="AN4" s="761" t="s">
        <v>289</v>
      </c>
      <c r="AO4" s="762" t="s">
        <v>290</v>
      </c>
      <c r="AP4" s="762" t="s">
        <v>291</v>
      </c>
      <c r="AQ4" s="762" t="s">
        <v>292</v>
      </c>
      <c r="AR4" s="762" t="s">
        <v>293</v>
      </c>
      <c r="AS4" s="763" t="s">
        <v>294</v>
      </c>
      <c r="AU4" s="770">
        <v>2020</v>
      </c>
      <c r="AV4" s="771">
        <v>2019</v>
      </c>
      <c r="AW4" s="771">
        <v>2018</v>
      </c>
      <c r="AX4" s="771">
        <v>2017</v>
      </c>
      <c r="AY4" s="771">
        <v>2016</v>
      </c>
      <c r="AZ4" s="772">
        <v>2015</v>
      </c>
      <c r="BB4" s="713">
        <v>2020</v>
      </c>
      <c r="BC4" s="714">
        <v>2019</v>
      </c>
      <c r="BD4" s="714">
        <v>2018</v>
      </c>
      <c r="BE4" s="714">
        <v>2017</v>
      </c>
      <c r="BF4" s="714">
        <v>2016</v>
      </c>
      <c r="BG4" s="714">
        <v>2015</v>
      </c>
      <c r="BH4" s="721" t="s">
        <v>295</v>
      </c>
    </row>
    <row r="5" spans="1:60" s="705" customFormat="1" x14ac:dyDescent="0.25">
      <c r="A5" s="510" t="s">
        <v>2</v>
      </c>
      <c r="B5" s="730">
        <v>14.827172066477216</v>
      </c>
      <c r="C5" s="731">
        <v>15.145393606347596</v>
      </c>
      <c r="D5" s="731">
        <v>15.958697450076711</v>
      </c>
      <c r="E5" s="731">
        <v>17.03202831833725</v>
      </c>
      <c r="F5" s="731">
        <v>17.455955232788721</v>
      </c>
      <c r="G5" s="731">
        <v>17.903868311558142</v>
      </c>
      <c r="H5" s="732">
        <v>16.387185830930942</v>
      </c>
      <c r="J5" s="733">
        <v>0.18389319025187881</v>
      </c>
      <c r="K5" s="734">
        <v>0.28547875655589755</v>
      </c>
      <c r="L5" s="734">
        <v>0.13551431187364701</v>
      </c>
      <c r="M5" s="734">
        <v>0.16861713784790708</v>
      </c>
      <c r="N5" s="734">
        <v>0.12076224547348006</v>
      </c>
      <c r="O5" s="736">
        <v>7.261923023542903E-2</v>
      </c>
      <c r="P5" s="733">
        <v>0.18949877173536259</v>
      </c>
      <c r="Q5" s="734">
        <v>0.24731159274736655</v>
      </c>
      <c r="R5" s="734">
        <v>0.15455789427056224</v>
      </c>
      <c r="S5" s="734">
        <v>0.17354098227683823</v>
      </c>
      <c r="T5" s="734">
        <v>0.12035611867922205</v>
      </c>
      <c r="U5" s="736">
        <v>7.8579678400504865E-2</v>
      </c>
      <c r="V5" s="733">
        <v>0.19380065523338788</v>
      </c>
      <c r="W5" s="734">
        <v>0.21345170281256601</v>
      </c>
      <c r="X5" s="734">
        <v>0.19401731449678039</v>
      </c>
      <c r="Y5" s="734">
        <v>0.18123791808002337</v>
      </c>
      <c r="Z5" s="734">
        <v>0.12534401133353387</v>
      </c>
      <c r="AA5" s="736">
        <v>5.5641586258801293E-2</v>
      </c>
      <c r="AB5" s="733">
        <v>0.20644918878669066</v>
      </c>
      <c r="AC5" s="734">
        <v>0.2824660376055172</v>
      </c>
      <c r="AD5" s="734">
        <v>0.17340581937219196</v>
      </c>
      <c r="AE5" s="734">
        <v>0.19381273027569559</v>
      </c>
      <c r="AF5" s="734">
        <v>0.14235484542201751</v>
      </c>
      <c r="AG5" s="736">
        <v>5.1058324432476349E-2</v>
      </c>
      <c r="AH5" s="733">
        <v>0.21267963424583752</v>
      </c>
      <c r="AI5" s="734">
        <v>0.38171273988225807</v>
      </c>
      <c r="AJ5" s="734">
        <v>0.15389327374752898</v>
      </c>
      <c r="AK5" s="734">
        <v>0.19911144665776179</v>
      </c>
      <c r="AL5" s="734">
        <v>0.1427314800872593</v>
      </c>
      <c r="AM5" s="736">
        <v>5.9653619525606244E-2</v>
      </c>
      <c r="AN5" s="733">
        <v>0.19585550011660241</v>
      </c>
      <c r="AO5" s="734">
        <v>0.47872021915055918</v>
      </c>
      <c r="AP5" s="734">
        <v>0.11189789115892483</v>
      </c>
      <c r="AQ5" s="735">
        <v>0.19774958103902318</v>
      </c>
      <c r="AR5" s="734">
        <v>0.13923940257521975</v>
      </c>
      <c r="AS5" s="736">
        <v>5.0918580855809227E-2</v>
      </c>
      <c r="AU5" s="767">
        <v>8.4514880778920165E-2</v>
      </c>
      <c r="AV5" s="768">
        <v>8.6328743556181267E-2</v>
      </c>
      <c r="AW5" s="768">
        <v>9.0964575519577429E-2</v>
      </c>
      <c r="AX5" s="768">
        <v>9.7082561414522275E-2</v>
      </c>
      <c r="AY5" s="768">
        <v>9.9498944826895711E-2</v>
      </c>
      <c r="AZ5" s="769">
        <v>0.10205204937588137</v>
      </c>
      <c r="BB5" s="715">
        <v>0.14827172066477215</v>
      </c>
      <c r="BC5" s="706">
        <v>0.15145393606347596</v>
      </c>
      <c r="BD5" s="706">
        <v>0.15958697450076711</v>
      </c>
      <c r="BE5" s="706">
        <v>0.1703202831833725</v>
      </c>
      <c r="BF5" s="706">
        <v>0.17455955232788722</v>
      </c>
      <c r="BG5" s="706">
        <v>0.17903868311558144</v>
      </c>
      <c r="BH5" s="722">
        <v>0.16387185830930942</v>
      </c>
    </row>
    <row r="6" spans="1:60" x14ac:dyDescent="0.25">
      <c r="A6" s="486" t="s">
        <v>6</v>
      </c>
      <c r="B6" s="726">
        <f t="shared" ref="B6:G15" si="0">BB6*100</f>
        <v>0.91072712734953354</v>
      </c>
      <c r="C6" s="724">
        <f t="shared" si="0"/>
        <v>0.84986268607892756</v>
      </c>
      <c r="D6" s="724">
        <f t="shared" si="0"/>
        <v>1.0370647913635072</v>
      </c>
      <c r="E6" s="724">
        <f t="shared" si="0"/>
        <v>0.87808071750377104</v>
      </c>
      <c r="F6" s="724">
        <f t="shared" si="0"/>
        <v>0.88314691869928652</v>
      </c>
      <c r="G6" s="724">
        <f t="shared" si="0"/>
        <v>0.83825252480155021</v>
      </c>
      <c r="H6" s="725">
        <f t="shared" ref="H6:H16" si="1">+AVERAGE(B6:G6)</f>
        <v>0.899522460966096</v>
      </c>
      <c r="J6" s="737">
        <v>3.0424573867716392E-3</v>
      </c>
      <c r="K6" s="707">
        <v>9.5767922691486033E-3</v>
      </c>
      <c r="L6" s="707">
        <v>5.1545033923005986E-3</v>
      </c>
      <c r="M6" s="707">
        <v>2.1690614146235417E-2</v>
      </c>
      <c r="N6" s="707">
        <v>1.9548473257149659E-3</v>
      </c>
      <c r="O6" s="738">
        <v>6.0226691634758633E-2</v>
      </c>
      <c r="P6" s="737">
        <v>3.8337341817849331E-3</v>
      </c>
      <c r="Q6" s="707">
        <v>1.1057436789373307E-2</v>
      </c>
      <c r="R6" s="707">
        <v>6.2126768623110644E-4</v>
      </c>
      <c r="S6" s="707">
        <v>1.6873256647983569E-2</v>
      </c>
      <c r="T6" s="707">
        <v>3.5054801209018619E-3</v>
      </c>
      <c r="U6" s="738">
        <v>6.517090679934627E-2</v>
      </c>
      <c r="V6" s="737">
        <v>5.6763849754499817E-3</v>
      </c>
      <c r="W6" s="707">
        <v>9.0543318444022917E-3</v>
      </c>
      <c r="X6" s="707">
        <v>6.3967637199050971E-3</v>
      </c>
      <c r="Y6" s="707">
        <v>1.787123963389611E-2</v>
      </c>
      <c r="Z6" s="707">
        <v>6.5338125694661799E-3</v>
      </c>
      <c r="AA6" s="738">
        <v>4.9274261765576456E-2</v>
      </c>
      <c r="AB6" s="737">
        <v>6.0798228272619078E-3</v>
      </c>
      <c r="AC6" s="707">
        <v>6.4768689334952587E-3</v>
      </c>
      <c r="AD6" s="707">
        <v>1.0083527072707966E-2</v>
      </c>
      <c r="AE6" s="707">
        <v>1.4769409006363664E-2</v>
      </c>
      <c r="AF6" s="707">
        <v>2.7295402770908484E-3</v>
      </c>
      <c r="AG6" s="738">
        <v>4.6565191882418422E-2</v>
      </c>
      <c r="AH6" s="737">
        <f>0.392191864276031/100</f>
        <v>3.9219186427603102E-3</v>
      </c>
      <c r="AI6" s="707">
        <f>0.456335670470777/100</f>
        <v>4.5633567047077698E-3</v>
      </c>
      <c r="AJ6" s="707">
        <f>0.491878716641758/100</f>
        <v>4.9187871664175794E-3</v>
      </c>
      <c r="AK6" s="707">
        <v>1.7161475556771395E-2</v>
      </c>
      <c r="AL6" s="707">
        <v>4.4177845381277543E-3</v>
      </c>
      <c r="AM6" s="738">
        <v>5.3681450567945183E-2</v>
      </c>
      <c r="AN6" s="737">
        <v>1.483559334265827E-3</v>
      </c>
      <c r="AO6" s="707">
        <v>1.5926413817278619E-3</v>
      </c>
      <c r="AP6" s="707">
        <f>0.481445774146598/100</f>
        <v>4.81445774146598E-3</v>
      </c>
      <c r="AQ6" s="707">
        <v>1.980690472442561E-2</v>
      </c>
      <c r="AR6" s="707">
        <v>4.3921721070048388E-3</v>
      </c>
      <c r="AS6" s="738">
        <v>4.7099687291623532E-2</v>
      </c>
      <c r="AU6" s="716">
        <f t="shared" ref="AU6:AU15" si="2">+SUMPRODUCT(J6:O6,$J$19:$O$19)</f>
        <v>5.1911446258923405E-3</v>
      </c>
      <c r="AV6" s="712">
        <f t="shared" ref="AV6:AV15" si="3">+SUMPRODUCT(P6:U6,$P$19:$U$19)</f>
        <v>4.8442173106498865E-3</v>
      </c>
      <c r="AW6" s="712">
        <f t="shared" ref="AW6:AW15" si="4">+SUMPRODUCT(V6:AA6,$V$19:$AA$19)</f>
        <v>5.91126931077199E-3</v>
      </c>
      <c r="AX6" s="712">
        <f t="shared" ref="AX6:AX15" si="5">+SUMPRODUCT(AB6:AG6,$AB$19:$AG$19)</f>
        <v>5.0050600897714945E-3</v>
      </c>
      <c r="AY6" s="712">
        <f t="shared" ref="AY6:AY15" si="6">+SUMPRODUCT(AH6:AM6,$AH$19:$AM$19)</f>
        <v>5.0339374365859328E-3</v>
      </c>
      <c r="AZ6" s="717">
        <f t="shared" ref="AZ6:AZ15" si="7">+SUMPRODUCT(AN6:AS6,$AN$19:$AS$19)</f>
        <v>4.7780393913688362E-3</v>
      </c>
      <c r="BB6" s="716">
        <f t="shared" ref="BB6:BB15" si="8">AU6/AU$19</f>
        <v>9.1072712734953359E-3</v>
      </c>
      <c r="BC6" s="712">
        <f t="shared" ref="BC6:BC15" si="9">AV6/AV$19</f>
        <v>8.4986268607892754E-3</v>
      </c>
      <c r="BD6" s="712">
        <f t="shared" ref="BD6:BD15" si="10">AW6/AW$19</f>
        <v>1.0370647913635071E-2</v>
      </c>
      <c r="BE6" s="712">
        <f t="shared" ref="BE6:BE15" si="11">AX6/AX$19</f>
        <v>8.7808071750377099E-3</v>
      </c>
      <c r="BF6" s="712">
        <f t="shared" ref="BF6:BF15" si="12">AY6/AY$19</f>
        <v>8.8314691869928654E-3</v>
      </c>
      <c r="BG6" s="712">
        <f t="shared" ref="BG6:BG15" si="13">AZ6/AZ$19</f>
        <v>8.3825252480155023E-3</v>
      </c>
      <c r="BH6" s="723">
        <f t="shared" ref="BH6:BH15" si="14">+AVERAGE(BB6:BG6)</f>
        <v>8.9952246096609619E-3</v>
      </c>
    </row>
    <row r="7" spans="1:60" x14ac:dyDescent="0.25">
      <c r="A7" s="486" t="s">
        <v>3</v>
      </c>
      <c r="B7" s="726">
        <f t="shared" si="0"/>
        <v>3.5266311008013065</v>
      </c>
      <c r="C7" s="724">
        <f t="shared" si="0"/>
        <v>3.7956196300549832</v>
      </c>
      <c r="D7" s="724">
        <f t="shared" si="0"/>
        <v>4.1855061955707855</v>
      </c>
      <c r="E7" s="724">
        <f t="shared" si="0"/>
        <v>3.8849333880752241</v>
      </c>
      <c r="F7" s="724">
        <f t="shared" si="0"/>
        <v>4.1797435072642202</v>
      </c>
      <c r="G7" s="724">
        <f t="shared" si="0"/>
        <v>4.044339719375655</v>
      </c>
      <c r="H7" s="725">
        <f t="shared" si="1"/>
        <v>3.9361289235236954</v>
      </c>
      <c r="J7" s="737">
        <v>4.7284436560000032E-2</v>
      </c>
      <c r="K7" s="707">
        <v>2.453551412750456E-2</v>
      </c>
      <c r="L7" s="707">
        <v>7.0711300238376421E-2</v>
      </c>
      <c r="M7" s="707">
        <v>1.9543462442870724E-2</v>
      </c>
      <c r="N7" s="707">
        <v>2.7042916854300388E-2</v>
      </c>
      <c r="O7" s="738">
        <v>0</v>
      </c>
      <c r="P7" s="737">
        <v>5.0528245900535729E-2</v>
      </c>
      <c r="Q7" s="707">
        <v>2.2783038338040136E-2</v>
      </c>
      <c r="R7" s="707">
        <v>8.4515796345393468E-2</v>
      </c>
      <c r="S7" s="707">
        <v>1.7846620169644039E-2</v>
      </c>
      <c r="T7" s="707">
        <v>2.7412253149423259E-2</v>
      </c>
      <c r="U7" s="738">
        <v>0</v>
      </c>
      <c r="V7" s="737">
        <v>5.9831885771994199E-2</v>
      </c>
      <c r="W7" s="707">
        <v>2.7606466858726818E-2</v>
      </c>
      <c r="X7" s="707">
        <v>9.5644904324761179E-2</v>
      </c>
      <c r="Y7" s="707">
        <v>2.0716281456583392E-2</v>
      </c>
      <c r="Z7" s="707">
        <v>2.6703124495012158E-2</v>
      </c>
      <c r="AA7" s="738">
        <v>0</v>
      </c>
      <c r="AB7" s="737">
        <v>6.6681256562566404E-2</v>
      </c>
      <c r="AC7" s="707">
        <v>3.5814360706692729E-2</v>
      </c>
      <c r="AD7" s="707">
        <v>5.1857018970128906E-2</v>
      </c>
      <c r="AE7" s="707">
        <v>3.376318533975959E-2</v>
      </c>
      <c r="AF7" s="707">
        <v>2.891713764092519E-2</v>
      </c>
      <c r="AG7" s="738">
        <v>0</v>
      </c>
      <c r="AH7" s="737">
        <f>6.48691643783467/100</f>
        <v>6.4869164378346694E-2</v>
      </c>
      <c r="AI7" s="707">
        <f>4.99366768743685/100</f>
        <v>4.9936676874368501E-2</v>
      </c>
      <c r="AJ7" s="707">
        <f>5.82002159736016/100</f>
        <v>5.8200215973601602E-2</v>
      </c>
      <c r="AK7" s="707">
        <v>3.3974494757060235E-2</v>
      </c>
      <c r="AL7" s="707">
        <v>3.2314408080256055E-2</v>
      </c>
      <c r="AM7" s="738">
        <v>0</v>
      </c>
      <c r="AN7" s="737">
        <v>5.4740083700581692E-2</v>
      </c>
      <c r="AO7" s="707">
        <v>6.3588480976094292E-2</v>
      </c>
      <c r="AP7" s="707">
        <f>5.5238028384772/100</f>
        <v>5.5238028384772007E-2</v>
      </c>
      <c r="AQ7" s="707">
        <v>3.0668755702336428E-2</v>
      </c>
      <c r="AR7" s="707">
        <v>3.3136922358786035E-2</v>
      </c>
      <c r="AS7" s="738">
        <v>0</v>
      </c>
      <c r="AU7" s="716">
        <f t="shared" si="2"/>
        <v>2.0101797274567443E-2</v>
      </c>
      <c r="AV7" s="712">
        <f t="shared" si="3"/>
        <v>2.1635031891313404E-2</v>
      </c>
      <c r="AW7" s="712">
        <f t="shared" si="4"/>
        <v>2.3857385314753475E-2</v>
      </c>
      <c r="AX7" s="712">
        <f t="shared" si="5"/>
        <v>2.2144120312028778E-2</v>
      </c>
      <c r="AY7" s="712">
        <f t="shared" si="6"/>
        <v>2.3824537991406054E-2</v>
      </c>
      <c r="AZ7" s="717">
        <f t="shared" si="7"/>
        <v>2.3052736400441233E-2</v>
      </c>
      <c r="BB7" s="716">
        <f t="shared" si="8"/>
        <v>3.5266311008013064E-2</v>
      </c>
      <c r="BC7" s="712">
        <f t="shared" si="9"/>
        <v>3.7956196300549833E-2</v>
      </c>
      <c r="BD7" s="712">
        <f t="shared" si="10"/>
        <v>4.1855061955707852E-2</v>
      </c>
      <c r="BE7" s="712">
        <f t="shared" si="11"/>
        <v>3.8849333880752242E-2</v>
      </c>
      <c r="BF7" s="712">
        <f t="shared" si="12"/>
        <v>4.1797435072642206E-2</v>
      </c>
      <c r="BG7" s="712">
        <f t="shared" si="13"/>
        <v>4.0443397193756551E-2</v>
      </c>
      <c r="BH7" s="723">
        <f t="shared" si="14"/>
        <v>3.9361289235236956E-2</v>
      </c>
    </row>
    <row r="8" spans="1:60" x14ac:dyDescent="0.25">
      <c r="A8" s="486" t="s">
        <v>5</v>
      </c>
      <c r="B8" s="726">
        <f t="shared" si="0"/>
        <v>3.6410715428994336</v>
      </c>
      <c r="C8" s="724">
        <f t="shared" si="0"/>
        <v>3.6687739671627364</v>
      </c>
      <c r="D8" s="724">
        <f t="shared" si="0"/>
        <v>3.7304078529399098</v>
      </c>
      <c r="E8" s="724">
        <f t="shared" si="0"/>
        <v>5.0647417878346888</v>
      </c>
      <c r="F8" s="724">
        <f t="shared" si="0"/>
        <v>5.0672406162067274</v>
      </c>
      <c r="G8" s="724">
        <f t="shared" si="0"/>
        <v>4.4870959503662036</v>
      </c>
      <c r="H8" s="725">
        <f t="shared" si="1"/>
        <v>4.2765552862349496</v>
      </c>
      <c r="J8" s="737">
        <v>5.4487911881889457E-2</v>
      </c>
      <c r="K8" s="707">
        <v>3.3866910141869419E-2</v>
      </c>
      <c r="L8" s="707">
        <v>2.0473208370525558E-2</v>
      </c>
      <c r="M8" s="707">
        <v>3.8210536435388555E-2</v>
      </c>
      <c r="N8" s="707">
        <v>3.9848061956929887E-2</v>
      </c>
      <c r="O8" s="738">
        <v>0</v>
      </c>
      <c r="P8" s="737">
        <v>5.4118371368088315E-2</v>
      </c>
      <c r="Q8" s="707">
        <v>3.9123472704558473E-2</v>
      </c>
      <c r="R8" s="707">
        <v>2.5293618623508259E-2</v>
      </c>
      <c r="S8" s="707">
        <v>4.0233981167833929E-2</v>
      </c>
      <c r="T8" s="707">
        <v>3.695508457523855E-2</v>
      </c>
      <c r="U8" s="738">
        <v>0</v>
      </c>
      <c r="V8" s="737">
        <v>5.6208103605048118E-2</v>
      </c>
      <c r="W8" s="707">
        <v>3.975806353971427E-2</v>
      </c>
      <c r="X8" s="707">
        <v>3.047534044497343E-2</v>
      </c>
      <c r="Y8" s="707">
        <v>4.3660449509702055E-2</v>
      </c>
      <c r="Z8" s="707">
        <v>3.3770109047307456E-2</v>
      </c>
      <c r="AA8" s="738">
        <v>0</v>
      </c>
      <c r="AB8" s="737">
        <v>5.4593558468421392E-2</v>
      </c>
      <c r="AC8" s="707">
        <v>6.4415867163030535E-2</v>
      </c>
      <c r="AD8" s="707">
        <v>4.4983576283763441E-2</v>
      </c>
      <c r="AE8" s="707">
        <v>4.7357395330082215E-2</v>
      </c>
      <c r="AF8" s="707">
        <v>5.6840154454330279E-2</v>
      </c>
      <c r="AG8" s="738">
        <v>0</v>
      </c>
      <c r="AH8" s="737">
        <f>5.50930197572521/100</f>
        <v>5.5093019757252094E-2</v>
      </c>
      <c r="AI8" s="707">
        <f>9.62957122134124/100</f>
        <v>9.6295712213412404E-2</v>
      </c>
      <c r="AJ8" s="707">
        <f>5.18603235407356/100</f>
        <v>5.1860323540735595E-2</v>
      </c>
      <c r="AK8" s="707">
        <v>5.2906128604763618E-2</v>
      </c>
      <c r="AL8" s="707">
        <v>4.6930591792326032E-2</v>
      </c>
      <c r="AM8" s="738">
        <v>0</v>
      </c>
      <c r="AN8" s="737">
        <v>5.3899145855633185E-2</v>
      </c>
      <c r="AO8" s="707">
        <v>7.8840468331884794E-2</v>
      </c>
      <c r="AP8" s="707">
        <f>1.87619803897267/100</f>
        <v>1.87619803897267E-2</v>
      </c>
      <c r="AQ8" s="707">
        <v>5.0475660426761937E-2</v>
      </c>
      <c r="AR8" s="707">
        <v>4.7050433574626072E-2</v>
      </c>
      <c r="AS8" s="738">
        <v>0</v>
      </c>
      <c r="AU8" s="716">
        <f t="shared" si="2"/>
        <v>2.0754107794526772E-2</v>
      </c>
      <c r="AV8" s="712">
        <f t="shared" si="3"/>
        <v>2.0912011612827595E-2</v>
      </c>
      <c r="AW8" s="712">
        <f t="shared" si="4"/>
        <v>2.1263324761757484E-2</v>
      </c>
      <c r="AX8" s="712">
        <f t="shared" si="5"/>
        <v>2.8869028190657724E-2</v>
      </c>
      <c r="AY8" s="712">
        <f t="shared" si="6"/>
        <v>2.8883271512378343E-2</v>
      </c>
      <c r="AZ8" s="717">
        <f t="shared" si="7"/>
        <v>2.557644691708736E-2</v>
      </c>
      <c r="BB8" s="716">
        <f t="shared" si="8"/>
        <v>3.6410715428994336E-2</v>
      </c>
      <c r="BC8" s="712">
        <f t="shared" si="9"/>
        <v>3.6687739671627362E-2</v>
      </c>
      <c r="BD8" s="712">
        <f t="shared" si="10"/>
        <v>3.7304078529399098E-2</v>
      </c>
      <c r="BE8" s="712">
        <f t="shared" si="11"/>
        <v>5.0647417878346888E-2</v>
      </c>
      <c r="BF8" s="712">
        <f t="shared" si="12"/>
        <v>5.0672406162067272E-2</v>
      </c>
      <c r="BG8" s="712">
        <f t="shared" si="13"/>
        <v>4.4870959503662038E-2</v>
      </c>
      <c r="BH8" s="723">
        <f t="shared" si="14"/>
        <v>4.2765552862349503E-2</v>
      </c>
    </row>
    <row r="9" spans="1:60" x14ac:dyDescent="0.25">
      <c r="A9" s="486" t="s">
        <v>7</v>
      </c>
      <c r="B9" s="726">
        <f t="shared" si="0"/>
        <v>0.58034346885289423</v>
      </c>
      <c r="C9" s="724">
        <f t="shared" si="0"/>
        <v>0.55352720933359068</v>
      </c>
      <c r="D9" s="724">
        <f t="shared" si="0"/>
        <v>0.54775764110329528</v>
      </c>
      <c r="E9" s="724">
        <f t="shared" si="0"/>
        <v>0.45924490601699525</v>
      </c>
      <c r="F9" s="724">
        <f t="shared" si="0"/>
        <v>0.44209630997671961</v>
      </c>
      <c r="G9" s="724">
        <f t="shared" si="0"/>
        <v>0.42411970441022745</v>
      </c>
      <c r="H9" s="725">
        <f t="shared" si="1"/>
        <v>0.50118153994895376</v>
      </c>
      <c r="J9" s="737">
        <v>5.3331431193399115E-3</v>
      </c>
      <c r="K9" s="707">
        <v>3.1847894254343714E-2</v>
      </c>
      <c r="L9" s="707">
        <v>1.655381104165821E-3</v>
      </c>
      <c r="M9" s="707">
        <v>1.3014368487741231E-2</v>
      </c>
      <c r="N9" s="707">
        <v>1.802502688443946E-3</v>
      </c>
      <c r="O9" s="738">
        <v>0</v>
      </c>
      <c r="P9" s="737">
        <v>3.5602021785651567E-3</v>
      </c>
      <c r="Q9" s="707">
        <v>2.1743621473982729E-2</v>
      </c>
      <c r="R9" s="707">
        <v>2.5874626769207061E-3</v>
      </c>
      <c r="S9" s="707">
        <v>1.1962637681206647E-2</v>
      </c>
      <c r="T9" s="707">
        <v>3.2327476315483798E-3</v>
      </c>
      <c r="U9" s="738">
        <v>0</v>
      </c>
      <c r="V9" s="737">
        <v>3.0129072313169326E-3</v>
      </c>
      <c r="W9" s="707">
        <v>6.3465741135763226E-3</v>
      </c>
      <c r="X9" s="707">
        <v>2.3421348944085681E-3</v>
      </c>
      <c r="Y9" s="707">
        <v>1.2693263516605139E-2</v>
      </c>
      <c r="Z9" s="707">
        <v>5.1427548398293261E-3</v>
      </c>
      <c r="AA9" s="738">
        <v>0</v>
      </c>
      <c r="AB9" s="737">
        <v>4.3848464256292709E-3</v>
      </c>
      <c r="AC9" s="707">
        <v>7.8626464357096429E-3</v>
      </c>
      <c r="AD9" s="707">
        <v>5.0685972866953055E-4</v>
      </c>
      <c r="AE9" s="707">
        <v>1.1497902965055748E-2</v>
      </c>
      <c r="AF9" s="707">
        <v>3.4964627713174258E-3</v>
      </c>
      <c r="AG9" s="738">
        <v>0</v>
      </c>
      <c r="AH9" s="737">
        <f>0.742933328091656/100</f>
        <v>7.4293332809165606E-3</v>
      </c>
      <c r="AI9" s="707">
        <f>0.500734269696779/100</f>
        <v>5.0073426969677905E-3</v>
      </c>
      <c r="AJ9" s="707">
        <f>0.0405993220145416/100</f>
        <v>4.0599322014541595E-4</v>
      </c>
      <c r="AK9" s="707">
        <v>9.7846544900333319E-3</v>
      </c>
      <c r="AL9" s="707">
        <v>3.0312174207017904E-3</v>
      </c>
      <c r="AM9" s="738">
        <v>0</v>
      </c>
      <c r="AN9" s="737">
        <v>7.7848213290320723E-3</v>
      </c>
      <c r="AO9" s="707">
        <v>1.3527487434602608E-3</v>
      </c>
      <c r="AP9" s="707">
        <f>0.0388545769430305/100</f>
        <v>3.8854576943030502E-4</v>
      </c>
      <c r="AQ9" s="707">
        <v>9.5839861569801225E-3</v>
      </c>
      <c r="AR9" s="707">
        <v>3.2608508297599006E-3</v>
      </c>
      <c r="AS9" s="738">
        <v>0</v>
      </c>
      <c r="AU9" s="716">
        <f t="shared" si="2"/>
        <v>3.3079577724614969E-3</v>
      </c>
      <c r="AV9" s="712">
        <f t="shared" si="3"/>
        <v>3.1551050932014666E-3</v>
      </c>
      <c r="AW9" s="712">
        <f t="shared" si="4"/>
        <v>3.1222185542887828E-3</v>
      </c>
      <c r="AX9" s="712">
        <f t="shared" si="5"/>
        <v>2.6176959642968726E-3</v>
      </c>
      <c r="AY9" s="712">
        <f t="shared" si="6"/>
        <v>2.5199489668673017E-3</v>
      </c>
      <c r="AZ9" s="717">
        <f t="shared" si="7"/>
        <v>2.417482315138296E-3</v>
      </c>
      <c r="BB9" s="716">
        <f t="shared" si="8"/>
        <v>5.8034346885289427E-3</v>
      </c>
      <c r="BC9" s="712">
        <f t="shared" si="9"/>
        <v>5.5352720933359066E-3</v>
      </c>
      <c r="BD9" s="712">
        <f t="shared" si="10"/>
        <v>5.477576411032953E-3</v>
      </c>
      <c r="BE9" s="712">
        <f t="shared" si="11"/>
        <v>4.5924490601699525E-3</v>
      </c>
      <c r="BF9" s="712">
        <f t="shared" si="12"/>
        <v>4.4209630997671962E-3</v>
      </c>
      <c r="BG9" s="712">
        <f t="shared" si="13"/>
        <v>4.2411970441022743E-3</v>
      </c>
      <c r="BH9" s="723">
        <f t="shared" si="14"/>
        <v>5.0118153994895371E-3</v>
      </c>
    </row>
    <row r="10" spans="1:60" x14ac:dyDescent="0.25">
      <c r="A10" s="486" t="s">
        <v>0</v>
      </c>
      <c r="B10" s="726">
        <f t="shared" si="0"/>
        <v>3.0584983437626749</v>
      </c>
      <c r="C10" s="724">
        <f t="shared" si="0"/>
        <v>3.169867544217944</v>
      </c>
      <c r="D10" s="724">
        <f t="shared" si="0"/>
        <v>3.2388509598938171</v>
      </c>
      <c r="E10" s="724">
        <f t="shared" si="0"/>
        <v>3.5885607533312673</v>
      </c>
      <c r="F10" s="724">
        <f t="shared" si="0"/>
        <v>3.5462950057396636</v>
      </c>
      <c r="G10" s="724">
        <f t="shared" si="0"/>
        <v>3.6862554866872141</v>
      </c>
      <c r="H10" s="725">
        <f t="shared" si="1"/>
        <v>3.3813880156054297</v>
      </c>
      <c r="J10" s="737">
        <v>2.9752125239957222E-2</v>
      </c>
      <c r="K10" s="707">
        <v>9.8942142519070436E-2</v>
      </c>
      <c r="L10" s="707">
        <v>2.1167278065578377E-2</v>
      </c>
      <c r="M10" s="707">
        <v>4.5002546925623846E-2</v>
      </c>
      <c r="N10" s="707">
        <v>2.1603062436186662E-2</v>
      </c>
      <c r="O10" s="738">
        <v>1.2392538600670402E-2</v>
      </c>
      <c r="P10" s="737">
        <v>3.0722693317428138E-2</v>
      </c>
      <c r="Q10" s="707">
        <v>7.7133545211951898E-2</v>
      </c>
      <c r="R10" s="707">
        <v>2.5461347966256695E-2</v>
      </c>
      <c r="S10" s="707">
        <v>5.26005647105297E-2</v>
      </c>
      <c r="T10" s="707">
        <v>2.1545714175144833E-2</v>
      </c>
      <c r="U10" s="738">
        <v>1.3408771601158595E-2</v>
      </c>
      <c r="V10" s="737">
        <v>3.2324877470438176E-2</v>
      </c>
      <c r="W10" s="707">
        <v>6.3682200966982364E-2</v>
      </c>
      <c r="X10" s="707">
        <v>1.5331725788316349E-2</v>
      </c>
      <c r="Y10" s="707">
        <v>5.2558864933584179E-2</v>
      </c>
      <c r="Z10" s="707">
        <v>2.9748903491223E-2</v>
      </c>
      <c r="AA10" s="738">
        <v>6.3673244932248357E-3</v>
      </c>
      <c r="AB10" s="737">
        <v>4.2095744767245646E-2</v>
      </c>
      <c r="AC10" s="707">
        <v>8.6534931854094665E-2</v>
      </c>
      <c r="AD10" s="707">
        <v>2.1944208094962111E-2</v>
      </c>
      <c r="AE10" s="707">
        <v>5.2312293835442933E-2</v>
      </c>
      <c r="AF10" s="707">
        <v>2.9031790233428088E-2</v>
      </c>
      <c r="AG10" s="738">
        <v>4.493132550057918E-3</v>
      </c>
      <c r="AH10" s="737">
        <f>4.87770179551902/100</f>
        <v>4.8777017955190197E-2</v>
      </c>
      <c r="AI10" s="707">
        <f>9.81769296589077/100</f>
        <v>9.8176929658907688E-2</v>
      </c>
      <c r="AJ10" s="707">
        <f>1.74907314267561/100</f>
        <v>1.7490731426756102E-2</v>
      </c>
      <c r="AK10" s="707">
        <v>5.2240576963881694E-2</v>
      </c>
      <c r="AL10" s="707">
        <v>2.5583142062117453E-2</v>
      </c>
      <c r="AM10" s="738">
        <v>5.9721689576610632E-3</v>
      </c>
      <c r="AN10" s="737">
        <v>4.5583315030623753E-2</v>
      </c>
      <c r="AO10" s="707">
        <v>0.12344851190970733</v>
      </c>
      <c r="AP10" s="707">
        <f>0.556860762233388/100</f>
        <v>5.5686076223338795E-3</v>
      </c>
      <c r="AQ10" s="707">
        <v>5.1434059042460012E-2</v>
      </c>
      <c r="AR10" s="707">
        <v>2.4233389096982919E-2</v>
      </c>
      <c r="AS10" s="738">
        <v>3.8188935641856915E-3</v>
      </c>
      <c r="AU10" s="716">
        <f t="shared" si="2"/>
        <v>1.7433440559447247E-2</v>
      </c>
      <c r="AV10" s="712">
        <f t="shared" si="3"/>
        <v>1.806824500204228E-2</v>
      </c>
      <c r="AW10" s="712">
        <f t="shared" si="4"/>
        <v>1.8461450471394757E-2</v>
      </c>
      <c r="AX10" s="712">
        <f t="shared" si="5"/>
        <v>2.045479629398822E-2</v>
      </c>
      <c r="AY10" s="712">
        <f t="shared" si="6"/>
        <v>2.0213881532716083E-2</v>
      </c>
      <c r="AZ10" s="717">
        <f t="shared" si="7"/>
        <v>2.1011656274117118E-2</v>
      </c>
      <c r="BB10" s="716">
        <f t="shared" si="8"/>
        <v>3.058498343762675E-2</v>
      </c>
      <c r="BC10" s="712">
        <f t="shared" si="9"/>
        <v>3.1698675442179441E-2</v>
      </c>
      <c r="BD10" s="712">
        <f t="shared" si="10"/>
        <v>3.2388509598938173E-2</v>
      </c>
      <c r="BE10" s="712">
        <f t="shared" si="11"/>
        <v>3.5885607533312672E-2</v>
      </c>
      <c r="BF10" s="712">
        <f t="shared" si="12"/>
        <v>3.5462950057396636E-2</v>
      </c>
      <c r="BG10" s="712">
        <f t="shared" si="13"/>
        <v>3.6862554866872142E-2</v>
      </c>
      <c r="BH10" s="723">
        <f t="shared" si="14"/>
        <v>3.3813880156054306E-2</v>
      </c>
    </row>
    <row r="11" spans="1:60" x14ac:dyDescent="0.25">
      <c r="A11" s="486" t="s">
        <v>1</v>
      </c>
      <c r="B11" s="726">
        <f t="shared" si="0"/>
        <v>1.1048623860081839</v>
      </c>
      <c r="C11" s="724">
        <f t="shared" si="0"/>
        <v>1.1707884056300857</v>
      </c>
      <c r="D11" s="724">
        <f t="shared" si="0"/>
        <v>1.1244194559367786</v>
      </c>
      <c r="E11" s="724">
        <f t="shared" si="0"/>
        <v>1.1042951788086526</v>
      </c>
      <c r="F11" s="724">
        <f t="shared" si="0"/>
        <v>1.5031253209282327</v>
      </c>
      <c r="G11" s="724">
        <f t="shared" si="0"/>
        <v>2.337604728746034</v>
      </c>
      <c r="H11" s="725">
        <f t="shared" si="1"/>
        <v>1.3908492460096611</v>
      </c>
      <c r="J11" s="737">
        <v>2.7871316936971161E-2</v>
      </c>
      <c r="K11" s="707">
        <v>3.9736720033781106E-2</v>
      </c>
      <c r="L11" s="707">
        <v>8.0758829925537052E-4</v>
      </c>
      <c r="M11" s="707">
        <v>1.1086313896964767E-2</v>
      </c>
      <c r="N11" s="707">
        <v>6.2569122457057577E-3</v>
      </c>
      <c r="O11" s="738">
        <v>0</v>
      </c>
      <c r="P11" s="737">
        <v>3.0937876500481874E-2</v>
      </c>
      <c r="Q11" s="707">
        <v>2.6853190010341088E-2</v>
      </c>
      <c r="R11" s="707">
        <v>3.8387696811190064E-3</v>
      </c>
      <c r="S11" s="707">
        <v>1.2327649001829324E-2</v>
      </c>
      <c r="T11" s="707">
        <v>6.5193220375246805E-3</v>
      </c>
      <c r="U11" s="738">
        <v>0</v>
      </c>
      <c r="V11" s="737">
        <v>2.0857982516908995E-2</v>
      </c>
      <c r="W11" s="707">
        <v>1.9299594728627134E-2</v>
      </c>
      <c r="X11" s="707">
        <v>4.154560664986328E-3</v>
      </c>
      <c r="Y11" s="707">
        <v>1.4881757226364617E-2</v>
      </c>
      <c r="Z11" s="707">
        <v>9.1082348503285261E-3</v>
      </c>
      <c r="AA11" s="738">
        <v>0</v>
      </c>
      <c r="AB11" s="737">
        <v>1.633958847589723E-2</v>
      </c>
      <c r="AC11" s="707">
        <v>5.2098918207245194E-2</v>
      </c>
      <c r="AD11" s="707">
        <v>1.3920059043122407E-3</v>
      </c>
      <c r="AE11" s="707">
        <v>1.4928194446158557E-2</v>
      </c>
      <c r="AF11" s="707">
        <v>7.2396976671739201E-3</v>
      </c>
      <c r="AG11" s="738">
        <v>0</v>
      </c>
      <c r="AH11" s="737">
        <f>1.67566627486587/100</f>
        <v>1.67566627486587E-2</v>
      </c>
      <c r="AI11" s="707">
        <f>10.2946616353234/100</f>
        <v>0.102946616353234</v>
      </c>
      <c r="AJ11" s="707">
        <f>0.281305745057757/100</f>
        <v>2.8130574505775704E-3</v>
      </c>
      <c r="AK11" s="707">
        <v>1.4460938794030773E-2</v>
      </c>
      <c r="AL11" s="707">
        <v>9.9729625193501741E-3</v>
      </c>
      <c r="AM11" s="738">
        <v>0</v>
      </c>
      <c r="AN11" s="737">
        <v>1.5915308042887995E-2</v>
      </c>
      <c r="AO11" s="707">
        <v>0.16042239557054305</v>
      </c>
      <c r="AP11" s="707">
        <f>0.362450775976446/100</f>
        <v>3.62450775976446E-3</v>
      </c>
      <c r="AQ11" s="707">
        <v>1.6931708877331531E-2</v>
      </c>
      <c r="AR11" s="707">
        <v>8.9361153145877687E-3</v>
      </c>
      <c r="AS11" s="738">
        <v>0</v>
      </c>
      <c r="AU11" s="716">
        <f t="shared" si="2"/>
        <v>6.2977156002466473E-3</v>
      </c>
      <c r="AV11" s="712">
        <f t="shared" si="3"/>
        <v>6.6734939120914874E-3</v>
      </c>
      <c r="AW11" s="712">
        <f t="shared" si="4"/>
        <v>6.4091908988396368E-3</v>
      </c>
      <c r="AX11" s="712">
        <f t="shared" si="5"/>
        <v>6.2944825192093184E-3</v>
      </c>
      <c r="AY11" s="712">
        <f t="shared" si="6"/>
        <v>8.5678143292909261E-3</v>
      </c>
      <c r="AZ11" s="717">
        <f t="shared" si="7"/>
        <v>1.3324346953852394E-2</v>
      </c>
      <c r="BB11" s="716">
        <f t="shared" si="8"/>
        <v>1.1048623860081838E-2</v>
      </c>
      <c r="BC11" s="712">
        <f t="shared" si="9"/>
        <v>1.1707884056300856E-2</v>
      </c>
      <c r="BD11" s="712">
        <f t="shared" si="10"/>
        <v>1.1244194559367785E-2</v>
      </c>
      <c r="BE11" s="712">
        <f t="shared" si="11"/>
        <v>1.1042951788086525E-2</v>
      </c>
      <c r="BF11" s="712">
        <f t="shared" si="12"/>
        <v>1.5031253209282327E-2</v>
      </c>
      <c r="BG11" s="712">
        <f t="shared" si="13"/>
        <v>2.3376047287460341E-2</v>
      </c>
      <c r="BH11" s="723">
        <f t="shared" si="14"/>
        <v>1.3908492460096613E-2</v>
      </c>
    </row>
    <row r="12" spans="1:60" x14ac:dyDescent="0.25">
      <c r="A12" s="486" t="s">
        <v>4</v>
      </c>
      <c r="B12" s="726">
        <f t="shared" si="0"/>
        <v>1.4877087933893134</v>
      </c>
      <c r="C12" s="724">
        <f t="shared" si="0"/>
        <v>1.5859020733279736</v>
      </c>
      <c r="D12" s="724">
        <f t="shared" si="0"/>
        <v>1.7635550157022513</v>
      </c>
      <c r="E12" s="724">
        <f t="shared" si="0"/>
        <v>1.2364556218109561</v>
      </c>
      <c r="F12" s="724">
        <f t="shared" si="0"/>
        <v>1.3121566071353346</v>
      </c>
      <c r="G12" s="724">
        <f t="shared" si="0"/>
        <v>1.4658289563351359</v>
      </c>
      <c r="H12" s="725">
        <f t="shared" si="1"/>
        <v>1.4752678446168275</v>
      </c>
      <c r="J12" s="737">
        <v>1.4485591051976478E-2</v>
      </c>
      <c r="K12" s="707">
        <v>4.6972783210179801E-2</v>
      </c>
      <c r="L12" s="707">
        <v>3.4618739961308083E-3</v>
      </c>
      <c r="M12" s="707">
        <v>1.6432283444117807E-2</v>
      </c>
      <c r="N12" s="707">
        <v>1.6789500832493094E-2</v>
      </c>
      <c r="O12" s="738">
        <v>0</v>
      </c>
      <c r="P12" s="737">
        <v>1.3547012243345513E-2</v>
      </c>
      <c r="Q12" s="707">
        <v>4.8617288219118947E-2</v>
      </c>
      <c r="R12" s="707">
        <v>7.9392826041065814E-3</v>
      </c>
      <c r="S12" s="707">
        <v>1.987121629469769E-2</v>
      </c>
      <c r="T12" s="707">
        <v>1.5914854131619371E-2</v>
      </c>
      <c r="U12" s="738">
        <v>0</v>
      </c>
      <c r="V12" s="737">
        <v>1.4333573929986904E-2</v>
      </c>
      <c r="W12" s="707">
        <v>4.7704470760536827E-2</v>
      </c>
      <c r="X12" s="707">
        <v>2.9731129738913752E-2</v>
      </c>
      <c r="Y12" s="707">
        <v>1.6011019980600533E-2</v>
      </c>
      <c r="Z12" s="707">
        <v>1.2252857071273226E-2</v>
      </c>
      <c r="AA12" s="738">
        <v>0</v>
      </c>
      <c r="AB12" s="737">
        <v>1.5002372497419116E-2</v>
      </c>
      <c r="AC12" s="707">
        <v>2.9262444305249158E-2</v>
      </c>
      <c r="AD12" s="707">
        <v>3.7145752298981824E-3</v>
      </c>
      <c r="AE12" s="707">
        <v>1.6293993161859276E-2</v>
      </c>
      <c r="AF12" s="707">
        <v>1.2528237116540041E-2</v>
      </c>
      <c r="AG12" s="738">
        <v>0</v>
      </c>
      <c r="AH12" s="737">
        <f>1.43325424937399/100</f>
        <v>1.43325424937399E-2</v>
      </c>
      <c r="AI12" s="707">
        <f>0.819491512783049/100</f>
        <v>8.1949151278304898E-3</v>
      </c>
      <c r="AJ12" s="707">
        <f>0.229801966293705/100</f>
        <v>2.29801966293705E-3</v>
      </c>
      <c r="AK12" s="707">
        <v>1.541919377435812E-2</v>
      </c>
      <c r="AL12" s="707">
        <v>1.8541311282979481E-2</v>
      </c>
      <c r="AM12" s="738">
        <v>0</v>
      </c>
      <c r="AN12" s="737">
        <v>1.5271304076361746E-2</v>
      </c>
      <c r="AO12" s="707">
        <v>3.427183247665104E-2</v>
      </c>
      <c r="AP12" s="707">
        <f>0.239022827955114/100</f>
        <v>2.3902282795511399E-3</v>
      </c>
      <c r="AQ12" s="707">
        <v>1.5334377851168165E-2</v>
      </c>
      <c r="AR12" s="707">
        <v>1.6317203426188278E-2</v>
      </c>
      <c r="AS12" s="738">
        <v>0</v>
      </c>
      <c r="AU12" s="716">
        <f t="shared" si="2"/>
        <v>8.4799401223190855E-3</v>
      </c>
      <c r="AV12" s="712">
        <f t="shared" si="3"/>
        <v>9.0396418179694502E-3</v>
      </c>
      <c r="AW12" s="712">
        <f t="shared" si="4"/>
        <v>1.0052263589502831E-2</v>
      </c>
      <c r="AX12" s="712">
        <f t="shared" si="5"/>
        <v>7.04779704432245E-3</v>
      </c>
      <c r="AY12" s="712">
        <f t="shared" si="6"/>
        <v>7.4792926606714067E-3</v>
      </c>
      <c r="AZ12" s="717">
        <f t="shared" si="7"/>
        <v>8.3552250511102731E-3</v>
      </c>
      <c r="BB12" s="716">
        <f t="shared" si="8"/>
        <v>1.4877087933893134E-2</v>
      </c>
      <c r="BC12" s="712">
        <f t="shared" si="9"/>
        <v>1.5859020733279737E-2</v>
      </c>
      <c r="BD12" s="712">
        <f t="shared" si="10"/>
        <v>1.7635550157022513E-2</v>
      </c>
      <c r="BE12" s="712">
        <f t="shared" si="11"/>
        <v>1.2364556218109562E-2</v>
      </c>
      <c r="BF12" s="712">
        <f t="shared" si="12"/>
        <v>1.3121566071353346E-2</v>
      </c>
      <c r="BG12" s="712">
        <f t="shared" si="13"/>
        <v>1.4658289563351358E-2</v>
      </c>
      <c r="BH12" s="723">
        <f t="shared" si="14"/>
        <v>1.4752678446168274E-2</v>
      </c>
    </row>
    <row r="13" spans="1:60" x14ac:dyDescent="0.25">
      <c r="A13" s="486" t="s">
        <v>17</v>
      </c>
      <c r="B13" s="726">
        <f t="shared" si="0"/>
        <v>0.32869144559290386</v>
      </c>
      <c r="C13" s="724">
        <f t="shared" si="0"/>
        <v>0.13360346985504301</v>
      </c>
      <c r="D13" s="724">
        <f t="shared" si="0"/>
        <v>0.18967916002858165</v>
      </c>
      <c r="E13" s="724">
        <f>BE13*100</f>
        <v>0.23950553886726103</v>
      </c>
      <c r="F13" s="724">
        <f t="shared" si="0"/>
        <v>0.39773237638989795</v>
      </c>
      <c r="G13" s="724">
        <f t="shared" si="0"/>
        <v>0.49016487625749422</v>
      </c>
      <c r="H13" s="725">
        <f t="shared" si="1"/>
        <v>0.29656281116519695</v>
      </c>
      <c r="J13" s="737">
        <v>4.762167783575709E-4</v>
      </c>
      <c r="K13" s="707">
        <v>0</v>
      </c>
      <c r="L13" s="707">
        <v>1.1344124994536891E-2</v>
      </c>
      <c r="M13" s="707">
        <v>3.6370120689647322E-3</v>
      </c>
      <c r="N13" s="707">
        <v>1.4780801043431471E-3</v>
      </c>
      <c r="O13" s="738">
        <v>0</v>
      </c>
      <c r="P13" s="737">
        <v>2.0119348777632588E-4</v>
      </c>
      <c r="Q13" s="707">
        <v>0</v>
      </c>
      <c r="R13" s="707">
        <v>2.3320170168113804E-3</v>
      </c>
      <c r="S13" s="707">
        <v>1.8250566031133069E-3</v>
      </c>
      <c r="T13" s="707">
        <v>1.4565555656951424E-3</v>
      </c>
      <c r="U13" s="738">
        <v>0</v>
      </c>
      <c r="V13" s="737">
        <v>1.9079322686162595E-4</v>
      </c>
      <c r="W13" s="707">
        <v>0</v>
      </c>
      <c r="X13" s="707">
        <v>3.7929763049168843E-3</v>
      </c>
      <c r="Y13" s="707">
        <v>2.8450418226873531E-3</v>
      </c>
      <c r="Z13" s="707">
        <v>1.7786578177108679E-3</v>
      </c>
      <c r="AA13" s="738">
        <v>0</v>
      </c>
      <c r="AB13" s="737">
        <v>9.212407995858881E-4</v>
      </c>
      <c r="AC13" s="707">
        <v>0</v>
      </c>
      <c r="AD13" s="707">
        <v>6.3957359671065256E-3</v>
      </c>
      <c r="AE13" s="707">
        <v>2.890356190973616E-3</v>
      </c>
      <c r="AF13" s="707">
        <v>1.5718252612117491E-3</v>
      </c>
      <c r="AG13" s="738">
        <v>0</v>
      </c>
      <c r="AH13" s="737">
        <f>0.149997498897321/100</f>
        <v>1.49997498897321E-3</v>
      </c>
      <c r="AI13" s="707">
        <v>0</v>
      </c>
      <c r="AJ13" s="707">
        <f>1.37916438666344/100</f>
        <v>1.3791643866634401E-2</v>
      </c>
      <c r="AK13" s="707">
        <v>3.1639837168626304E-3</v>
      </c>
      <c r="AL13" s="707">
        <v>1.9400623914005602E-3</v>
      </c>
      <c r="AM13" s="738">
        <v>0</v>
      </c>
      <c r="AN13" s="737">
        <v>1.1779627472161428E-3</v>
      </c>
      <c r="AO13" s="707">
        <v>3.5961419852731862E-4</v>
      </c>
      <c r="AP13" s="707">
        <f>2.11115352118804/100</f>
        <v>2.1111535211880403E-2</v>
      </c>
      <c r="AQ13" s="707">
        <v>3.5141282575593775E-3</v>
      </c>
      <c r="AR13" s="707">
        <v>1.9123158672839351E-3</v>
      </c>
      <c r="AS13" s="738">
        <v>0</v>
      </c>
      <c r="AU13" s="716">
        <f t="shared" si="2"/>
        <v>1.8735412398795518E-3</v>
      </c>
      <c r="AV13" s="712">
        <f t="shared" si="3"/>
        <v>7.6153977817374516E-4</v>
      </c>
      <c r="AW13" s="712">
        <f t="shared" si="4"/>
        <v>1.0811712121629154E-3</v>
      </c>
      <c r="AX13" s="712">
        <f t="shared" si="5"/>
        <v>1.3651815715433877E-3</v>
      </c>
      <c r="AY13" s="712">
        <f t="shared" si="6"/>
        <v>2.2670745454224182E-3</v>
      </c>
      <c r="AZ13" s="717">
        <f t="shared" si="7"/>
        <v>2.7939397946677167E-3</v>
      </c>
      <c r="BB13" s="716">
        <f t="shared" si="8"/>
        <v>3.2869144559290386E-3</v>
      </c>
      <c r="BC13" s="712">
        <f t="shared" si="9"/>
        <v>1.3360346985504302E-3</v>
      </c>
      <c r="BD13" s="712">
        <f t="shared" si="10"/>
        <v>1.8967916002858166E-3</v>
      </c>
      <c r="BE13" s="712">
        <f t="shared" si="11"/>
        <v>2.3950553886726103E-3</v>
      </c>
      <c r="BF13" s="712">
        <f t="shared" si="12"/>
        <v>3.9773237638989793E-3</v>
      </c>
      <c r="BG13" s="712">
        <f t="shared" si="13"/>
        <v>4.9016487625749422E-3</v>
      </c>
      <c r="BH13" s="723">
        <f t="shared" si="14"/>
        <v>2.9656281116519699E-3</v>
      </c>
    </row>
    <row r="14" spans="1:60" x14ac:dyDescent="0.25">
      <c r="A14" s="486" t="s">
        <v>205</v>
      </c>
      <c r="B14" s="726">
        <f t="shared" si="0"/>
        <v>0.18863785782098155</v>
      </c>
      <c r="C14" s="724">
        <f t="shared" si="0"/>
        <v>0.19771343574341307</v>
      </c>
      <c r="D14" s="724">
        <f t="shared" si="0"/>
        <v>3.3600621850117973E-2</v>
      </c>
      <c r="E14" s="724">
        <f t="shared" si="0"/>
        <v>5.5382836210073798E-3</v>
      </c>
      <c r="F14" s="724">
        <f t="shared" si="0"/>
        <v>0</v>
      </c>
      <c r="G14" s="724">
        <f t="shared" si="0"/>
        <v>0</v>
      </c>
      <c r="H14" s="725">
        <f t="shared" si="1"/>
        <v>7.0915033172586669E-2</v>
      </c>
      <c r="J14" s="737">
        <v>1.1599912966153687E-3</v>
      </c>
      <c r="K14" s="707">
        <v>0</v>
      </c>
      <c r="L14" s="707">
        <v>7.3905341277716774E-4</v>
      </c>
      <c r="M14" s="707">
        <v>0</v>
      </c>
      <c r="N14" s="707">
        <v>3.9863610293621992E-3</v>
      </c>
      <c r="O14" s="738">
        <v>0</v>
      </c>
      <c r="P14" s="737">
        <v>2.0494425573566208E-3</v>
      </c>
      <c r="Q14" s="707">
        <v>0</v>
      </c>
      <c r="R14" s="707">
        <v>8.434261284701426E-4</v>
      </c>
      <c r="S14" s="707">
        <v>0</v>
      </c>
      <c r="T14" s="707">
        <v>3.8141072921259746E-3</v>
      </c>
      <c r="U14" s="738">
        <v>0</v>
      </c>
      <c r="V14" s="737">
        <v>1.3641465053829218E-3</v>
      </c>
      <c r="W14" s="707">
        <v>0</v>
      </c>
      <c r="X14" s="707">
        <v>0</v>
      </c>
      <c r="Y14" s="707">
        <v>0</v>
      </c>
      <c r="Z14" s="707">
        <v>3.0555715138315322E-4</v>
      </c>
      <c r="AA14" s="738">
        <v>0</v>
      </c>
      <c r="AB14" s="739">
        <v>3.5075796266380071E-4</v>
      </c>
      <c r="AC14" s="707">
        <v>0</v>
      </c>
      <c r="AD14" s="707">
        <v>0</v>
      </c>
      <c r="AE14" s="707">
        <v>0</v>
      </c>
      <c r="AF14" s="707">
        <v>0</v>
      </c>
      <c r="AG14" s="738">
        <v>0</v>
      </c>
      <c r="AH14" s="737">
        <v>0</v>
      </c>
      <c r="AI14" s="707">
        <v>0</v>
      </c>
      <c r="AJ14" s="707">
        <v>0</v>
      </c>
      <c r="AK14" s="707">
        <v>0</v>
      </c>
      <c r="AL14" s="707">
        <v>0</v>
      </c>
      <c r="AM14" s="738">
        <v>0</v>
      </c>
      <c r="AN14" s="737">
        <v>0</v>
      </c>
      <c r="AO14" s="707">
        <v>0</v>
      </c>
      <c r="AP14" s="707">
        <v>0</v>
      </c>
      <c r="AQ14" s="707">
        <v>0</v>
      </c>
      <c r="AR14" s="707">
        <v>0</v>
      </c>
      <c r="AS14" s="738">
        <v>0</v>
      </c>
      <c r="AU14" s="716">
        <f t="shared" si="2"/>
        <v>1.0752357895795948E-3</v>
      </c>
      <c r="AV14" s="712">
        <f t="shared" si="3"/>
        <v>1.1269665837374543E-3</v>
      </c>
      <c r="AW14" s="712">
        <f t="shared" si="4"/>
        <v>1.9152354454567242E-4</v>
      </c>
      <c r="AX14" s="712">
        <f t="shared" si="5"/>
        <v>3.1568216639742061E-5</v>
      </c>
      <c r="AY14" s="712">
        <f t="shared" si="6"/>
        <v>0</v>
      </c>
      <c r="AZ14" s="717">
        <f t="shared" si="7"/>
        <v>0</v>
      </c>
      <c r="BB14" s="716">
        <f t="shared" si="8"/>
        <v>1.8863785782098155E-3</v>
      </c>
      <c r="BC14" s="712">
        <f t="shared" si="9"/>
        <v>1.9771343574341307E-3</v>
      </c>
      <c r="BD14" s="712">
        <f t="shared" si="10"/>
        <v>3.3600621850117974E-4</v>
      </c>
      <c r="BE14" s="712">
        <f t="shared" si="11"/>
        <v>5.53828362100738E-5</v>
      </c>
      <c r="BF14" s="712">
        <f t="shared" si="12"/>
        <v>0</v>
      </c>
      <c r="BG14" s="712">
        <f t="shared" si="13"/>
        <v>0</v>
      </c>
      <c r="BH14" s="723">
        <f t="shared" si="14"/>
        <v>7.0915033172586669E-4</v>
      </c>
    </row>
    <row r="15" spans="1:60" x14ac:dyDescent="0.25">
      <c r="A15" s="517" t="s">
        <v>64</v>
      </c>
      <c r="B15" s="726">
        <f>BB15*100</f>
        <v>0</v>
      </c>
      <c r="C15" s="724">
        <f t="shared" si="0"/>
        <v>1.9735184942893197E-2</v>
      </c>
      <c r="D15" s="724">
        <f t="shared" si="0"/>
        <v>0.10785576518594395</v>
      </c>
      <c r="E15" s="724">
        <f t="shared" si="0"/>
        <v>0.57067214246742159</v>
      </c>
      <c r="F15" s="724">
        <f t="shared" si="0"/>
        <v>0.1244185704486388</v>
      </c>
      <c r="G15" s="724">
        <f t="shared" si="0"/>
        <v>0.13020636457862517</v>
      </c>
      <c r="H15" s="725">
        <f t="shared" si="1"/>
        <v>0.15881467127058713</v>
      </c>
      <c r="J15" s="737">
        <v>0</v>
      </c>
      <c r="K15" s="707">
        <v>0</v>
      </c>
      <c r="L15" s="707">
        <v>0</v>
      </c>
      <c r="M15" s="740">
        <v>0</v>
      </c>
      <c r="N15" s="707">
        <v>0</v>
      </c>
      <c r="O15" s="738">
        <v>0</v>
      </c>
      <c r="P15" s="737">
        <v>0</v>
      </c>
      <c r="Q15" s="707">
        <v>0</v>
      </c>
      <c r="R15" s="707">
        <v>1.124905541744912E-3</v>
      </c>
      <c r="S15" s="740">
        <v>0</v>
      </c>
      <c r="T15" s="707">
        <v>0</v>
      </c>
      <c r="U15" s="738">
        <v>0</v>
      </c>
      <c r="V15" s="737">
        <v>0</v>
      </c>
      <c r="W15" s="707">
        <v>0</v>
      </c>
      <c r="X15" s="707">
        <v>6.1477786155988041E-3</v>
      </c>
      <c r="Y15" s="707">
        <v>0</v>
      </c>
      <c r="Z15" s="707">
        <v>0</v>
      </c>
      <c r="AA15" s="738">
        <v>0</v>
      </c>
      <c r="AB15" s="737">
        <v>0</v>
      </c>
      <c r="AC15" s="707">
        <v>0</v>
      </c>
      <c r="AD15" s="707">
        <v>3.2528312120643027E-2</v>
      </c>
      <c r="AE15" s="707">
        <v>0</v>
      </c>
      <c r="AF15" s="708">
        <v>0</v>
      </c>
      <c r="AG15" s="738">
        <v>0</v>
      </c>
      <c r="AH15" s="737">
        <v>0</v>
      </c>
      <c r="AI15" s="707">
        <f>1.65911902528291/100</f>
        <v>1.65911902528291E-2</v>
      </c>
      <c r="AJ15" s="707">
        <f>0.211450143972368/100</f>
        <v>2.1145014397236802E-3</v>
      </c>
      <c r="AK15" s="707">
        <v>0</v>
      </c>
      <c r="AL15" s="707">
        <v>0</v>
      </c>
      <c r="AM15" s="738">
        <v>0</v>
      </c>
      <c r="AN15" s="737">
        <v>0</v>
      </c>
      <c r="AO15" s="707">
        <v>1.4843525561963267E-2</v>
      </c>
      <c r="AP15" s="707">
        <v>0</v>
      </c>
      <c r="AQ15" s="707">
        <v>0</v>
      </c>
      <c r="AR15" s="707">
        <v>0</v>
      </c>
      <c r="AS15" s="738">
        <v>0</v>
      </c>
      <c r="AU15" s="716">
        <f t="shared" si="2"/>
        <v>0</v>
      </c>
      <c r="AV15" s="712">
        <f t="shared" si="3"/>
        <v>1.1249055417449121E-4</v>
      </c>
      <c r="AW15" s="712">
        <f t="shared" si="4"/>
        <v>6.1477786155988046E-4</v>
      </c>
      <c r="AX15" s="712">
        <f t="shared" si="5"/>
        <v>3.252831212064303E-3</v>
      </c>
      <c r="AY15" s="712">
        <f t="shared" si="6"/>
        <v>7.0918585155724104E-4</v>
      </c>
      <c r="AZ15" s="717">
        <f t="shared" si="7"/>
        <v>7.4217627809816341E-4</v>
      </c>
      <c r="BB15" s="716">
        <f t="shared" si="8"/>
        <v>0</v>
      </c>
      <c r="BC15" s="712">
        <f t="shared" si="9"/>
        <v>1.9735184942893197E-4</v>
      </c>
      <c r="BD15" s="712">
        <f t="shared" si="10"/>
        <v>1.0785576518594394E-3</v>
      </c>
      <c r="BE15" s="712">
        <f t="shared" si="11"/>
        <v>5.7067214246742165E-3</v>
      </c>
      <c r="BF15" s="712">
        <f t="shared" si="12"/>
        <v>1.2441857044863879E-3</v>
      </c>
      <c r="BG15" s="712">
        <f t="shared" si="13"/>
        <v>1.3020636457862517E-3</v>
      </c>
      <c r="BH15" s="723">
        <f t="shared" si="14"/>
        <v>1.5881467127058712E-3</v>
      </c>
    </row>
    <row r="16" spans="1:60" s="56" customFormat="1" ht="15.75" thickBot="1" x14ac:dyDescent="0.3">
      <c r="A16" s="258" t="s">
        <v>2</v>
      </c>
      <c r="B16" s="727">
        <f t="shared" ref="B16:G16" si="15">SUM(B6:B15)</f>
        <v>14.827172066477226</v>
      </c>
      <c r="C16" s="728">
        <f t="shared" si="15"/>
        <v>15.145393606347591</v>
      </c>
      <c r="D16" s="728">
        <f t="shared" si="15"/>
        <v>15.958697459574989</v>
      </c>
      <c r="E16" s="728">
        <f t="shared" si="15"/>
        <v>17.032028318337243</v>
      </c>
      <c r="F16" s="728">
        <f t="shared" si="15"/>
        <v>17.455955232788721</v>
      </c>
      <c r="G16" s="728">
        <f t="shared" si="15"/>
        <v>17.903868311558142</v>
      </c>
      <c r="H16" s="729">
        <f t="shared" si="1"/>
        <v>16.387185832513985</v>
      </c>
      <c r="J16" s="718">
        <f>SUM(J6:J15)</f>
        <v>0.18389319025187881</v>
      </c>
      <c r="K16" s="719">
        <f>SUM(K6:K15)</f>
        <v>0.28547875655589761</v>
      </c>
      <c r="L16" s="719">
        <f t="shared" ref="L16:U16" si="16">SUM(L6:L15)</f>
        <v>0.13551431187364701</v>
      </c>
      <c r="M16" s="719">
        <f>SUM(M6:M14)</f>
        <v>0.16861713784790711</v>
      </c>
      <c r="N16" s="719">
        <f t="shared" si="16"/>
        <v>0.12076224547348004</v>
      </c>
      <c r="O16" s="720">
        <f t="shared" si="16"/>
        <v>7.261923023542903E-2</v>
      </c>
      <c r="P16" s="718">
        <f>SUM(P6:P15)</f>
        <v>0.18949877173536261</v>
      </c>
      <c r="Q16" s="719">
        <f t="shared" si="16"/>
        <v>0.24731159274736658</v>
      </c>
      <c r="R16" s="719">
        <f>SUM(R6:R15)</f>
        <v>0.15455789427056227</v>
      </c>
      <c r="S16" s="719">
        <f>SUM(S6:S14)</f>
        <v>0.1735409822768382</v>
      </c>
      <c r="T16" s="719">
        <f>SUM(T6:T15)</f>
        <v>0.12035611867922207</v>
      </c>
      <c r="U16" s="720">
        <f t="shared" si="16"/>
        <v>7.8579678400504865E-2</v>
      </c>
      <c r="V16" s="718">
        <f>SUM(V6:V15)</f>
        <v>0.19380065523338785</v>
      </c>
      <c r="W16" s="719">
        <f>SUM(W6:W15)</f>
        <v>0.21345170281256604</v>
      </c>
      <c r="X16" s="719">
        <f t="shared" ref="X16:AA16" si="17">SUM(X6:X15)</f>
        <v>0.19401731449678039</v>
      </c>
      <c r="Y16" s="719">
        <f>SUM(Y6:Y15)</f>
        <v>0.18123791808002337</v>
      </c>
      <c r="Z16" s="719">
        <f t="shared" si="17"/>
        <v>0.12534401133353387</v>
      </c>
      <c r="AA16" s="720">
        <f t="shared" si="17"/>
        <v>5.5641586258801293E-2</v>
      </c>
      <c r="AB16" s="718">
        <f>SUM(AB6:AB15)</f>
        <v>0.20644918878669066</v>
      </c>
      <c r="AC16" s="719">
        <f>SUM(AC6:AC15)</f>
        <v>0.2824660376055172</v>
      </c>
      <c r="AD16" s="719">
        <f t="shared" ref="AD16:AG16" si="18">SUM(AD6:AD15)</f>
        <v>0.17340581937219191</v>
      </c>
      <c r="AE16" s="719">
        <f t="shared" si="18"/>
        <v>0.19381273027569559</v>
      </c>
      <c r="AF16" s="719">
        <f>SUM(AF6:AF14)</f>
        <v>0.14235484542201754</v>
      </c>
      <c r="AG16" s="720">
        <f t="shared" si="18"/>
        <v>5.1058324432476342E-2</v>
      </c>
      <c r="AH16" s="718">
        <f>SUM(AH6:AH15)</f>
        <v>0.21267963424583763</v>
      </c>
      <c r="AI16" s="719">
        <f>SUM(AI6:AI15)</f>
        <v>0.38171273988225773</v>
      </c>
      <c r="AJ16" s="719">
        <f t="shared" ref="AJ16:AS16" si="19">SUM(AJ6:AJ15)</f>
        <v>0.15389327374752901</v>
      </c>
      <c r="AK16" s="719">
        <f t="shared" si="19"/>
        <v>0.19911144665776181</v>
      </c>
      <c r="AL16" s="719">
        <f t="shared" si="19"/>
        <v>0.14273148008725933</v>
      </c>
      <c r="AM16" s="720">
        <f t="shared" si="19"/>
        <v>5.9653619525606244E-2</v>
      </c>
      <c r="AN16" s="718">
        <f t="shared" si="19"/>
        <v>0.19585550011660241</v>
      </c>
      <c r="AO16" s="719">
        <f t="shared" si="19"/>
        <v>0.47872021915055923</v>
      </c>
      <c r="AP16" s="719">
        <f t="shared" si="19"/>
        <v>0.11189789115892487</v>
      </c>
      <c r="AQ16" s="719">
        <f t="shared" si="19"/>
        <v>0.19774958103902318</v>
      </c>
      <c r="AR16" s="719">
        <f t="shared" si="19"/>
        <v>0.13923940257521975</v>
      </c>
      <c r="AS16" s="720">
        <f t="shared" si="19"/>
        <v>5.091858085580922E-2</v>
      </c>
      <c r="AU16" s="718">
        <f t="shared" ref="AU16:AZ16" si="20">SUM(AU6:AU15)</f>
        <v>8.4514880778920179E-2</v>
      </c>
      <c r="AV16" s="719">
        <f t="shared" si="20"/>
        <v>8.6328743556181253E-2</v>
      </c>
      <c r="AW16" s="719">
        <f>SUM(AW6:AW15)</f>
        <v>9.0964575519577415E-2</v>
      </c>
      <c r="AX16" s="719">
        <f t="shared" si="20"/>
        <v>9.7082561414522303E-2</v>
      </c>
      <c r="AY16" s="719">
        <f t="shared" si="20"/>
        <v>9.9498944826895711E-2</v>
      </c>
      <c r="AZ16" s="720">
        <f t="shared" si="20"/>
        <v>0.10205204937588139</v>
      </c>
      <c r="BB16" s="718">
        <f t="shared" ref="BB16:BH16" si="21">SUM(BB6:BB15)</f>
        <v>0.14827172066477226</v>
      </c>
      <c r="BC16" s="719">
        <f t="shared" si="21"/>
        <v>0.1514539360634759</v>
      </c>
      <c r="BD16" s="719">
        <f>SUM(BD6:BD15)</f>
        <v>0.15958697459574989</v>
      </c>
      <c r="BE16" s="719">
        <f t="shared" si="21"/>
        <v>0.17032028318337242</v>
      </c>
      <c r="BF16" s="719">
        <f t="shared" si="21"/>
        <v>0.17455955232788722</v>
      </c>
      <c r="BG16" s="719">
        <f t="shared" si="21"/>
        <v>0.17903868311558144</v>
      </c>
      <c r="BH16" s="720">
        <f t="shared" si="21"/>
        <v>0.16387185832513987</v>
      </c>
    </row>
    <row r="17" spans="2:60" x14ac:dyDescent="0.25">
      <c r="B17" s="246"/>
      <c r="C17" s="246"/>
    </row>
    <row r="18" spans="2:60" hidden="1" x14ac:dyDescent="0.25"/>
    <row r="19" spans="2:60" hidden="1" x14ac:dyDescent="0.25">
      <c r="I19" s="709" t="s">
        <v>73</v>
      </c>
      <c r="J19" s="710">
        <v>0.09</v>
      </c>
      <c r="K19" s="710">
        <v>0.03</v>
      </c>
      <c r="L19" s="710">
        <v>0.1</v>
      </c>
      <c r="M19" s="710">
        <v>0.1</v>
      </c>
      <c r="N19" s="710">
        <v>0.22500000000000001</v>
      </c>
      <c r="O19" s="710">
        <v>2.5000000000000001E-2</v>
      </c>
      <c r="P19" s="710">
        <v>0.09</v>
      </c>
      <c r="Q19" s="710">
        <v>0.03</v>
      </c>
      <c r="R19" s="710">
        <v>0.1</v>
      </c>
      <c r="S19" s="710">
        <v>0.1</v>
      </c>
      <c r="T19" s="710">
        <v>0.22500000000000001</v>
      </c>
      <c r="U19" s="710">
        <v>2.5000000000000001E-2</v>
      </c>
      <c r="V19" s="710">
        <v>0.09</v>
      </c>
      <c r="W19" s="710">
        <v>0.03</v>
      </c>
      <c r="X19" s="710">
        <v>0.1</v>
      </c>
      <c r="Y19" s="710">
        <v>0.1</v>
      </c>
      <c r="Z19" s="710">
        <v>0.22500000000000001</v>
      </c>
      <c r="AA19" s="710">
        <v>2.5000000000000001E-2</v>
      </c>
      <c r="AB19" s="710">
        <v>0.09</v>
      </c>
      <c r="AC19" s="710">
        <v>0.03</v>
      </c>
      <c r="AD19" s="710">
        <v>0.1</v>
      </c>
      <c r="AE19" s="710">
        <v>0.1</v>
      </c>
      <c r="AF19" s="710">
        <v>0.22500000000000001</v>
      </c>
      <c r="AG19" s="710">
        <v>2.5000000000000001E-2</v>
      </c>
      <c r="AH19" s="710">
        <v>0.09</v>
      </c>
      <c r="AI19" s="710">
        <v>0.03</v>
      </c>
      <c r="AJ19" s="710">
        <v>0.1</v>
      </c>
      <c r="AK19" s="710">
        <v>0.1</v>
      </c>
      <c r="AL19" s="710">
        <v>0.22500000000000001</v>
      </c>
      <c r="AM19" s="710">
        <v>2.5000000000000001E-2</v>
      </c>
      <c r="AN19" s="710">
        <v>0.08</v>
      </c>
      <c r="AO19" s="710">
        <v>0.05</v>
      </c>
      <c r="AP19" s="710">
        <v>0.09</v>
      </c>
      <c r="AQ19" s="710">
        <v>0.1</v>
      </c>
      <c r="AR19" s="710">
        <v>0.22500000000000001</v>
      </c>
      <c r="AS19" s="710">
        <v>2.5000000000000001E-2</v>
      </c>
      <c r="AU19" s="711">
        <v>0.56999999999999995</v>
      </c>
      <c r="AV19" s="711">
        <v>0.56999999999999995</v>
      </c>
      <c r="AW19" s="711">
        <v>0.56999999999999995</v>
      </c>
      <c r="AX19" s="711">
        <v>0.56999999999999995</v>
      </c>
      <c r="AY19" s="711">
        <v>0.56999999999999995</v>
      </c>
      <c r="AZ19" s="711">
        <v>0.56999999999999995</v>
      </c>
    </row>
    <row r="20" spans="2:60" ht="12.4" hidden="1" customHeight="1" x14ac:dyDescent="0.25">
      <c r="H20" s="678"/>
      <c r="J20" s="710"/>
      <c r="K20" s="710"/>
      <c r="L20" s="710"/>
      <c r="M20" s="710"/>
      <c r="N20" s="710"/>
      <c r="O20" s="710">
        <f>+SUM(J19:O19)</f>
        <v>0.57000000000000006</v>
      </c>
      <c r="P20" s="710"/>
      <c r="Q20" s="710"/>
      <c r="R20" s="710"/>
      <c r="S20" s="710"/>
      <c r="T20" s="710"/>
      <c r="U20" s="710">
        <f>+SUM(P19:U19)</f>
        <v>0.57000000000000006</v>
      </c>
      <c r="V20" s="710"/>
      <c r="W20" s="710"/>
      <c r="X20" s="710"/>
      <c r="Y20" s="710"/>
      <c r="Z20" s="710"/>
      <c r="AA20" s="710">
        <f>+SUM(V19:AA19)</f>
        <v>0.57000000000000006</v>
      </c>
      <c r="AB20" s="710"/>
      <c r="AC20" s="710"/>
      <c r="AD20" s="710"/>
      <c r="AE20" s="710"/>
      <c r="AF20" s="710"/>
      <c r="AG20" s="710">
        <f>+SUM(AB19:AG19)</f>
        <v>0.57000000000000006</v>
      </c>
      <c r="AH20" s="710"/>
      <c r="AI20" s="710"/>
      <c r="AJ20" s="710"/>
      <c r="AK20" s="710"/>
      <c r="AL20" s="710"/>
      <c r="AM20" s="710">
        <f>+SUM(AH19:AM19)</f>
        <v>0.57000000000000006</v>
      </c>
      <c r="AN20" s="710"/>
      <c r="AO20" s="710"/>
      <c r="AP20" s="710"/>
      <c r="AQ20" s="710"/>
      <c r="AR20" s="710"/>
      <c r="AS20" s="710">
        <f>+SUM(AN19:AS19)</f>
        <v>0.57000000000000006</v>
      </c>
    </row>
    <row r="22" spans="2:60" x14ac:dyDescent="0.2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</row>
  </sheetData>
  <sheetProtection algorithmName="SHA-512" hashValue="byLhzKWdSx9O2hxmoWs7WN3epHxyWahdylW9vDhvhOCyTwp+8oGmvE/L+JlIwjpUJIFilQBpru4R20cd2obqrA==" saltValue="4GPtlHItVfhj9/eXakSkRw==" spinCount="100000" sheet="1" objects="1" scenarios="1"/>
  <mergeCells count="13">
    <mergeCell ref="H3:H4"/>
    <mergeCell ref="B3:B4"/>
    <mergeCell ref="C3:C4"/>
    <mergeCell ref="D3:D4"/>
    <mergeCell ref="E3:E4"/>
    <mergeCell ref="F3:F4"/>
    <mergeCell ref="G3:G4"/>
    <mergeCell ref="AN3:AS3"/>
    <mergeCell ref="J3:O3"/>
    <mergeCell ref="P3:U3"/>
    <mergeCell ref="V3:AA3"/>
    <mergeCell ref="AB3:AG3"/>
    <mergeCell ref="AH3:A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U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42578125" defaultRowHeight="15" x14ac:dyDescent="0.25"/>
  <cols>
    <col min="1" max="1" width="47.28515625" style="109" customWidth="1"/>
    <col min="2" max="3" width="14.42578125" style="109" bestFit="1" customWidth="1"/>
    <col min="4" max="4" width="14.42578125" style="109" customWidth="1"/>
    <col min="5" max="5" width="14.42578125" style="109" bestFit="1" customWidth="1"/>
    <col min="6" max="6" width="10.5703125" style="109" customWidth="1"/>
    <col min="7" max="7" width="13.42578125" style="109" customWidth="1"/>
    <col min="8" max="8" width="12.5703125" style="109" bestFit="1" customWidth="1"/>
    <col min="9" max="9" width="14.42578125" style="109" customWidth="1"/>
    <col min="10" max="10" width="13.42578125" style="109" customWidth="1"/>
    <col min="11" max="11" width="9.42578125" style="109" customWidth="1"/>
    <col min="12" max="13" width="13.5703125" style="109" bestFit="1" customWidth="1"/>
    <col min="14" max="14" width="14.42578125" style="109" customWidth="1"/>
    <col min="15" max="15" width="13.5703125" style="109" bestFit="1" customWidth="1"/>
    <col min="16" max="16" width="7.42578125" style="109" customWidth="1"/>
    <col min="17" max="18" width="13.5703125" style="109" bestFit="1" customWidth="1"/>
    <col min="19" max="19" width="14.42578125" style="109" customWidth="1"/>
    <col min="20" max="20" width="13.5703125" style="109" bestFit="1" customWidth="1"/>
    <col min="21" max="21" width="7.42578125" style="109" customWidth="1"/>
    <col min="22" max="16384" width="9.42578125" style="109"/>
  </cols>
  <sheetData>
    <row r="1" spans="1:21" s="138" customFormat="1" ht="29.25" customHeight="1" thickBot="1" x14ac:dyDescent="0.3">
      <c r="A1" s="1403"/>
      <c r="B1" s="1384" t="s">
        <v>297</v>
      </c>
      <c r="C1" s="1385"/>
      <c r="D1" s="1385"/>
      <c r="E1" s="1385"/>
      <c r="F1" s="1386"/>
      <c r="G1" s="1384" t="s">
        <v>299</v>
      </c>
      <c r="H1" s="1385"/>
      <c r="I1" s="1385"/>
      <c r="J1" s="1385"/>
      <c r="K1" s="1386"/>
      <c r="L1" s="1384" t="s">
        <v>324</v>
      </c>
      <c r="M1" s="1385"/>
      <c r="N1" s="1385"/>
      <c r="O1" s="1385"/>
      <c r="P1" s="1386"/>
      <c r="Q1" s="1384" t="s">
        <v>310</v>
      </c>
      <c r="R1" s="1385"/>
      <c r="S1" s="1385"/>
      <c r="T1" s="1385"/>
      <c r="U1" s="1386"/>
    </row>
    <row r="2" spans="1:21" ht="108.75" customHeight="1" thickBot="1" x14ac:dyDescent="0.3">
      <c r="A2" s="1389"/>
      <c r="B2" s="212" t="s">
        <v>312</v>
      </c>
      <c r="C2" s="212" t="s">
        <v>303</v>
      </c>
      <c r="D2" s="213" t="s">
        <v>304</v>
      </c>
      <c r="E2" s="214" t="s">
        <v>130</v>
      </c>
      <c r="F2" s="215" t="s">
        <v>131</v>
      </c>
      <c r="G2" s="216" t="s">
        <v>313</v>
      </c>
      <c r="H2" s="216" t="s">
        <v>305</v>
      </c>
      <c r="I2" s="213" t="s">
        <v>301</v>
      </c>
      <c r="J2" s="214" t="s">
        <v>130</v>
      </c>
      <c r="K2" s="215" t="s">
        <v>132</v>
      </c>
      <c r="L2" s="217" t="s">
        <v>314</v>
      </c>
      <c r="M2" s="217" t="s">
        <v>306</v>
      </c>
      <c r="N2" s="218" t="s">
        <v>307</v>
      </c>
      <c r="O2" s="214" t="s">
        <v>130</v>
      </c>
      <c r="P2" s="177" t="str">
        <f>CONCATENATE(" Podiel na ZGv  ",)</f>
        <v xml:space="preserve"> Podiel na ZGv  </v>
      </c>
      <c r="Q2" s="219" t="s">
        <v>311</v>
      </c>
      <c r="R2" s="217" t="s">
        <v>308</v>
      </c>
      <c r="S2" s="218" t="s">
        <v>307</v>
      </c>
      <c r="T2" s="214" t="s">
        <v>130</v>
      </c>
      <c r="U2" s="177" t="str">
        <f>CONCATENATE(" Podiel na ZGo  ",)</f>
        <v xml:space="preserve"> Podiel na ZGo  </v>
      </c>
    </row>
    <row r="3" spans="1:21" s="112" customFormat="1" x14ac:dyDescent="0.25">
      <c r="A3" s="27" t="s">
        <v>2</v>
      </c>
      <c r="B3" s="905">
        <v>6893967</v>
      </c>
      <c r="C3" s="221">
        <v>7960674.2800000003</v>
      </c>
      <c r="D3" s="618">
        <f t="shared" ref="D3:D11" si="0">B3+C3</f>
        <v>14854641.280000001</v>
      </c>
      <c r="E3" s="618">
        <v>7427320.6400000006</v>
      </c>
      <c r="F3" s="223">
        <f t="shared" ref="F3:F13" si="1">100*E3/$E$15</f>
        <v>18.512825864686896</v>
      </c>
      <c r="G3" s="905">
        <v>1638068.2599999998</v>
      </c>
      <c r="H3" s="221">
        <v>1861659.78</v>
      </c>
      <c r="I3" s="618">
        <f t="shared" ref="I3:I10" si="2">G3+H3</f>
        <v>3499728.04</v>
      </c>
      <c r="J3" s="618">
        <v>1749864.02</v>
      </c>
      <c r="K3" s="223">
        <f t="shared" ref="K3:K10" si="3">100*J3/$J$15</f>
        <v>27.327633990890948</v>
      </c>
      <c r="L3" s="560">
        <v>1609304.4000000004</v>
      </c>
      <c r="M3" s="228">
        <v>2111837.54</v>
      </c>
      <c r="N3" s="618">
        <f t="shared" ref="N3:N10" si="4">L3+M3</f>
        <v>3721141.9400000004</v>
      </c>
      <c r="O3" s="618">
        <v>1860570.9700000002</v>
      </c>
      <c r="P3" s="223">
        <f t="shared" ref="P3:P10" si="5">100*O3/$O$15</f>
        <v>21.389934238776295</v>
      </c>
      <c r="Q3" s="560">
        <v>1600474.3900000001</v>
      </c>
      <c r="R3" s="228">
        <v>1576471.96</v>
      </c>
      <c r="S3" s="618">
        <f t="shared" ref="S3:S11" si="6">Q3+R3</f>
        <v>3176946.35</v>
      </c>
      <c r="T3" s="618">
        <v>1588473.175</v>
      </c>
      <c r="U3" s="223">
        <f t="shared" ref="U3:U13" si="7">100*T3/$T$15</f>
        <v>9.330622077207984</v>
      </c>
    </row>
    <row r="4" spans="1:21" s="208" customFormat="1" x14ac:dyDescent="0.25">
      <c r="A4" s="21" t="s">
        <v>6</v>
      </c>
      <c r="B4" s="190">
        <v>124289</v>
      </c>
      <c r="C4" s="191">
        <v>150052</v>
      </c>
      <c r="D4" s="906">
        <f t="shared" si="0"/>
        <v>274341</v>
      </c>
      <c r="E4" s="906">
        <f>D4/2</f>
        <v>137170.5</v>
      </c>
      <c r="F4" s="207">
        <f t="shared" si="1"/>
        <v>0.34190170363670119</v>
      </c>
      <c r="G4" s="190">
        <v>52509</v>
      </c>
      <c r="H4" s="191">
        <v>80900</v>
      </c>
      <c r="I4" s="906">
        <f t="shared" si="2"/>
        <v>133409</v>
      </c>
      <c r="J4" s="906">
        <f t="shared" ref="J4:J13" si="8">I4/2</f>
        <v>66704.5</v>
      </c>
      <c r="K4" s="207">
        <f t="shared" si="3"/>
        <v>1.0417244658504294</v>
      </c>
      <c r="L4" s="190">
        <v>104617</v>
      </c>
      <c r="M4" s="191">
        <v>27284</v>
      </c>
      <c r="N4" s="906">
        <f t="shared" si="4"/>
        <v>131901</v>
      </c>
      <c r="O4" s="906">
        <f t="shared" ref="O4:O13" si="9">N4/2</f>
        <v>65950.5</v>
      </c>
      <c r="P4" s="207">
        <f t="shared" si="5"/>
        <v>0.75819567259743692</v>
      </c>
      <c r="Q4" s="1177">
        <v>86756</v>
      </c>
      <c r="R4" s="1178">
        <v>36142</v>
      </c>
      <c r="S4" s="906">
        <f t="shared" si="6"/>
        <v>122898</v>
      </c>
      <c r="T4" s="906">
        <f t="shared" ref="T4:T13" si="10">S4/2</f>
        <v>61449</v>
      </c>
      <c r="U4" s="207">
        <f t="shared" si="7"/>
        <v>0.36094874313653641</v>
      </c>
    </row>
    <row r="5" spans="1:21" s="208" customFormat="1" x14ac:dyDescent="0.25">
      <c r="A5" s="21" t="s">
        <v>3</v>
      </c>
      <c r="B5" s="190">
        <v>1846251</v>
      </c>
      <c r="C5" s="191">
        <v>1566040.81</v>
      </c>
      <c r="D5" s="906">
        <f t="shared" si="0"/>
        <v>3412291.81</v>
      </c>
      <c r="E5" s="906">
        <f t="shared" ref="E5:E13" si="11">D5/2</f>
        <v>1706145.905</v>
      </c>
      <c r="F5" s="207">
        <f t="shared" si="1"/>
        <v>4.2526213112315068</v>
      </c>
      <c r="G5" s="902">
        <v>146975</v>
      </c>
      <c r="H5" s="222">
        <v>147030</v>
      </c>
      <c r="I5" s="906">
        <f t="shared" si="2"/>
        <v>294005</v>
      </c>
      <c r="J5" s="906">
        <f t="shared" si="8"/>
        <v>147002.5</v>
      </c>
      <c r="K5" s="207">
        <f t="shared" si="3"/>
        <v>2.2957386801666719</v>
      </c>
      <c r="L5" s="775">
        <v>884012</v>
      </c>
      <c r="M5" s="229">
        <v>1495076.98</v>
      </c>
      <c r="N5" s="906">
        <f t="shared" si="4"/>
        <v>2379088.98</v>
      </c>
      <c r="O5" s="906">
        <f t="shared" si="9"/>
        <v>1189544.49</v>
      </c>
      <c r="P5" s="207">
        <f t="shared" si="5"/>
        <v>13.67552156056626</v>
      </c>
      <c r="Q5" s="1177">
        <v>36286</v>
      </c>
      <c r="R5" s="1178">
        <v>28859</v>
      </c>
      <c r="S5" s="906">
        <f t="shared" si="6"/>
        <v>65145</v>
      </c>
      <c r="T5" s="906">
        <f t="shared" si="10"/>
        <v>32572.5</v>
      </c>
      <c r="U5" s="207">
        <f t="shared" si="7"/>
        <v>0.19132944288458448</v>
      </c>
    </row>
    <row r="6" spans="1:21" s="208" customFormat="1" x14ac:dyDescent="0.25">
      <c r="A6" s="21" t="s">
        <v>5</v>
      </c>
      <c r="B6" s="190">
        <v>2130642</v>
      </c>
      <c r="C6" s="191">
        <v>2422085.7999999998</v>
      </c>
      <c r="D6" s="906">
        <f t="shared" si="0"/>
        <v>4552727.8</v>
      </c>
      <c r="E6" s="906">
        <f t="shared" si="11"/>
        <v>2276363.9</v>
      </c>
      <c r="F6" s="207">
        <f t="shared" si="1"/>
        <v>5.673907257807512</v>
      </c>
      <c r="G6" s="902">
        <v>185207.67</v>
      </c>
      <c r="H6" s="222">
        <v>198898.14</v>
      </c>
      <c r="I6" s="906">
        <f t="shared" si="2"/>
        <v>384105.81000000006</v>
      </c>
      <c r="J6" s="906">
        <f t="shared" si="8"/>
        <v>192052.90500000003</v>
      </c>
      <c r="K6" s="207">
        <f t="shared" si="3"/>
        <v>2.9992910504710824</v>
      </c>
      <c r="L6" s="775">
        <v>311757.05</v>
      </c>
      <c r="M6" s="229">
        <v>161488.41</v>
      </c>
      <c r="N6" s="906">
        <f t="shared" si="4"/>
        <v>473245.45999999996</v>
      </c>
      <c r="O6" s="906">
        <f t="shared" si="9"/>
        <v>236622.72999999998</v>
      </c>
      <c r="P6" s="207">
        <f t="shared" si="5"/>
        <v>2.720317964597565</v>
      </c>
      <c r="Q6" s="1177">
        <v>198721.28</v>
      </c>
      <c r="R6" s="1178">
        <v>168276</v>
      </c>
      <c r="S6" s="906">
        <f t="shared" si="6"/>
        <v>366997.28</v>
      </c>
      <c r="T6" s="906">
        <f t="shared" si="10"/>
        <v>183498.64</v>
      </c>
      <c r="U6" s="207">
        <f t="shared" si="7"/>
        <v>1.0778629998090086</v>
      </c>
    </row>
    <row r="7" spans="1:21" s="208" customFormat="1" x14ac:dyDescent="0.25">
      <c r="A7" s="21" t="s">
        <v>7</v>
      </c>
      <c r="B7" s="190">
        <v>220977</v>
      </c>
      <c r="C7" s="191">
        <v>440585.67000000004</v>
      </c>
      <c r="D7" s="906">
        <f t="shared" si="0"/>
        <v>661562.67000000004</v>
      </c>
      <c r="E7" s="906">
        <f t="shared" si="11"/>
        <v>330781.33500000002</v>
      </c>
      <c r="F7" s="207">
        <f t="shared" si="1"/>
        <v>0.82448268372370437</v>
      </c>
      <c r="G7" s="190">
        <v>151479.17000000001</v>
      </c>
      <c r="H7" s="191">
        <v>228748.33</v>
      </c>
      <c r="I7" s="906">
        <f t="shared" si="2"/>
        <v>380227.5</v>
      </c>
      <c r="J7" s="906">
        <f t="shared" si="8"/>
        <v>190113.75</v>
      </c>
      <c r="K7" s="207">
        <f t="shared" si="3"/>
        <v>2.9690072584244254</v>
      </c>
      <c r="L7" s="190">
        <v>15126.82</v>
      </c>
      <c r="M7" s="191"/>
      <c r="N7" s="906">
        <f t="shared" si="4"/>
        <v>15126.82</v>
      </c>
      <c r="O7" s="906">
        <f t="shared" si="9"/>
        <v>7563.41</v>
      </c>
      <c r="P7" s="207">
        <f t="shared" si="5"/>
        <v>8.6952255586844385E-2</v>
      </c>
      <c r="Q7" s="1177">
        <v>9447</v>
      </c>
      <c r="R7" s="1178"/>
      <c r="S7" s="906">
        <f t="shared" si="6"/>
        <v>9447</v>
      </c>
      <c r="T7" s="906">
        <f t="shared" si="10"/>
        <v>4723.5</v>
      </c>
      <c r="U7" s="207">
        <f t="shared" si="7"/>
        <v>2.77456327719805E-2</v>
      </c>
    </row>
    <row r="8" spans="1:21" s="208" customFormat="1" x14ac:dyDescent="0.25">
      <c r="A8" s="21" t="s">
        <v>0</v>
      </c>
      <c r="B8" s="902">
        <v>1098914</v>
      </c>
      <c r="C8" s="222">
        <v>1530625</v>
      </c>
      <c r="D8" s="906">
        <f t="shared" si="0"/>
        <v>2629539</v>
      </c>
      <c r="E8" s="906">
        <f t="shared" si="11"/>
        <v>1314769.5</v>
      </c>
      <c r="F8" s="207">
        <f t="shared" si="1"/>
        <v>3.277103545875927</v>
      </c>
      <c r="G8" s="902">
        <v>561469</v>
      </c>
      <c r="H8" s="222">
        <v>681260</v>
      </c>
      <c r="I8" s="906">
        <f t="shared" si="2"/>
        <v>1242729</v>
      </c>
      <c r="J8" s="906">
        <f t="shared" si="8"/>
        <v>621364.5</v>
      </c>
      <c r="K8" s="207">
        <f t="shared" si="3"/>
        <v>9.7038520918516618</v>
      </c>
      <c r="L8" s="188">
        <v>68475</v>
      </c>
      <c r="M8" s="230">
        <v>85839</v>
      </c>
      <c r="N8" s="906">
        <f t="shared" si="4"/>
        <v>154314</v>
      </c>
      <c r="O8" s="906">
        <f t="shared" si="9"/>
        <v>77157</v>
      </c>
      <c r="P8" s="207">
        <f t="shared" si="5"/>
        <v>0.88703047756424047</v>
      </c>
      <c r="Q8" s="188">
        <v>75577</v>
      </c>
      <c r="R8" s="230">
        <v>483004</v>
      </c>
      <c r="S8" s="906">
        <f t="shared" si="6"/>
        <v>558581</v>
      </c>
      <c r="T8" s="906">
        <f t="shared" si="10"/>
        <v>279290.5</v>
      </c>
      <c r="U8" s="207">
        <f t="shared" si="7"/>
        <v>1.6405402031762082</v>
      </c>
    </row>
    <row r="9" spans="1:21" s="208" customFormat="1" x14ac:dyDescent="0.25">
      <c r="A9" s="21" t="s">
        <v>1</v>
      </c>
      <c r="B9" s="902">
        <v>808552</v>
      </c>
      <c r="C9" s="222">
        <v>1138426</v>
      </c>
      <c r="D9" s="906">
        <f t="shared" si="0"/>
        <v>1946978</v>
      </c>
      <c r="E9" s="906">
        <f t="shared" si="11"/>
        <v>973489</v>
      </c>
      <c r="F9" s="207">
        <f t="shared" si="1"/>
        <v>2.4264513694386811</v>
      </c>
      <c r="G9" s="902">
        <v>288637.64</v>
      </c>
      <c r="H9" s="222">
        <v>262950.90000000002</v>
      </c>
      <c r="I9" s="906">
        <f t="shared" si="2"/>
        <v>551588.54</v>
      </c>
      <c r="J9" s="906">
        <f t="shared" si="8"/>
        <v>275794.27</v>
      </c>
      <c r="K9" s="207">
        <f t="shared" si="3"/>
        <v>4.3070803109289351</v>
      </c>
      <c r="L9" s="190"/>
      <c r="M9" s="191">
        <v>28589.74</v>
      </c>
      <c r="N9" s="906">
        <f t="shared" si="4"/>
        <v>28589.74</v>
      </c>
      <c r="O9" s="906">
        <f t="shared" si="9"/>
        <v>14294.87</v>
      </c>
      <c r="P9" s="207">
        <f t="shared" si="5"/>
        <v>0.16434005161966814</v>
      </c>
      <c r="Q9" s="1177">
        <v>25504.74</v>
      </c>
      <c r="R9" s="1178">
        <v>69254</v>
      </c>
      <c r="S9" s="906">
        <f t="shared" si="6"/>
        <v>94758.74</v>
      </c>
      <c r="T9" s="906">
        <f t="shared" si="10"/>
        <v>47379.37</v>
      </c>
      <c r="U9" s="207">
        <f t="shared" si="7"/>
        <v>0.27830435079661048</v>
      </c>
    </row>
    <row r="10" spans="1:21" s="208" customFormat="1" x14ac:dyDescent="0.25">
      <c r="A10" s="21" t="s">
        <v>4</v>
      </c>
      <c r="B10" s="190">
        <v>600036</v>
      </c>
      <c r="C10" s="191">
        <v>655864</v>
      </c>
      <c r="D10" s="906">
        <f t="shared" si="0"/>
        <v>1255900</v>
      </c>
      <c r="E10" s="906">
        <f t="shared" si="11"/>
        <v>627950</v>
      </c>
      <c r="F10" s="207">
        <f t="shared" si="1"/>
        <v>1.5651847503556999</v>
      </c>
      <c r="G10" s="902">
        <v>251790.78</v>
      </c>
      <c r="H10" s="222">
        <v>231081.36</v>
      </c>
      <c r="I10" s="906">
        <f t="shared" si="2"/>
        <v>482872.14</v>
      </c>
      <c r="J10" s="906">
        <f t="shared" si="8"/>
        <v>241436.07</v>
      </c>
      <c r="K10" s="207">
        <f t="shared" si="3"/>
        <v>3.7705081524901152</v>
      </c>
      <c r="L10" s="190">
        <v>21930</v>
      </c>
      <c r="M10" s="191">
        <v>30309.81</v>
      </c>
      <c r="N10" s="906">
        <f t="shared" si="4"/>
        <v>52239.81</v>
      </c>
      <c r="O10" s="906">
        <f t="shared" si="9"/>
        <v>26119.904999999999</v>
      </c>
      <c r="P10" s="207">
        <f t="shared" si="5"/>
        <v>0.3002858043480513</v>
      </c>
      <c r="Q10" s="1177">
        <v>64166</v>
      </c>
      <c r="R10" s="1178">
        <v>110762</v>
      </c>
      <c r="S10" s="906">
        <f t="shared" si="6"/>
        <v>174928</v>
      </c>
      <c r="T10" s="906">
        <f t="shared" si="10"/>
        <v>87464</v>
      </c>
      <c r="U10" s="207">
        <f t="shared" si="7"/>
        <v>0.5137597173215841</v>
      </c>
    </row>
    <row r="11" spans="1:21" s="208" customFormat="1" x14ac:dyDescent="0.25">
      <c r="A11" s="21" t="s">
        <v>17</v>
      </c>
      <c r="B11" s="190">
        <v>25391</v>
      </c>
      <c r="C11" s="191">
        <v>29578</v>
      </c>
      <c r="D11" s="906">
        <f t="shared" si="0"/>
        <v>54969</v>
      </c>
      <c r="E11" s="906">
        <f t="shared" si="11"/>
        <v>27484.5</v>
      </c>
      <c r="F11" s="207">
        <f t="shared" si="1"/>
        <v>6.8505964282428902E-2</v>
      </c>
      <c r="G11" s="902"/>
      <c r="H11" s="222">
        <v>30791.05</v>
      </c>
      <c r="I11" s="906">
        <v>30791</v>
      </c>
      <c r="J11" s="906">
        <f t="shared" si="8"/>
        <v>15395.5</v>
      </c>
      <c r="K11" s="207">
        <v>0.24043159028251898</v>
      </c>
      <c r="L11" s="190">
        <v>203386.53</v>
      </c>
      <c r="M11" s="191">
        <v>283249.59999999998</v>
      </c>
      <c r="N11" s="906">
        <v>486637</v>
      </c>
      <c r="O11" s="906">
        <f t="shared" si="9"/>
        <v>243318.5</v>
      </c>
      <c r="P11" s="207">
        <v>2.7972954528456868</v>
      </c>
      <c r="Q11" s="1177">
        <v>9983.7900000000009</v>
      </c>
      <c r="R11" s="1178">
        <v>1410</v>
      </c>
      <c r="S11" s="906">
        <f t="shared" si="6"/>
        <v>11393.79</v>
      </c>
      <c r="T11" s="906">
        <f t="shared" si="10"/>
        <v>5696.8950000000004</v>
      </c>
      <c r="U11" s="207">
        <f t="shared" si="7"/>
        <v>3.346331250355284E-2</v>
      </c>
    </row>
    <row r="12" spans="1:21" s="208" customFormat="1" x14ac:dyDescent="0.25">
      <c r="A12" s="343" t="s">
        <v>205</v>
      </c>
      <c r="B12" s="190">
        <v>38915</v>
      </c>
      <c r="C12" s="191">
        <v>27417</v>
      </c>
      <c r="D12" s="906">
        <f t="shared" ref="D12:D13" si="12">B12+C12</f>
        <v>66332</v>
      </c>
      <c r="E12" s="906">
        <f t="shared" si="11"/>
        <v>33166</v>
      </c>
      <c r="F12" s="207">
        <f t="shared" si="1"/>
        <v>8.2667278334735472E-2</v>
      </c>
      <c r="G12" s="902"/>
      <c r="H12" s="222"/>
      <c r="I12" s="906">
        <f t="shared" ref="I12:I13" si="13">G12+H12</f>
        <v>0</v>
      </c>
      <c r="J12" s="906">
        <f t="shared" si="8"/>
        <v>0</v>
      </c>
      <c r="K12" s="207">
        <f t="shared" ref="K12:K13" si="14">100*J12/$J$15</f>
        <v>0</v>
      </c>
      <c r="L12" s="190"/>
      <c r="M12" s="191"/>
      <c r="N12" s="906">
        <f t="shared" ref="N12:N13" si="15">L12+M12</f>
        <v>0</v>
      </c>
      <c r="O12" s="906">
        <f t="shared" si="9"/>
        <v>0</v>
      </c>
      <c r="P12" s="207">
        <f t="shared" ref="P12:P13" si="16">100*O12/$O$15</f>
        <v>0</v>
      </c>
      <c r="Q12" s="1177">
        <v>8469</v>
      </c>
      <c r="R12" s="1178">
        <v>2872</v>
      </c>
      <c r="S12" s="906">
        <f t="shared" ref="S12:S13" si="17">Q12+R12</f>
        <v>11341</v>
      </c>
      <c r="T12" s="906">
        <f t="shared" si="10"/>
        <v>5670.5</v>
      </c>
      <c r="U12" s="207">
        <f t="shared" si="7"/>
        <v>3.3308269425958596E-2</v>
      </c>
    </row>
    <row r="13" spans="1:21" s="208" customFormat="1" x14ac:dyDescent="0.25">
      <c r="A13" s="22" t="s">
        <v>64</v>
      </c>
      <c r="B13" s="190">
        <v>0</v>
      </c>
      <c r="C13" s="191">
        <v>0</v>
      </c>
      <c r="D13" s="906">
        <f t="shared" si="12"/>
        <v>0</v>
      </c>
      <c r="E13" s="906">
        <f t="shared" si="11"/>
        <v>0</v>
      </c>
      <c r="F13" s="207">
        <f t="shared" si="1"/>
        <v>0</v>
      </c>
      <c r="G13" s="902"/>
      <c r="H13" s="222"/>
      <c r="I13" s="906">
        <f t="shared" si="13"/>
        <v>0</v>
      </c>
      <c r="J13" s="906">
        <f t="shared" si="8"/>
        <v>0</v>
      </c>
      <c r="K13" s="207">
        <f t="shared" si="14"/>
        <v>0</v>
      </c>
      <c r="L13" s="190"/>
      <c r="M13" s="191"/>
      <c r="N13" s="906">
        <f t="shared" si="15"/>
        <v>0</v>
      </c>
      <c r="O13" s="906">
        <f t="shared" si="9"/>
        <v>0</v>
      </c>
      <c r="P13" s="207">
        <f t="shared" si="16"/>
        <v>0</v>
      </c>
      <c r="Q13" s="1177">
        <v>1085563.58</v>
      </c>
      <c r="R13" s="1178">
        <v>675893.46</v>
      </c>
      <c r="S13" s="906">
        <f t="shared" si="17"/>
        <v>1761457.04</v>
      </c>
      <c r="T13" s="906">
        <f t="shared" si="10"/>
        <v>880728.52</v>
      </c>
      <c r="U13" s="207">
        <f t="shared" si="7"/>
        <v>5.1733608738710455</v>
      </c>
    </row>
    <row r="14" spans="1:21" s="208" customFormat="1" ht="15.75" thickBot="1" x14ac:dyDescent="0.3">
      <c r="A14" s="71" t="s">
        <v>2</v>
      </c>
      <c r="B14" s="907">
        <f>SUM(B4:B13)</f>
        <v>6893967</v>
      </c>
      <c r="C14" s="908">
        <f>SUM(C4:C13)</f>
        <v>7960674.2800000003</v>
      </c>
      <c r="D14" s="909">
        <f t="shared" ref="D14:U14" si="18">SUM(D4:D13)</f>
        <v>14854641.279999999</v>
      </c>
      <c r="E14" s="909">
        <f t="shared" si="18"/>
        <v>7427320.6399999997</v>
      </c>
      <c r="F14" s="224">
        <f t="shared" si="18"/>
        <v>18.512825864686899</v>
      </c>
      <c r="G14" s="903">
        <f t="shared" si="18"/>
        <v>1638068.26</v>
      </c>
      <c r="H14" s="904">
        <f t="shared" si="18"/>
        <v>1861659.78</v>
      </c>
      <c r="I14" s="909">
        <f t="shared" si="18"/>
        <v>3499727.99</v>
      </c>
      <c r="J14" s="909">
        <f t="shared" si="18"/>
        <v>1749863.9950000001</v>
      </c>
      <c r="K14" s="224">
        <f t="shared" si="18"/>
        <v>27.327633600465841</v>
      </c>
      <c r="L14" s="903">
        <f t="shared" si="18"/>
        <v>1609304.4000000001</v>
      </c>
      <c r="M14" s="904">
        <f t="shared" si="18"/>
        <v>2111837.54</v>
      </c>
      <c r="N14" s="909">
        <f t="shared" si="18"/>
        <v>3721142.81</v>
      </c>
      <c r="O14" s="909">
        <f t="shared" si="18"/>
        <v>1860571.405</v>
      </c>
      <c r="P14" s="224">
        <f t="shared" si="18"/>
        <v>21.389939239725752</v>
      </c>
      <c r="Q14" s="903">
        <f t="shared" si="18"/>
        <v>1600474.3900000001</v>
      </c>
      <c r="R14" s="903">
        <f t="shared" si="18"/>
        <v>1576472.46</v>
      </c>
      <c r="S14" s="909">
        <f t="shared" si="18"/>
        <v>3176946.85</v>
      </c>
      <c r="T14" s="909">
        <f t="shared" si="18"/>
        <v>1588473.425</v>
      </c>
      <c r="U14" s="224">
        <f t="shared" si="18"/>
        <v>9.330623545697069</v>
      </c>
    </row>
    <row r="15" spans="1:21" ht="15.75" thickBot="1" x14ac:dyDescent="0.3">
      <c r="A15" s="206" t="s">
        <v>90</v>
      </c>
      <c r="B15" s="910">
        <v>37408022.32</v>
      </c>
      <c r="C15" s="911">
        <v>42831706.549999997</v>
      </c>
      <c r="D15" s="912">
        <v>80239728.870000005</v>
      </c>
      <c r="E15" s="910">
        <v>40119864.435000002</v>
      </c>
      <c r="F15" s="910">
        <v>100.00000000000004</v>
      </c>
      <c r="G15" s="910">
        <v>5969435.5</v>
      </c>
      <c r="H15" s="910">
        <v>6837117.9000000004</v>
      </c>
      <c r="I15" s="910">
        <v>12806553.399999999</v>
      </c>
      <c r="J15" s="910">
        <v>6403276.6999999993</v>
      </c>
      <c r="K15" s="910">
        <v>100</v>
      </c>
      <c r="L15" s="910">
        <v>10178486.265000001</v>
      </c>
      <c r="M15" s="910">
        <v>7218210.2300000004</v>
      </c>
      <c r="N15" s="910">
        <v>17396696.495000001</v>
      </c>
      <c r="O15" s="910">
        <v>8698348.2475000005</v>
      </c>
      <c r="P15" s="910">
        <v>142.77988066377424</v>
      </c>
      <c r="Q15" s="910">
        <v>17046174.400000002</v>
      </c>
      <c r="R15" s="910">
        <v>17002427.329999998</v>
      </c>
      <c r="S15" s="910">
        <v>34048601.730000004</v>
      </c>
      <c r="T15" s="910">
        <v>17024300.865000002</v>
      </c>
      <c r="U15" s="910">
        <v>99.999999999999986</v>
      </c>
    </row>
    <row r="16" spans="1:21" x14ac:dyDescent="0.25">
      <c r="B16" s="152"/>
      <c r="C16" s="152"/>
      <c r="D16" s="209"/>
      <c r="E16" s="152"/>
      <c r="F16" s="152"/>
      <c r="G16" s="152"/>
      <c r="H16" s="152"/>
      <c r="I16" s="209"/>
      <c r="J16" s="152"/>
      <c r="K16" s="152"/>
      <c r="L16" s="152"/>
      <c r="M16" s="152"/>
      <c r="N16" s="209"/>
      <c r="R16" s="152"/>
      <c r="S16" s="209"/>
    </row>
    <row r="17" spans="1:21" ht="15" customHeight="1" x14ac:dyDescent="0.25">
      <c r="A17" s="50"/>
      <c r="B17" s="210"/>
      <c r="C17" s="210"/>
      <c r="D17" s="211"/>
      <c r="E17" s="211"/>
      <c r="F17" s="59"/>
      <c r="K17" s="59"/>
      <c r="P17" s="59" t="s">
        <v>133</v>
      </c>
    </row>
    <row r="18" spans="1:21" x14ac:dyDescent="0.25">
      <c r="A18" s="50"/>
      <c r="F18" s="59"/>
      <c r="K18" s="59"/>
      <c r="P18" s="59"/>
    </row>
    <row r="19" spans="1:21" ht="15.75" thickBot="1" x14ac:dyDescent="0.3">
      <c r="A19" s="1" t="s">
        <v>270</v>
      </c>
      <c r="F19" s="59"/>
      <c r="K19" s="59"/>
      <c r="P19" s="59"/>
    </row>
    <row r="20" spans="1:21" s="112" customFormat="1" x14ac:dyDescent="0.25">
      <c r="A20" s="510" t="s">
        <v>2</v>
      </c>
      <c r="B20" s="220"/>
      <c r="C20" s="221"/>
      <c r="D20" s="618">
        <f t="shared" ref="D20:U20" si="19">D3-D36</f>
        <v>1654340.6100000013</v>
      </c>
      <c r="E20" s="618">
        <f t="shared" si="19"/>
        <v>827170.30500000063</v>
      </c>
      <c r="F20" s="223">
        <f t="shared" si="19"/>
        <v>0.11282586468689715</v>
      </c>
      <c r="G20" s="220"/>
      <c r="H20" s="221"/>
      <c r="I20" s="618">
        <f t="shared" si="19"/>
        <v>166765.37000000011</v>
      </c>
      <c r="J20" s="618">
        <f t="shared" si="19"/>
        <v>83382.685000000056</v>
      </c>
      <c r="K20" s="223">
        <f t="shared" si="19"/>
        <v>-1.5423660091090525</v>
      </c>
      <c r="L20" s="227"/>
      <c r="M20" s="228"/>
      <c r="N20" s="618">
        <f t="shared" si="19"/>
        <v>970712.21999999974</v>
      </c>
      <c r="O20" s="618">
        <f t="shared" si="19"/>
        <v>485356.10999999987</v>
      </c>
      <c r="P20" s="223">
        <f t="shared" si="19"/>
        <v>7.7499342387762944</v>
      </c>
      <c r="Q20" s="227"/>
      <c r="R20" s="228"/>
      <c r="S20" s="618">
        <f t="shared" si="19"/>
        <v>-287210.66000000061</v>
      </c>
      <c r="T20" s="618">
        <f t="shared" si="19"/>
        <v>-143605.33000000031</v>
      </c>
      <c r="U20" s="223">
        <f t="shared" si="19"/>
        <v>-3.743111526345011</v>
      </c>
    </row>
    <row r="21" spans="1:21" s="208" customFormat="1" x14ac:dyDescent="0.25">
      <c r="A21" s="486" t="s">
        <v>6</v>
      </c>
      <c r="B21" s="569"/>
      <c r="C21" s="570"/>
      <c r="D21" s="906">
        <f t="shared" ref="D21:U21" si="20">D4-D37</f>
        <v>55946</v>
      </c>
      <c r="E21" s="906">
        <f t="shared" si="20"/>
        <v>27973</v>
      </c>
      <c r="F21" s="207">
        <f t="shared" si="20"/>
        <v>3.7479243841321452E-2</v>
      </c>
      <c r="G21" s="649"/>
      <c r="H21" s="650"/>
      <c r="I21" s="906">
        <f t="shared" si="20"/>
        <v>21600</v>
      </c>
      <c r="J21" s="906">
        <f t="shared" si="20"/>
        <v>10800</v>
      </c>
      <c r="K21" s="207">
        <f t="shared" si="20"/>
        <v>7.3239022237585161E-2</v>
      </c>
      <c r="L21" s="569"/>
      <c r="M21" s="570"/>
      <c r="N21" s="906">
        <f t="shared" si="20"/>
        <v>27284</v>
      </c>
      <c r="O21" s="906">
        <f t="shared" si="20"/>
        <v>13642</v>
      </c>
      <c r="P21" s="207">
        <f t="shared" si="20"/>
        <v>0.23937642423649363</v>
      </c>
      <c r="Q21" s="569"/>
      <c r="R21" s="570"/>
      <c r="S21" s="906">
        <f t="shared" si="20"/>
        <v>-66064</v>
      </c>
      <c r="T21" s="906">
        <f t="shared" si="20"/>
        <v>-33032</v>
      </c>
      <c r="U21" s="207">
        <f t="shared" si="20"/>
        <v>-0.35219412021034763</v>
      </c>
    </row>
    <row r="22" spans="1:21" s="208" customFormat="1" x14ac:dyDescent="0.25">
      <c r="A22" s="486" t="s">
        <v>3</v>
      </c>
      <c r="B22" s="569"/>
      <c r="C22" s="570"/>
      <c r="D22" s="906">
        <f t="shared" ref="D22:U22" si="21">D5-D38</f>
        <v>18099.810000000056</v>
      </c>
      <c r="E22" s="906">
        <f t="shared" si="21"/>
        <v>9049.9050000000279</v>
      </c>
      <c r="F22" s="207">
        <f t="shared" si="21"/>
        <v>-0.47856886096931994</v>
      </c>
      <c r="G22" s="651"/>
      <c r="H22" s="652"/>
      <c r="I22" s="906">
        <f t="shared" si="21"/>
        <v>7553</v>
      </c>
      <c r="J22" s="906">
        <f t="shared" si="21"/>
        <v>3776.5</v>
      </c>
      <c r="K22" s="207">
        <f t="shared" si="21"/>
        <v>-0.1854980028712454</v>
      </c>
      <c r="L22" s="653"/>
      <c r="M22" s="654"/>
      <c r="N22" s="906">
        <f t="shared" si="21"/>
        <v>943915.98</v>
      </c>
      <c r="O22" s="906">
        <f t="shared" si="21"/>
        <v>471957.99</v>
      </c>
      <c r="P22" s="207">
        <f t="shared" si="21"/>
        <v>6.558175649978879</v>
      </c>
      <c r="Q22" s="569"/>
      <c r="R22" s="570"/>
      <c r="S22" s="906">
        <f t="shared" si="21"/>
        <v>-5520</v>
      </c>
      <c r="T22" s="906">
        <f t="shared" si="21"/>
        <v>-2760</v>
      </c>
      <c r="U22" s="207">
        <f t="shared" si="21"/>
        <v>-7.5360370085259032E-2</v>
      </c>
    </row>
    <row r="23" spans="1:21" s="208" customFormat="1" x14ac:dyDescent="0.25">
      <c r="A23" s="486" t="s">
        <v>5</v>
      </c>
      <c r="B23" s="569"/>
      <c r="C23" s="570"/>
      <c r="D23" s="906">
        <f t="shared" ref="D23:U23" si="22">D6-D39</f>
        <v>641452.79999999981</v>
      </c>
      <c r="E23" s="906">
        <f t="shared" si="22"/>
        <v>320726.39999999991</v>
      </c>
      <c r="F23" s="207">
        <f t="shared" si="22"/>
        <v>0.22195113959888157</v>
      </c>
      <c r="G23" s="651"/>
      <c r="H23" s="652"/>
      <c r="I23" s="906">
        <f t="shared" si="22"/>
        <v>-11290.189999999944</v>
      </c>
      <c r="J23" s="906">
        <f t="shared" si="22"/>
        <v>-5645.0949999999721</v>
      </c>
      <c r="K23" s="207">
        <f t="shared" si="22"/>
        <v>-0.4256145516069636</v>
      </c>
      <c r="L23" s="653"/>
      <c r="M23" s="654"/>
      <c r="N23" s="906">
        <f t="shared" si="22"/>
        <v>57716.459999999963</v>
      </c>
      <c r="O23" s="906">
        <f t="shared" si="22"/>
        <v>28858.229999999981</v>
      </c>
      <c r="P23" s="207">
        <f t="shared" si="22"/>
        <v>0.65961613361240579</v>
      </c>
      <c r="Q23" s="569"/>
      <c r="R23" s="570"/>
      <c r="S23" s="906">
        <f t="shared" si="22"/>
        <v>32122.280000000028</v>
      </c>
      <c r="T23" s="906">
        <f t="shared" si="22"/>
        <v>16061.140000000014</v>
      </c>
      <c r="U23" s="207">
        <f t="shared" si="22"/>
        <v>-0.18595573815570288</v>
      </c>
    </row>
    <row r="24" spans="1:21" s="208" customFormat="1" x14ac:dyDescent="0.25">
      <c r="A24" s="486" t="s">
        <v>7</v>
      </c>
      <c r="B24" s="569"/>
      <c r="C24" s="570"/>
      <c r="D24" s="906">
        <f t="shared" ref="D24:U24" si="23">D7-D40</f>
        <v>278736.67000000004</v>
      </c>
      <c r="E24" s="906">
        <f t="shared" si="23"/>
        <v>139368.33500000002</v>
      </c>
      <c r="F24" s="207">
        <f t="shared" si="23"/>
        <v>0.29085859620509791</v>
      </c>
      <c r="G24" s="649"/>
      <c r="H24" s="650"/>
      <c r="I24" s="906">
        <f t="shared" si="23"/>
        <v>8403.5</v>
      </c>
      <c r="J24" s="906">
        <f t="shared" si="23"/>
        <v>4201.75</v>
      </c>
      <c r="K24" s="207">
        <f t="shared" si="23"/>
        <v>-0.25171854706441943</v>
      </c>
      <c r="L24" s="569"/>
      <c r="M24" s="570"/>
      <c r="N24" s="906">
        <f t="shared" si="23"/>
        <v>-18471.18</v>
      </c>
      <c r="O24" s="906">
        <f t="shared" si="23"/>
        <v>-9235.59</v>
      </c>
      <c r="P24" s="207">
        <f t="shared" si="23"/>
        <v>-7.9667788062189465E-2</v>
      </c>
      <c r="Q24" s="569"/>
      <c r="R24" s="570"/>
      <c r="S24" s="906">
        <f t="shared" si="23"/>
        <v>-9447</v>
      </c>
      <c r="T24" s="906">
        <f t="shared" si="23"/>
        <v>-4723.5</v>
      </c>
      <c r="U24" s="207">
        <f t="shared" si="23"/>
        <v>-4.3560350759502167E-2</v>
      </c>
    </row>
    <row r="25" spans="1:21" s="208" customFormat="1" x14ac:dyDescent="0.25">
      <c r="A25" s="486" t="s">
        <v>0</v>
      </c>
      <c r="B25" s="655"/>
      <c r="C25" s="656"/>
      <c r="D25" s="906">
        <f t="shared" ref="D25:U25" si="24">D8-D41</f>
        <v>493859</v>
      </c>
      <c r="E25" s="906">
        <f t="shared" si="24"/>
        <v>246929.5</v>
      </c>
      <c r="F25" s="207">
        <f t="shared" si="24"/>
        <v>0.3001628698723704</v>
      </c>
      <c r="G25" s="651"/>
      <c r="H25" s="652"/>
      <c r="I25" s="906">
        <f t="shared" si="24"/>
        <v>87580</v>
      </c>
      <c r="J25" s="906">
        <f t="shared" si="24"/>
        <v>43790</v>
      </c>
      <c r="K25" s="207">
        <f t="shared" si="24"/>
        <v>-0.30200603856658326</v>
      </c>
      <c r="L25" s="188"/>
      <c r="M25" s="230"/>
      <c r="N25" s="906">
        <f t="shared" si="24"/>
        <v>-275302</v>
      </c>
      <c r="O25" s="906">
        <f t="shared" si="24"/>
        <v>-137651</v>
      </c>
      <c r="P25" s="207">
        <f t="shared" si="24"/>
        <v>-1.2435319568760037</v>
      </c>
      <c r="Q25" s="188"/>
      <c r="R25" s="230"/>
      <c r="S25" s="906">
        <f t="shared" si="24"/>
        <v>378172</v>
      </c>
      <c r="T25" s="906">
        <f t="shared" si="24"/>
        <v>189086</v>
      </c>
      <c r="U25" s="207">
        <f t="shared" si="24"/>
        <v>0.95967637429236907</v>
      </c>
    </row>
    <row r="26" spans="1:21" s="208" customFormat="1" x14ac:dyDescent="0.25">
      <c r="A26" s="486" t="s">
        <v>1</v>
      </c>
      <c r="B26" s="655"/>
      <c r="C26" s="656"/>
      <c r="D26" s="906">
        <f t="shared" ref="D26:U26" si="25">D9-D42</f>
        <v>-53693</v>
      </c>
      <c r="E26" s="906">
        <f t="shared" si="25"/>
        <v>-26846.5</v>
      </c>
      <c r="F26" s="207">
        <f t="shared" si="25"/>
        <v>-0.36229922952778892</v>
      </c>
      <c r="G26" s="651"/>
      <c r="H26" s="652"/>
      <c r="I26" s="906">
        <f t="shared" si="25"/>
        <v>87662.540000000037</v>
      </c>
      <c r="J26" s="906">
        <f t="shared" si="25"/>
        <v>43831.270000000019</v>
      </c>
      <c r="K26" s="207">
        <f t="shared" si="25"/>
        <v>0.28857037064208502</v>
      </c>
      <c r="L26" s="569"/>
      <c r="M26" s="570"/>
      <c r="N26" s="906">
        <f t="shared" si="25"/>
        <v>12198.740000000002</v>
      </c>
      <c r="O26" s="906">
        <f t="shared" si="25"/>
        <v>6099.3700000000008</v>
      </c>
      <c r="P26" s="207">
        <f t="shared" si="25"/>
        <v>8.3053393620641E-2</v>
      </c>
      <c r="Q26" s="569"/>
      <c r="R26" s="570"/>
      <c r="S26" s="906">
        <f t="shared" si="25"/>
        <v>-33252.259999999995</v>
      </c>
      <c r="T26" s="906">
        <f t="shared" si="25"/>
        <v>-16626.129999999997</v>
      </c>
      <c r="U26" s="207">
        <f t="shared" si="25"/>
        <v>-0.20480934973523174</v>
      </c>
    </row>
    <row r="27" spans="1:21" s="208" customFormat="1" x14ac:dyDescent="0.25">
      <c r="A27" s="486" t="s">
        <v>4</v>
      </c>
      <c r="B27" s="569"/>
      <c r="C27" s="570"/>
      <c r="D27" s="906">
        <f t="shared" ref="D27:U27" si="26">D10-D43</f>
        <v>216089</v>
      </c>
      <c r="E27" s="906">
        <f t="shared" si="26"/>
        <v>108044.5</v>
      </c>
      <c r="F27" s="207">
        <f t="shared" si="26"/>
        <v>0.11578424969271017</v>
      </c>
      <c r="G27" s="651"/>
      <c r="H27" s="652"/>
      <c r="I27" s="906">
        <f t="shared" si="26"/>
        <v>-65534.859999999986</v>
      </c>
      <c r="J27" s="906">
        <f t="shared" si="26"/>
        <v>-32767.429999999993</v>
      </c>
      <c r="K27" s="207">
        <f t="shared" si="26"/>
        <v>-0.97977310103499526</v>
      </c>
      <c r="L27" s="569"/>
      <c r="M27" s="570"/>
      <c r="N27" s="906">
        <f t="shared" si="26"/>
        <v>-18023.190000000002</v>
      </c>
      <c r="O27" s="906">
        <f t="shared" si="26"/>
        <v>-9011.5950000000012</v>
      </c>
      <c r="P27" s="207">
        <f t="shared" si="26"/>
        <v>-4.8164226216627082E-2</v>
      </c>
      <c r="Q27" s="569"/>
      <c r="R27" s="570"/>
      <c r="S27" s="906">
        <f t="shared" si="26"/>
        <v>65312</v>
      </c>
      <c r="T27" s="906">
        <f t="shared" si="26"/>
        <v>32656</v>
      </c>
      <c r="U27" s="207">
        <f t="shared" si="26"/>
        <v>0.10006877359410421</v>
      </c>
    </row>
    <row r="28" spans="1:21" s="208" customFormat="1" x14ac:dyDescent="0.25">
      <c r="A28" s="486" t="s">
        <v>17</v>
      </c>
      <c r="B28" s="569"/>
      <c r="C28" s="570"/>
      <c r="D28" s="906">
        <f t="shared" ref="D28:U28" si="27">D11-D44</f>
        <v>20785</v>
      </c>
      <c r="E28" s="906">
        <f t="shared" si="27"/>
        <v>10392.5</v>
      </c>
      <c r="F28" s="207">
        <f t="shared" si="27"/>
        <v>2.085662539808969E-2</v>
      </c>
      <c r="G28" s="651"/>
      <c r="H28" s="652"/>
      <c r="I28" s="906">
        <f t="shared" si="27"/>
        <v>30791</v>
      </c>
      <c r="J28" s="906">
        <f t="shared" si="27"/>
        <v>15395.5</v>
      </c>
      <c r="K28" s="207">
        <f t="shared" si="27"/>
        <v>0.24043159028251898</v>
      </c>
      <c r="L28" s="569"/>
      <c r="M28" s="570"/>
      <c r="N28" s="906">
        <f t="shared" si="27"/>
        <v>256394</v>
      </c>
      <c r="O28" s="906">
        <f t="shared" si="27"/>
        <v>128197</v>
      </c>
      <c r="P28" s="207">
        <f t="shared" si="27"/>
        <v>1.6554685967862639</v>
      </c>
      <c r="Q28" s="569"/>
      <c r="R28" s="570"/>
      <c r="S28" s="906">
        <f t="shared" si="27"/>
        <v>-64682.21</v>
      </c>
      <c r="T28" s="906">
        <f t="shared" si="27"/>
        <v>-32341.105</v>
      </c>
      <c r="U28" s="207">
        <f t="shared" si="27"/>
        <v>-0.25364762235095523</v>
      </c>
    </row>
    <row r="29" spans="1:21" s="208" customFormat="1" x14ac:dyDescent="0.25">
      <c r="A29" s="500" t="s">
        <v>205</v>
      </c>
      <c r="B29" s="569"/>
      <c r="C29" s="570"/>
      <c r="D29" s="906">
        <f t="shared" ref="D29:U29" si="28">D12-D45</f>
        <v>-16935</v>
      </c>
      <c r="E29" s="906">
        <f t="shared" si="28"/>
        <v>-8467.5</v>
      </c>
      <c r="F29" s="207">
        <f t="shared" si="28"/>
        <v>-3.3399229413985376E-2</v>
      </c>
      <c r="G29" s="651"/>
      <c r="H29" s="652"/>
      <c r="I29" s="906">
        <f t="shared" si="28"/>
        <v>0</v>
      </c>
      <c r="J29" s="906">
        <f t="shared" si="28"/>
        <v>0</v>
      </c>
      <c r="K29" s="207">
        <f t="shared" si="28"/>
        <v>0</v>
      </c>
      <c r="L29" s="569"/>
      <c r="M29" s="570"/>
      <c r="N29" s="906">
        <f t="shared" si="28"/>
        <v>-15000</v>
      </c>
      <c r="O29" s="906">
        <f t="shared" si="28"/>
        <v>-7500</v>
      </c>
      <c r="P29" s="207">
        <f t="shared" si="28"/>
        <v>-7.4388375937124454E-2</v>
      </c>
      <c r="Q29" s="569"/>
      <c r="R29" s="570"/>
      <c r="S29" s="906">
        <f t="shared" si="28"/>
        <v>-15843</v>
      </c>
      <c r="T29" s="906">
        <f t="shared" si="28"/>
        <v>-7921.5</v>
      </c>
      <c r="U29" s="207">
        <f t="shared" si="28"/>
        <v>-6.9284186185337326E-2</v>
      </c>
    </row>
    <row r="30" spans="1:21" s="208" customFormat="1" x14ac:dyDescent="0.25">
      <c r="A30" s="517" t="s">
        <v>64</v>
      </c>
      <c r="B30" s="569"/>
      <c r="C30" s="570"/>
      <c r="D30" s="906">
        <f t="shared" ref="D30:U30" si="29">D13-D46</f>
        <v>0</v>
      </c>
      <c r="E30" s="906">
        <f t="shared" si="29"/>
        <v>0</v>
      </c>
      <c r="F30" s="207">
        <f t="shared" si="29"/>
        <v>0</v>
      </c>
      <c r="G30" s="651"/>
      <c r="H30" s="652"/>
      <c r="I30" s="906">
        <f t="shared" si="29"/>
        <v>0</v>
      </c>
      <c r="J30" s="906">
        <f t="shared" si="29"/>
        <v>0</v>
      </c>
      <c r="K30" s="207">
        <f t="shared" si="29"/>
        <v>0</v>
      </c>
      <c r="L30" s="569"/>
      <c r="M30" s="570"/>
      <c r="N30" s="906">
        <f t="shared" si="29"/>
        <v>0</v>
      </c>
      <c r="O30" s="906">
        <f t="shared" si="29"/>
        <v>0</v>
      </c>
      <c r="P30" s="207">
        <f t="shared" si="29"/>
        <v>0</v>
      </c>
      <c r="Q30" s="569"/>
      <c r="R30" s="570"/>
      <c r="S30" s="906">
        <f t="shared" si="29"/>
        <v>-568006.96</v>
      </c>
      <c r="T30" s="906">
        <f t="shared" si="29"/>
        <v>-284003.48</v>
      </c>
      <c r="U30" s="207">
        <f t="shared" si="29"/>
        <v>-3.6180396565185884</v>
      </c>
    </row>
    <row r="31" spans="1:21" s="208" customFormat="1" ht="15.75" thickBot="1" x14ac:dyDescent="0.3">
      <c r="A31" s="258" t="s">
        <v>2</v>
      </c>
      <c r="B31" s="231"/>
      <c r="C31" s="232"/>
      <c r="D31" s="909">
        <f t="shared" ref="D31:U31" si="30">SUM(D21:D30)</f>
        <v>1654340.2799999998</v>
      </c>
      <c r="E31" s="909">
        <f t="shared" si="30"/>
        <v>827170.1399999999</v>
      </c>
      <c r="F31" s="224">
        <f t="shared" si="30"/>
        <v>0.11282540469737695</v>
      </c>
      <c r="G31" s="225"/>
      <c r="H31" s="226"/>
      <c r="I31" s="909">
        <f t="shared" si="30"/>
        <v>166764.99000000011</v>
      </c>
      <c r="J31" s="909">
        <f t="shared" si="30"/>
        <v>83382.495000000054</v>
      </c>
      <c r="K31" s="224">
        <f t="shared" si="30"/>
        <v>-1.5423692579820178</v>
      </c>
      <c r="L31" s="231"/>
      <c r="M31" s="232"/>
      <c r="N31" s="909">
        <f t="shared" si="30"/>
        <v>970712.80999999982</v>
      </c>
      <c r="O31" s="909">
        <f t="shared" si="30"/>
        <v>485356.40499999991</v>
      </c>
      <c r="P31" s="224">
        <f t="shared" si="30"/>
        <v>7.7499378511427386</v>
      </c>
      <c r="Q31" s="231"/>
      <c r="R31" s="232"/>
      <c r="S31" s="909">
        <f t="shared" si="30"/>
        <v>-287209.14999999997</v>
      </c>
      <c r="T31" s="909">
        <f t="shared" si="30"/>
        <v>-143604.57499999998</v>
      </c>
      <c r="U31" s="224">
        <f t="shared" si="30"/>
        <v>-3.7431062461144511</v>
      </c>
    </row>
    <row r="32" spans="1:21" x14ac:dyDescent="0.25">
      <c r="A32" s="50"/>
      <c r="F32" s="59"/>
      <c r="K32" s="59"/>
      <c r="P32" s="59"/>
    </row>
    <row r="33" spans="1:21" x14ac:dyDescent="0.25">
      <c r="A33" s="50"/>
      <c r="F33" s="59"/>
      <c r="K33" s="59"/>
      <c r="P33" s="59"/>
    </row>
    <row r="35" spans="1:21" ht="15.75" thickBot="1" x14ac:dyDescent="0.3">
      <c r="A35" s="109" t="s">
        <v>229</v>
      </c>
    </row>
    <row r="36" spans="1:21" s="112" customFormat="1" x14ac:dyDescent="0.25">
      <c r="A36" s="510" t="s">
        <v>2</v>
      </c>
      <c r="B36" s="220"/>
      <c r="C36" s="221"/>
      <c r="D36" s="618">
        <v>13200300.67</v>
      </c>
      <c r="E36" s="618">
        <f>D36/2</f>
        <v>6600150.335</v>
      </c>
      <c r="F36" s="223">
        <v>18.399999999999999</v>
      </c>
      <c r="G36" s="220"/>
      <c r="H36" s="221"/>
      <c r="I36" s="618">
        <v>3332962.67</v>
      </c>
      <c r="J36" s="618">
        <f t="shared" ref="J36:J46" si="31">I36/2</f>
        <v>1666481.335</v>
      </c>
      <c r="K36" s="223">
        <v>28.87</v>
      </c>
      <c r="L36" s="227"/>
      <c r="M36" s="228"/>
      <c r="N36" s="618">
        <v>2750429.7200000007</v>
      </c>
      <c r="O36" s="618">
        <f t="shared" ref="O36:O46" si="32">N36/2</f>
        <v>1375214.8600000003</v>
      </c>
      <c r="P36" s="223">
        <v>13.64</v>
      </c>
      <c r="Q36" s="227"/>
      <c r="R36" s="228"/>
      <c r="S36" s="618">
        <v>3464157.0100000007</v>
      </c>
      <c r="T36" s="618">
        <v>1732078.5050000004</v>
      </c>
      <c r="U36" s="223">
        <v>13.073733603552995</v>
      </c>
    </row>
    <row r="37" spans="1:21" s="208" customFormat="1" x14ac:dyDescent="0.25">
      <c r="A37" s="486" t="s">
        <v>6</v>
      </c>
      <c r="B37" s="569"/>
      <c r="C37" s="570"/>
      <c r="D37" s="906">
        <v>218395</v>
      </c>
      <c r="E37" s="906">
        <f t="shared" ref="E37:E46" si="33">D37/2</f>
        <v>109197.5</v>
      </c>
      <c r="F37" s="207">
        <f>E37/E$36*F$36</f>
        <v>0.30442245979537974</v>
      </c>
      <c r="G37" s="649"/>
      <c r="H37" s="650"/>
      <c r="I37" s="906">
        <v>111809</v>
      </c>
      <c r="J37" s="906">
        <f t="shared" si="31"/>
        <v>55904.5</v>
      </c>
      <c r="K37" s="207">
        <f>J37/J$36*K$36</f>
        <v>0.96848544361284428</v>
      </c>
      <c r="L37" s="569"/>
      <c r="M37" s="570"/>
      <c r="N37" s="906">
        <v>104617</v>
      </c>
      <c r="O37" s="906">
        <f t="shared" si="32"/>
        <v>52308.5</v>
      </c>
      <c r="P37" s="207">
        <f>O37/O$36*P$36</f>
        <v>0.51881924836094329</v>
      </c>
      <c r="Q37" s="569"/>
      <c r="R37" s="570"/>
      <c r="S37" s="906">
        <v>188962</v>
      </c>
      <c r="T37" s="906">
        <f t="shared" ref="T37:T46" si="34">S37/2</f>
        <v>94481</v>
      </c>
      <c r="U37" s="207">
        <f t="shared" ref="U37:U46" si="35">T37/T$36*U$36</f>
        <v>0.71314286334688404</v>
      </c>
    </row>
    <row r="38" spans="1:21" s="208" customFormat="1" x14ac:dyDescent="0.25">
      <c r="A38" s="486" t="s">
        <v>3</v>
      </c>
      <c r="B38" s="569"/>
      <c r="C38" s="570"/>
      <c r="D38" s="906">
        <v>3394192</v>
      </c>
      <c r="E38" s="906">
        <f t="shared" si="33"/>
        <v>1697096</v>
      </c>
      <c r="F38" s="207">
        <f t="shared" ref="F38:F46" si="36">E38/E$36*F$36</f>
        <v>4.7311901722008267</v>
      </c>
      <c r="G38" s="651"/>
      <c r="H38" s="652"/>
      <c r="I38" s="906">
        <v>286452</v>
      </c>
      <c r="J38" s="906">
        <f t="shared" si="31"/>
        <v>143226</v>
      </c>
      <c r="K38" s="207">
        <f t="shared" ref="K38:K46" si="37">J38/J$36*K$36</f>
        <v>2.4812366830379173</v>
      </c>
      <c r="L38" s="653"/>
      <c r="M38" s="654"/>
      <c r="N38" s="906">
        <v>1435173</v>
      </c>
      <c r="O38" s="906">
        <f t="shared" si="32"/>
        <v>717586.5</v>
      </c>
      <c r="P38" s="207">
        <f t="shared" ref="P38:P46" si="38">O38/O$36*P$36</f>
        <v>7.1173459105873809</v>
      </c>
      <c r="Q38" s="569"/>
      <c r="R38" s="570"/>
      <c r="S38" s="906">
        <v>70665</v>
      </c>
      <c r="T38" s="906">
        <f t="shared" si="34"/>
        <v>35332.5</v>
      </c>
      <c r="U38" s="207">
        <f t="shared" si="35"/>
        <v>0.26668981296984351</v>
      </c>
    </row>
    <row r="39" spans="1:21" s="208" customFormat="1" x14ac:dyDescent="0.25">
      <c r="A39" s="486" t="s">
        <v>5</v>
      </c>
      <c r="B39" s="569"/>
      <c r="C39" s="570"/>
      <c r="D39" s="906">
        <v>3911275</v>
      </c>
      <c r="E39" s="906">
        <f t="shared" si="33"/>
        <v>1955637.5</v>
      </c>
      <c r="F39" s="207">
        <f t="shared" si="36"/>
        <v>5.4519561182086305</v>
      </c>
      <c r="G39" s="651"/>
      <c r="H39" s="652"/>
      <c r="I39" s="906">
        <v>395396</v>
      </c>
      <c r="J39" s="906">
        <f t="shared" si="31"/>
        <v>197698</v>
      </c>
      <c r="K39" s="207">
        <f t="shared" si="37"/>
        <v>3.424905602078046</v>
      </c>
      <c r="L39" s="653"/>
      <c r="M39" s="654"/>
      <c r="N39" s="906">
        <v>415529</v>
      </c>
      <c r="O39" s="906">
        <f t="shared" si="32"/>
        <v>207764.5</v>
      </c>
      <c r="P39" s="207">
        <f t="shared" si="38"/>
        <v>2.0607018309851592</v>
      </c>
      <c r="Q39" s="569"/>
      <c r="R39" s="570"/>
      <c r="S39" s="906">
        <v>334875</v>
      </c>
      <c r="T39" s="906">
        <f t="shared" si="34"/>
        <v>167437.5</v>
      </c>
      <c r="U39" s="207">
        <f t="shared" si="35"/>
        <v>1.2638187379647114</v>
      </c>
    </row>
    <row r="40" spans="1:21" s="208" customFormat="1" x14ac:dyDescent="0.25">
      <c r="A40" s="486" t="s">
        <v>7</v>
      </c>
      <c r="B40" s="569"/>
      <c r="C40" s="570"/>
      <c r="D40" s="906">
        <v>382826</v>
      </c>
      <c r="E40" s="906">
        <f t="shared" si="33"/>
        <v>191413</v>
      </c>
      <c r="F40" s="207">
        <f t="shared" si="36"/>
        <v>0.53362408751860646</v>
      </c>
      <c r="G40" s="649"/>
      <c r="H40" s="650"/>
      <c r="I40" s="906">
        <v>371824</v>
      </c>
      <c r="J40" s="906">
        <f t="shared" si="31"/>
        <v>185912</v>
      </c>
      <c r="K40" s="207">
        <f t="shared" si="37"/>
        <v>3.2207258054888448</v>
      </c>
      <c r="L40" s="569"/>
      <c r="M40" s="570"/>
      <c r="N40" s="906">
        <v>33598</v>
      </c>
      <c r="O40" s="906">
        <f t="shared" si="32"/>
        <v>16799</v>
      </c>
      <c r="P40" s="207">
        <f t="shared" si="38"/>
        <v>0.16662004364903385</v>
      </c>
      <c r="Q40" s="569"/>
      <c r="R40" s="570"/>
      <c r="S40" s="906">
        <v>18894</v>
      </c>
      <c r="T40" s="906">
        <f t="shared" si="34"/>
        <v>9447</v>
      </c>
      <c r="U40" s="207">
        <f t="shared" si="35"/>
        <v>7.1305983531482667E-2</v>
      </c>
    </row>
    <row r="41" spans="1:21" s="208" customFormat="1" x14ac:dyDescent="0.25">
      <c r="A41" s="486" t="s">
        <v>0</v>
      </c>
      <c r="B41" s="655"/>
      <c r="C41" s="656"/>
      <c r="D41" s="906">
        <v>2135680</v>
      </c>
      <c r="E41" s="906">
        <f t="shared" si="33"/>
        <v>1067840</v>
      </c>
      <c r="F41" s="207">
        <f t="shared" si="36"/>
        <v>2.9769406760035566</v>
      </c>
      <c r="G41" s="651"/>
      <c r="H41" s="652"/>
      <c r="I41" s="906">
        <v>1155149</v>
      </c>
      <c r="J41" s="906">
        <f t="shared" si="31"/>
        <v>577574.5</v>
      </c>
      <c r="K41" s="207">
        <f t="shared" si="37"/>
        <v>10.005858130418245</v>
      </c>
      <c r="L41" s="188"/>
      <c r="M41" s="230"/>
      <c r="N41" s="906">
        <v>429616</v>
      </c>
      <c r="O41" s="906">
        <f t="shared" si="32"/>
        <v>214808</v>
      </c>
      <c r="P41" s="207">
        <f t="shared" si="38"/>
        <v>2.1305624344402441</v>
      </c>
      <c r="Q41" s="188"/>
      <c r="R41" s="230"/>
      <c r="S41" s="906">
        <v>180409</v>
      </c>
      <c r="T41" s="906">
        <f t="shared" si="34"/>
        <v>90204.5</v>
      </c>
      <c r="U41" s="207">
        <f t="shared" si="35"/>
        <v>0.68086382888383912</v>
      </c>
    </row>
    <row r="42" spans="1:21" s="208" customFormat="1" x14ac:dyDescent="0.25">
      <c r="A42" s="486" t="s">
        <v>1</v>
      </c>
      <c r="B42" s="655"/>
      <c r="C42" s="656"/>
      <c r="D42" s="906">
        <v>2000671</v>
      </c>
      <c r="E42" s="906">
        <f t="shared" si="33"/>
        <v>1000335.5</v>
      </c>
      <c r="F42" s="207">
        <f t="shared" si="36"/>
        <v>2.78875059896647</v>
      </c>
      <c r="G42" s="651"/>
      <c r="H42" s="652"/>
      <c r="I42" s="906">
        <v>463926</v>
      </c>
      <c r="J42" s="906">
        <f t="shared" si="31"/>
        <v>231963</v>
      </c>
      <c r="K42" s="207">
        <f t="shared" si="37"/>
        <v>4.01850994028685</v>
      </c>
      <c r="L42" s="569"/>
      <c r="M42" s="570"/>
      <c r="N42" s="906">
        <v>16391</v>
      </c>
      <c r="O42" s="906">
        <f t="shared" si="32"/>
        <v>8195.5</v>
      </c>
      <c r="P42" s="207">
        <f t="shared" si="38"/>
        <v>8.1286657999027137E-2</v>
      </c>
      <c r="Q42" s="569"/>
      <c r="R42" s="570"/>
      <c r="S42" s="906">
        <v>128011</v>
      </c>
      <c r="T42" s="906">
        <f t="shared" si="34"/>
        <v>64005.5</v>
      </c>
      <c r="U42" s="207">
        <f t="shared" si="35"/>
        <v>0.48311370053184222</v>
      </c>
    </row>
    <row r="43" spans="1:21" s="208" customFormat="1" x14ac:dyDescent="0.25">
      <c r="A43" s="486" t="s">
        <v>4</v>
      </c>
      <c r="B43" s="569"/>
      <c r="C43" s="570"/>
      <c r="D43" s="906">
        <v>1039811</v>
      </c>
      <c r="E43" s="906">
        <f t="shared" si="33"/>
        <v>519905.5</v>
      </c>
      <c r="F43" s="207">
        <f t="shared" si="36"/>
        <v>1.4494005006629898</v>
      </c>
      <c r="G43" s="651"/>
      <c r="H43" s="652"/>
      <c r="I43" s="906">
        <v>548407</v>
      </c>
      <c r="J43" s="906">
        <f t="shared" si="31"/>
        <v>274203.5</v>
      </c>
      <c r="K43" s="207">
        <f t="shared" si="37"/>
        <v>4.7502812535251104</v>
      </c>
      <c r="L43" s="569"/>
      <c r="M43" s="570"/>
      <c r="N43" s="906">
        <v>70263</v>
      </c>
      <c r="O43" s="906">
        <f t="shared" si="32"/>
        <v>35131.5</v>
      </c>
      <c r="P43" s="207">
        <f t="shared" si="38"/>
        <v>0.34845003056467838</v>
      </c>
      <c r="Q43" s="569"/>
      <c r="R43" s="570"/>
      <c r="S43" s="906">
        <v>109616</v>
      </c>
      <c r="T43" s="906">
        <f t="shared" si="34"/>
        <v>54808</v>
      </c>
      <c r="U43" s="207">
        <f t="shared" si="35"/>
        <v>0.41369094372747989</v>
      </c>
    </row>
    <row r="44" spans="1:21" s="208" customFormat="1" x14ac:dyDescent="0.25">
      <c r="A44" s="486" t="s">
        <v>17</v>
      </c>
      <c r="B44" s="569"/>
      <c r="C44" s="570"/>
      <c r="D44" s="906">
        <v>34184</v>
      </c>
      <c r="E44" s="906">
        <f t="shared" si="33"/>
        <v>17092</v>
      </c>
      <c r="F44" s="207">
        <f t="shared" si="36"/>
        <v>4.7649338884339212E-2</v>
      </c>
      <c r="G44" s="651"/>
      <c r="H44" s="652"/>
      <c r="I44" s="906">
        <v>0</v>
      </c>
      <c r="J44" s="906">
        <f t="shared" si="31"/>
        <v>0</v>
      </c>
      <c r="K44" s="207">
        <f t="shared" si="37"/>
        <v>0</v>
      </c>
      <c r="L44" s="569"/>
      <c r="M44" s="570"/>
      <c r="N44" s="906">
        <v>230243</v>
      </c>
      <c r="O44" s="906">
        <f t="shared" si="32"/>
        <v>115121.5</v>
      </c>
      <c r="P44" s="207">
        <f t="shared" si="38"/>
        <v>1.1418268560594229</v>
      </c>
      <c r="Q44" s="569"/>
      <c r="R44" s="570"/>
      <c r="S44" s="906">
        <v>76076</v>
      </c>
      <c r="T44" s="906">
        <f t="shared" si="34"/>
        <v>38038</v>
      </c>
      <c r="U44" s="207">
        <f t="shared" si="35"/>
        <v>0.28711093485450806</v>
      </c>
    </row>
    <row r="45" spans="1:21" s="208" customFormat="1" x14ac:dyDescent="0.25">
      <c r="A45" s="500" t="s">
        <v>205</v>
      </c>
      <c r="B45" s="569"/>
      <c r="C45" s="570"/>
      <c r="D45" s="906">
        <v>83267</v>
      </c>
      <c r="E45" s="906">
        <f t="shared" si="33"/>
        <v>41633.5</v>
      </c>
      <c r="F45" s="207">
        <f t="shared" si="36"/>
        <v>0.11606650774872085</v>
      </c>
      <c r="G45" s="651"/>
      <c r="H45" s="652"/>
      <c r="I45" s="906">
        <v>0</v>
      </c>
      <c r="J45" s="906">
        <f t="shared" si="31"/>
        <v>0</v>
      </c>
      <c r="K45" s="207">
        <f t="shared" si="37"/>
        <v>0</v>
      </c>
      <c r="L45" s="569"/>
      <c r="M45" s="570"/>
      <c r="N45" s="906">
        <v>15000</v>
      </c>
      <c r="O45" s="906">
        <f t="shared" si="32"/>
        <v>7500</v>
      </c>
      <c r="P45" s="207">
        <f t="shared" si="38"/>
        <v>7.4388375937124454E-2</v>
      </c>
      <c r="Q45" s="569"/>
      <c r="R45" s="570"/>
      <c r="S45" s="906">
        <v>27184</v>
      </c>
      <c r="T45" s="906">
        <f t="shared" si="34"/>
        <v>13592</v>
      </c>
      <c r="U45" s="207">
        <f t="shared" si="35"/>
        <v>0.10259245561129592</v>
      </c>
    </row>
    <row r="46" spans="1:21" s="208" customFormat="1" x14ac:dyDescent="0.25">
      <c r="A46" s="517" t="s">
        <v>64</v>
      </c>
      <c r="B46" s="569"/>
      <c r="C46" s="570"/>
      <c r="D46" s="906">
        <v>0</v>
      </c>
      <c r="E46" s="906">
        <f t="shared" si="33"/>
        <v>0</v>
      </c>
      <c r="F46" s="207">
        <f t="shared" si="36"/>
        <v>0</v>
      </c>
      <c r="G46" s="651"/>
      <c r="H46" s="652"/>
      <c r="I46" s="906">
        <v>0</v>
      </c>
      <c r="J46" s="906">
        <f t="shared" si="31"/>
        <v>0</v>
      </c>
      <c r="K46" s="207">
        <f t="shared" si="37"/>
        <v>0</v>
      </c>
      <c r="L46" s="569"/>
      <c r="M46" s="570"/>
      <c r="N46" s="906">
        <v>0</v>
      </c>
      <c r="O46" s="906">
        <f t="shared" si="32"/>
        <v>0</v>
      </c>
      <c r="P46" s="207">
        <f t="shared" si="38"/>
        <v>0</v>
      </c>
      <c r="Q46" s="569"/>
      <c r="R46" s="570"/>
      <c r="S46" s="906">
        <v>2329464</v>
      </c>
      <c r="T46" s="906">
        <f t="shared" si="34"/>
        <v>1164732</v>
      </c>
      <c r="U46" s="207">
        <f t="shared" si="35"/>
        <v>8.7914005303896339</v>
      </c>
    </row>
    <row r="47" spans="1:21" s="208" customFormat="1" ht="15.75" thickBot="1" x14ac:dyDescent="0.3">
      <c r="A47" s="258" t="s">
        <v>2</v>
      </c>
      <c r="B47" s="231">
        <f>SUM(B37:B46)</f>
        <v>0</v>
      </c>
      <c r="C47" s="232">
        <f t="shared" ref="C47:U47" si="39">SUM(C37:C46)</f>
        <v>0</v>
      </c>
      <c r="D47" s="909">
        <f t="shared" si="39"/>
        <v>13200301</v>
      </c>
      <c r="E47" s="909">
        <f t="shared" si="39"/>
        <v>6600150.5</v>
      </c>
      <c r="F47" s="224">
        <f t="shared" si="39"/>
        <v>18.400000459989521</v>
      </c>
      <c r="G47" s="225">
        <f t="shared" si="39"/>
        <v>0</v>
      </c>
      <c r="H47" s="226">
        <f t="shared" si="39"/>
        <v>0</v>
      </c>
      <c r="I47" s="909">
        <f t="shared" si="39"/>
        <v>3332963</v>
      </c>
      <c r="J47" s="909">
        <f t="shared" si="39"/>
        <v>1666481.5</v>
      </c>
      <c r="K47" s="224">
        <f t="shared" si="39"/>
        <v>28.870002858447858</v>
      </c>
      <c r="L47" s="231">
        <f t="shared" si="39"/>
        <v>0</v>
      </c>
      <c r="M47" s="232">
        <f t="shared" si="39"/>
        <v>0</v>
      </c>
      <c r="N47" s="909">
        <f t="shared" si="39"/>
        <v>2750430</v>
      </c>
      <c r="O47" s="909">
        <f t="shared" si="39"/>
        <v>1375215</v>
      </c>
      <c r="P47" s="224">
        <f t="shared" si="39"/>
        <v>13.640001388583013</v>
      </c>
      <c r="Q47" s="231">
        <f t="shared" si="39"/>
        <v>0</v>
      </c>
      <c r="R47" s="232">
        <f t="shared" si="39"/>
        <v>0</v>
      </c>
      <c r="S47" s="909">
        <f t="shared" si="39"/>
        <v>3464156</v>
      </c>
      <c r="T47" s="909">
        <f t="shared" si="39"/>
        <v>1732078</v>
      </c>
      <c r="U47" s="224">
        <f t="shared" si="39"/>
        <v>13.073729791811521</v>
      </c>
    </row>
  </sheetData>
  <sheetProtection algorithmName="SHA-512" hashValue="c3KZUqdujNkX9QSyXe2iTeCO5WIPz3dBYMoKrK8fPV0uoFTV8nsLRF2Sp5cjJdJMX82mRnXYqCnAYlbeZSDr6w==" saltValue="3FHso8GPbpo707JSf2QP9w==" spinCount="100000" sheet="1" objects="1" scenarios="1"/>
  <mergeCells count="5">
    <mergeCell ref="A1:A2"/>
    <mergeCell ref="B1:F1"/>
    <mergeCell ref="G1:K1"/>
    <mergeCell ref="L1:P1"/>
    <mergeCell ref="Q1:U1"/>
  </mergeCells>
  <conditionalFormatting sqref="A20:XFD31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RowHeight="15" x14ac:dyDescent="0.25"/>
  <cols>
    <col min="1" max="1" width="47.28515625" customWidth="1"/>
    <col min="2" max="12" width="12" customWidth="1"/>
  </cols>
  <sheetData>
    <row r="1" spans="1:12" ht="15.75" thickBot="1" x14ac:dyDescent="0.3"/>
    <row r="2" spans="1:12" ht="60.75" thickBot="1" x14ac:dyDescent="0.3">
      <c r="A2" s="918"/>
      <c r="B2" s="925" t="s">
        <v>365</v>
      </c>
      <c r="C2" s="926" t="s">
        <v>361</v>
      </c>
      <c r="D2" s="926" t="s">
        <v>362</v>
      </c>
      <c r="E2" s="927" t="s">
        <v>366</v>
      </c>
      <c r="F2" s="926" t="s">
        <v>363</v>
      </c>
      <c r="G2" s="927" t="s">
        <v>367</v>
      </c>
      <c r="H2" s="927" t="s">
        <v>368</v>
      </c>
      <c r="I2" s="927" t="s">
        <v>364</v>
      </c>
      <c r="J2" s="926" t="s">
        <v>344</v>
      </c>
      <c r="K2" s="927" t="s">
        <v>345</v>
      </c>
      <c r="L2" s="928" t="s">
        <v>369</v>
      </c>
    </row>
    <row r="3" spans="1:12" x14ac:dyDescent="0.25">
      <c r="A3" s="510" t="s">
        <v>2</v>
      </c>
      <c r="B3" s="929">
        <v>399423.87</v>
      </c>
      <c r="C3" s="930">
        <v>0</v>
      </c>
      <c r="D3" s="930">
        <v>500770</v>
      </c>
      <c r="E3" s="930">
        <v>357440.42000000004</v>
      </c>
      <c r="F3" s="930">
        <v>41983.45</v>
      </c>
      <c r="G3" s="930">
        <v>109849.58</v>
      </c>
      <c r="H3" s="930">
        <v>467290</v>
      </c>
      <c r="I3" s="931">
        <v>432903.87</v>
      </c>
      <c r="J3" s="931"/>
      <c r="K3" s="931">
        <v>212669</v>
      </c>
      <c r="L3" s="931">
        <v>212669</v>
      </c>
    </row>
    <row r="4" spans="1:12" x14ac:dyDescent="0.25">
      <c r="A4" s="486" t="s">
        <v>6</v>
      </c>
      <c r="B4" s="932">
        <v>52845.31</v>
      </c>
      <c r="C4" s="919">
        <v>0</v>
      </c>
      <c r="D4" s="919">
        <v>64283</v>
      </c>
      <c r="E4" s="919">
        <v>52845.31</v>
      </c>
      <c r="F4" s="919">
        <v>0</v>
      </c>
      <c r="G4" s="919">
        <v>7524.69</v>
      </c>
      <c r="H4" s="919">
        <f>E4+G4</f>
        <v>60370</v>
      </c>
      <c r="I4" s="823">
        <f>B4+D4-H4</f>
        <v>56758.31</v>
      </c>
      <c r="J4" s="936">
        <f>H4/H$3</f>
        <v>0.12919172248496652</v>
      </c>
      <c r="K4" s="823">
        <f>J4*(K$3+I$3)-I4</f>
        <v>26644.361064863377</v>
      </c>
      <c r="L4" s="933">
        <f>IF(K4&gt;0,K4*K$3/K$15,0)</f>
        <v>25360.917383681983</v>
      </c>
    </row>
    <row r="5" spans="1:12" x14ac:dyDescent="0.25">
      <c r="A5" s="486" t="s">
        <v>3</v>
      </c>
      <c r="B5" s="932">
        <v>79095.869999999966</v>
      </c>
      <c r="C5" s="919">
        <v>0</v>
      </c>
      <c r="D5" s="919">
        <v>43466</v>
      </c>
      <c r="E5" s="919">
        <v>76400</v>
      </c>
      <c r="F5" s="919">
        <v>2695.8699999999662</v>
      </c>
      <c r="G5" s="919">
        <v>0</v>
      </c>
      <c r="H5" s="919">
        <f t="shared" ref="H5:H13" si="0">E5+G5</f>
        <v>76400</v>
      </c>
      <c r="I5" s="823">
        <f t="shared" ref="I5:I13" si="1">B5+D5-H5</f>
        <v>46161.869999999966</v>
      </c>
      <c r="J5" s="936">
        <f t="shared" ref="J5:J13" si="2">H5/H$3</f>
        <v>0.16349590190245886</v>
      </c>
      <c r="K5" s="823">
        <f t="shared" ref="K5:K13" si="3">J5*(K$3+I$3)-I5</f>
        <v>59386.648624408859</v>
      </c>
      <c r="L5" s="933">
        <f t="shared" ref="L5:L13" si="4">IF(K5&gt;0,K5*K$3/K$15,0)</f>
        <v>56526.027619537024</v>
      </c>
    </row>
    <row r="6" spans="1:12" x14ac:dyDescent="0.25">
      <c r="A6" s="486" t="s">
        <v>5</v>
      </c>
      <c r="B6" s="932">
        <v>56606</v>
      </c>
      <c r="C6" s="919">
        <v>0</v>
      </c>
      <c r="D6" s="919">
        <v>180494</v>
      </c>
      <c r="E6" s="919">
        <v>56606</v>
      </c>
      <c r="F6" s="919">
        <v>0</v>
      </c>
      <c r="G6" s="919">
        <v>39869</v>
      </c>
      <c r="H6" s="919">
        <f t="shared" si="0"/>
        <v>96475</v>
      </c>
      <c r="I6" s="823">
        <f t="shared" si="1"/>
        <v>140625</v>
      </c>
      <c r="J6" s="936">
        <f t="shared" si="2"/>
        <v>0.20645637612617432</v>
      </c>
      <c r="K6" s="823">
        <f t="shared" si="3"/>
        <v>-7342.3647344261699</v>
      </c>
      <c r="L6" s="933">
        <f t="shared" si="4"/>
        <v>0</v>
      </c>
    </row>
    <row r="7" spans="1:12" x14ac:dyDescent="0.25">
      <c r="A7" s="486" t="s">
        <v>7</v>
      </c>
      <c r="B7" s="932">
        <v>21145.770000000033</v>
      </c>
      <c r="C7" s="919">
        <v>0</v>
      </c>
      <c r="D7" s="919">
        <v>59678</v>
      </c>
      <c r="E7" s="919">
        <v>21145.77</v>
      </c>
      <c r="F7" s="919">
        <v>3.2741809263825417E-11</v>
      </c>
      <c r="G7" s="919">
        <v>27959.23</v>
      </c>
      <c r="H7" s="919">
        <f t="shared" si="0"/>
        <v>49105</v>
      </c>
      <c r="I7" s="823">
        <f t="shared" si="1"/>
        <v>31718.770000000033</v>
      </c>
      <c r="J7" s="936">
        <f t="shared" si="2"/>
        <v>0.10508463694921782</v>
      </c>
      <c r="K7" s="823">
        <f t="shared" si="3"/>
        <v>36121.020668214565</v>
      </c>
      <c r="L7" s="933">
        <f t="shared" si="4"/>
        <v>34381.091697068106</v>
      </c>
    </row>
    <row r="8" spans="1:12" x14ac:dyDescent="0.25">
      <c r="A8" s="486" t="s">
        <v>0</v>
      </c>
      <c r="B8" s="932">
        <v>122355.33000000002</v>
      </c>
      <c r="C8" s="919">
        <v>0</v>
      </c>
      <c r="D8" s="919">
        <v>64466</v>
      </c>
      <c r="E8" s="919">
        <v>113505</v>
      </c>
      <c r="F8" s="919">
        <v>8850.3300000000163</v>
      </c>
      <c r="G8" s="919">
        <v>0</v>
      </c>
      <c r="H8" s="919">
        <f t="shared" si="0"/>
        <v>113505</v>
      </c>
      <c r="I8" s="823">
        <f t="shared" si="1"/>
        <v>73316.330000000016</v>
      </c>
      <c r="J8" s="936">
        <f t="shared" si="2"/>
        <v>0.24290055425966744</v>
      </c>
      <c r="K8" s="823">
        <f t="shared" si="3"/>
        <v>83493.677938004228</v>
      </c>
      <c r="L8" s="933">
        <f t="shared" si="4"/>
        <v>79471.835075746974</v>
      </c>
    </row>
    <row r="9" spans="1:12" x14ac:dyDescent="0.25">
      <c r="A9" s="486" t="s">
        <v>1</v>
      </c>
      <c r="B9" s="932">
        <v>26786.989999999991</v>
      </c>
      <c r="C9" s="919">
        <v>0</v>
      </c>
      <c r="D9" s="919">
        <v>18922</v>
      </c>
      <c r="E9" s="919">
        <v>0</v>
      </c>
      <c r="F9" s="919">
        <v>26786.989999999991</v>
      </c>
      <c r="G9" s="919">
        <v>23050</v>
      </c>
      <c r="H9" s="919">
        <f t="shared" si="0"/>
        <v>23050</v>
      </c>
      <c r="I9" s="823">
        <f t="shared" si="1"/>
        <v>22658.989999999991</v>
      </c>
      <c r="J9" s="936">
        <f t="shared" si="2"/>
        <v>4.9326970403817755E-2</v>
      </c>
      <c r="K9" s="823">
        <f t="shared" si="3"/>
        <v>9185.163851997695</v>
      </c>
      <c r="L9" s="933">
        <f t="shared" si="4"/>
        <v>8742.7197461786891</v>
      </c>
    </row>
    <row r="10" spans="1:12" x14ac:dyDescent="0.25">
      <c r="A10" s="486" t="s">
        <v>4</v>
      </c>
      <c r="B10" s="932">
        <v>34018.339999999997</v>
      </c>
      <c r="C10" s="919">
        <v>0</v>
      </c>
      <c r="D10" s="919">
        <v>65657</v>
      </c>
      <c r="E10" s="919">
        <v>34018.339999999997</v>
      </c>
      <c r="F10" s="919">
        <v>0</v>
      </c>
      <c r="G10" s="919">
        <v>11446.66</v>
      </c>
      <c r="H10" s="919">
        <f t="shared" si="0"/>
        <v>45465</v>
      </c>
      <c r="I10" s="823">
        <f t="shared" si="1"/>
        <v>54210.34</v>
      </c>
      <c r="J10" s="936">
        <f t="shared" si="2"/>
        <v>9.7295041622975031E-2</v>
      </c>
      <c r="K10" s="823">
        <f t="shared" si="3"/>
        <v>8600.6992573134485</v>
      </c>
      <c r="L10" s="933">
        <f t="shared" si="4"/>
        <v>8186.4084777872231</v>
      </c>
    </row>
    <row r="11" spans="1:12" x14ac:dyDescent="0.25">
      <c r="A11" s="486" t="s">
        <v>17</v>
      </c>
      <c r="B11" s="932">
        <v>6570.2599999999984</v>
      </c>
      <c r="C11" s="919">
        <v>0</v>
      </c>
      <c r="D11" s="919">
        <v>3804</v>
      </c>
      <c r="E11" s="919">
        <v>2920</v>
      </c>
      <c r="F11" s="919">
        <v>3650.2599999999984</v>
      </c>
      <c r="G11" s="919">
        <v>0</v>
      </c>
      <c r="H11" s="919">
        <f t="shared" si="0"/>
        <v>2920</v>
      </c>
      <c r="I11" s="823">
        <f t="shared" si="1"/>
        <v>7454.2599999999984</v>
      </c>
      <c r="J11" s="936">
        <f t="shared" si="2"/>
        <v>6.2487962507222494E-3</v>
      </c>
      <c r="K11" s="823">
        <f t="shared" si="3"/>
        <v>-3420.2066703759965</v>
      </c>
      <c r="L11" s="933">
        <f t="shared" si="4"/>
        <v>0</v>
      </c>
    </row>
    <row r="12" spans="1:12" x14ac:dyDescent="0.25">
      <c r="A12" s="486" t="s">
        <v>205</v>
      </c>
      <c r="B12" s="932">
        <v>0</v>
      </c>
      <c r="C12" s="919">
        <v>0</v>
      </c>
      <c r="D12" s="919">
        <v>0</v>
      </c>
      <c r="E12" s="919">
        <v>0</v>
      </c>
      <c r="F12" s="919">
        <v>0</v>
      </c>
      <c r="G12" s="919">
        <v>0</v>
      </c>
      <c r="H12" s="919">
        <f t="shared" si="0"/>
        <v>0</v>
      </c>
      <c r="I12" s="823">
        <f t="shared" si="1"/>
        <v>0</v>
      </c>
      <c r="J12" s="936">
        <f t="shared" si="2"/>
        <v>0</v>
      </c>
      <c r="K12" s="823">
        <f t="shared" si="3"/>
        <v>0</v>
      </c>
      <c r="L12" s="934">
        <f t="shared" si="4"/>
        <v>0</v>
      </c>
    </row>
    <row r="13" spans="1:12" x14ac:dyDescent="0.25">
      <c r="A13" s="517" t="s">
        <v>64</v>
      </c>
      <c r="B13" s="935">
        <v>0</v>
      </c>
      <c r="C13" s="924">
        <v>0</v>
      </c>
      <c r="D13" s="924">
        <v>0</v>
      </c>
      <c r="E13" s="924">
        <v>0</v>
      </c>
      <c r="F13" s="924">
        <v>0</v>
      </c>
      <c r="G13" s="924">
        <v>0</v>
      </c>
      <c r="H13" s="924">
        <f t="shared" si="0"/>
        <v>0</v>
      </c>
      <c r="I13" s="823">
        <f t="shared" si="1"/>
        <v>0</v>
      </c>
      <c r="J13" s="936">
        <f t="shared" si="2"/>
        <v>0</v>
      </c>
      <c r="K13" s="823">
        <f t="shared" si="3"/>
        <v>0</v>
      </c>
      <c r="L13" s="933">
        <f t="shared" si="4"/>
        <v>0</v>
      </c>
    </row>
    <row r="14" spans="1:12" ht="15.75" thickBot="1" x14ac:dyDescent="0.3">
      <c r="A14" s="539" t="s">
        <v>2</v>
      </c>
      <c r="B14" s="632">
        <f>SUM(B4:B13)</f>
        <v>399423.87</v>
      </c>
      <c r="C14" s="637">
        <f t="shared" ref="C14:I14" si="5">SUM(C4:C13)</f>
        <v>0</v>
      </c>
      <c r="D14" s="637">
        <f t="shared" si="5"/>
        <v>500770</v>
      </c>
      <c r="E14" s="637">
        <f t="shared" si="5"/>
        <v>357440.41999999993</v>
      </c>
      <c r="F14" s="637">
        <f t="shared" si="5"/>
        <v>41983.45</v>
      </c>
      <c r="G14" s="637">
        <f t="shared" si="5"/>
        <v>109849.58</v>
      </c>
      <c r="H14" s="637">
        <f t="shared" si="5"/>
        <v>467290</v>
      </c>
      <c r="I14" s="637">
        <f t="shared" si="5"/>
        <v>432903.87</v>
      </c>
      <c r="J14" s="637">
        <f t="shared" ref="J14:K14" si="6">SUM(J4:J13)</f>
        <v>0.99999999999999978</v>
      </c>
      <c r="K14" s="637">
        <f t="shared" si="6"/>
        <v>212669</v>
      </c>
      <c r="L14" s="634">
        <f>SUM(L4:L13)</f>
        <v>212668.99999999997</v>
      </c>
    </row>
    <row r="15" spans="1:12" x14ac:dyDescent="0.25">
      <c r="J15" s="938"/>
      <c r="K15" s="937">
        <f>SUMIFS(K4:K13,K4:K13,"&gt;0")</f>
        <v>223431.57140480218</v>
      </c>
    </row>
  </sheetData>
  <sheetProtection algorithmName="SHA-512" hashValue="sT5Xwd8xK0msyYCtsTAAh0mqPQiLgN9ETFGz0UB3pONOj/yDy00daw4LPWW/PpL+8vp34Nw+9pReRgtHtW7KVQ==" saltValue="wWJkb5poSyAYRF5XWw5sV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U2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4" sqref="Q24"/>
    </sheetView>
  </sheetViews>
  <sheetFormatPr defaultColWidth="9.42578125" defaultRowHeight="15" x14ac:dyDescent="0.25"/>
  <cols>
    <col min="1" max="1" width="64.42578125" style="50" bestFit="1" customWidth="1"/>
    <col min="2" max="10" width="13.28515625" style="50" customWidth="1"/>
    <col min="11" max="11" width="17.7109375" style="50" bestFit="1" customWidth="1"/>
    <col min="12" max="12" width="17.7109375" style="50" customWidth="1"/>
    <col min="13" max="13" width="15.28515625" style="50" bestFit="1" customWidth="1"/>
    <col min="14" max="17" width="13.42578125" style="50" customWidth="1"/>
    <col min="18" max="16384" width="9.42578125" style="50"/>
  </cols>
  <sheetData>
    <row r="1" spans="1:21" ht="15.75" thickBot="1" x14ac:dyDescent="0.3">
      <c r="A1" s="50" t="s">
        <v>71</v>
      </c>
      <c r="J1" s="249"/>
      <c r="N1" s="1404" t="s">
        <v>72</v>
      </c>
      <c r="O1" s="1404"/>
      <c r="P1" s="1404" t="s">
        <v>476</v>
      </c>
      <c r="Q1" s="1404"/>
    </row>
    <row r="2" spans="1:21" ht="15.75" thickBot="1" x14ac:dyDescent="0.3">
      <c r="M2" s="50" t="s">
        <v>73</v>
      </c>
      <c r="N2" s="741">
        <v>0.5</v>
      </c>
      <c r="O2" s="742">
        <v>1</v>
      </c>
      <c r="P2" s="741">
        <v>0.5</v>
      </c>
      <c r="Q2" s="742">
        <v>1</v>
      </c>
    </row>
    <row r="3" spans="1:21" ht="15.75" thickBot="1" x14ac:dyDescent="0.3">
      <c r="A3" s="51"/>
      <c r="B3" s="1407" t="s">
        <v>74</v>
      </c>
      <c r="C3" s="1408"/>
      <c r="D3" s="1409"/>
      <c r="E3" s="1407">
        <v>2018</v>
      </c>
      <c r="F3" s="1408"/>
      <c r="G3" s="1409"/>
      <c r="H3" s="1407">
        <v>2017</v>
      </c>
      <c r="I3" s="1408"/>
      <c r="J3" s="1409"/>
      <c r="K3" s="1410" t="s">
        <v>371</v>
      </c>
      <c r="L3" s="1410" t="s">
        <v>475</v>
      </c>
      <c r="N3" s="1405" t="s">
        <v>75</v>
      </c>
      <c r="O3" s="1406"/>
      <c r="P3" s="1405" t="s">
        <v>477</v>
      </c>
      <c r="Q3" s="1406"/>
    </row>
    <row r="4" spans="1:21" ht="75" customHeight="1" thickBot="1" x14ac:dyDescent="0.3">
      <c r="A4" s="52"/>
      <c r="B4" s="53" t="s">
        <v>76</v>
      </c>
      <c r="C4" s="54" t="s">
        <v>77</v>
      </c>
      <c r="D4" s="55" t="s">
        <v>78</v>
      </c>
      <c r="E4" s="53" t="s">
        <v>76</v>
      </c>
      <c r="F4" s="54" t="s">
        <v>77</v>
      </c>
      <c r="G4" s="55" t="s">
        <v>78</v>
      </c>
      <c r="H4" s="53" t="s">
        <v>76</v>
      </c>
      <c r="I4" s="54" t="s">
        <v>77</v>
      </c>
      <c r="J4" s="55" t="s">
        <v>78</v>
      </c>
      <c r="K4" s="1411"/>
      <c r="L4" s="1411"/>
      <c r="N4" s="749" t="s">
        <v>79</v>
      </c>
      <c r="O4" s="750" t="s">
        <v>80</v>
      </c>
      <c r="P4" s="749" t="s">
        <v>79</v>
      </c>
      <c r="Q4" s="750" t="s">
        <v>80</v>
      </c>
    </row>
    <row r="5" spans="1:21" s="56" customFormat="1" x14ac:dyDescent="0.25">
      <c r="A5" s="510" t="s">
        <v>2</v>
      </c>
      <c r="B5" s="757">
        <v>14.852546085627266</v>
      </c>
      <c r="C5" s="1010">
        <v>1302</v>
      </c>
      <c r="D5" s="1071">
        <v>1.1407485472832001E-2</v>
      </c>
      <c r="E5" s="585">
        <v>15.316129281966873</v>
      </c>
      <c r="F5" s="1010">
        <v>1323.9</v>
      </c>
      <c r="G5" s="1071">
        <f t="shared" ref="G5:G15" si="0">+E5/F5</f>
        <v>1.156894726336345E-2</v>
      </c>
      <c r="H5" s="585">
        <v>15.92792787146136</v>
      </c>
      <c r="I5" s="1010">
        <v>1328.2</v>
      </c>
      <c r="J5" s="1071">
        <v>1.1992115548457581E-2</v>
      </c>
      <c r="K5" s="1074">
        <v>1.156894726336345E-2</v>
      </c>
      <c r="L5" s="1074">
        <f>MEDIAN(D5,G5,J5)</f>
        <v>1.156894726336345E-2</v>
      </c>
      <c r="M5" s="746" t="s">
        <v>16</v>
      </c>
      <c r="N5" s="753">
        <f t="shared" ref="N5:N13" si="1">$N$2*K5/$K$17+1-$N$2</f>
        <v>1.1346030329692485</v>
      </c>
      <c r="O5" s="754">
        <f t="shared" ref="O5:O13" si="2">K5/$K$17</f>
        <v>1.2692060659384967</v>
      </c>
      <c r="P5" s="753">
        <f>$P$2*L5/$L$17+1-$P$2</f>
        <v>1.1346030329692485</v>
      </c>
      <c r="Q5" s="754">
        <f>L5/$L$17</f>
        <v>1.2692060659384967</v>
      </c>
      <c r="R5" s="57"/>
      <c r="U5" s="58"/>
    </row>
    <row r="6" spans="1:21" x14ac:dyDescent="0.25">
      <c r="A6" s="486" t="s">
        <v>6</v>
      </c>
      <c r="B6" s="758">
        <v>0.71496554884272245</v>
      </c>
      <c r="C6" s="602">
        <v>105.21</v>
      </c>
      <c r="D6" s="1072">
        <f t="shared" ref="D6:D15" si="3">+B6/C6</f>
        <v>6.7956044942754732E-3</v>
      </c>
      <c r="E6" s="1068">
        <v>0.78891014422934669</v>
      </c>
      <c r="F6" s="1070">
        <v>101.26</v>
      </c>
      <c r="G6" s="1252">
        <f t="shared" si="0"/>
        <v>7.7909356530648493E-3</v>
      </c>
      <c r="H6" s="759">
        <v>0.81250480351823495</v>
      </c>
      <c r="I6" s="602">
        <v>104.07</v>
      </c>
      <c r="J6" s="1072">
        <f t="shared" ref="J6:J15" si="4">+H6/I6</f>
        <v>7.8072912800829734E-3</v>
      </c>
      <c r="K6" s="1075">
        <f t="shared" ref="K6:K15" si="5">G6*G$5/G$16</f>
        <v>7.7909356530648476E-3</v>
      </c>
      <c r="L6" s="1189">
        <f t="shared" ref="L6:L16" si="6">MEDIAN(D6,G6,J6)</f>
        <v>7.7909356530648493E-3</v>
      </c>
      <c r="M6" s="747" t="s">
        <v>56</v>
      </c>
      <c r="N6" s="743">
        <f t="shared" si="1"/>
        <v>0.92736398416823507</v>
      </c>
      <c r="O6" s="744">
        <f t="shared" si="2"/>
        <v>0.85472796833647025</v>
      </c>
      <c r="P6" s="1191">
        <f t="shared" ref="P6:P17" si="7">$P$2*L6/$L$17+1-$P$2</f>
        <v>0.92736398416823507</v>
      </c>
      <c r="Q6" s="1192">
        <f t="shared" ref="Q6:Q17" si="8">L6/$L$17</f>
        <v>0.85472796833647036</v>
      </c>
      <c r="R6" s="59"/>
      <c r="U6" s="60"/>
    </row>
    <row r="7" spans="1:21" x14ac:dyDescent="0.25">
      <c r="A7" s="486" t="s">
        <v>3</v>
      </c>
      <c r="B7" s="758">
        <v>3.604338142929377</v>
      </c>
      <c r="C7" s="602">
        <v>228.01</v>
      </c>
      <c r="D7" s="1253">
        <f t="shared" si="3"/>
        <v>1.5807807302001566E-2</v>
      </c>
      <c r="E7" s="1068">
        <v>3.7734882178823508</v>
      </c>
      <c r="F7" s="1070">
        <v>236.31</v>
      </c>
      <c r="G7" s="1073">
        <f t="shared" si="0"/>
        <v>1.5968381439136519E-2</v>
      </c>
      <c r="H7" s="759">
        <v>3.6611614175941098</v>
      </c>
      <c r="I7" s="602">
        <v>243.06</v>
      </c>
      <c r="J7" s="1072">
        <f t="shared" si="4"/>
        <v>1.5062788684251253E-2</v>
      </c>
      <c r="K7" s="1075">
        <f t="shared" si="5"/>
        <v>1.5968381439136516E-2</v>
      </c>
      <c r="L7" s="1189">
        <f t="shared" si="6"/>
        <v>1.5807807302001566E-2</v>
      </c>
      <c r="M7" s="747" t="s">
        <v>57</v>
      </c>
      <c r="N7" s="743">
        <f t="shared" si="1"/>
        <v>1.3759295951652337</v>
      </c>
      <c r="O7" s="744">
        <f t="shared" si="2"/>
        <v>1.7518591903304672</v>
      </c>
      <c r="P7" s="1191">
        <f t="shared" si="7"/>
        <v>1.3671214614498213</v>
      </c>
      <c r="Q7" s="1192">
        <f t="shared" si="8"/>
        <v>1.7342429228996425</v>
      </c>
      <c r="R7" s="59"/>
      <c r="U7" s="60"/>
    </row>
    <row r="8" spans="1:21" x14ac:dyDescent="0.25">
      <c r="A8" s="486" t="s">
        <v>5</v>
      </c>
      <c r="B8" s="758">
        <v>3.468814657647334</v>
      </c>
      <c r="C8" s="602">
        <v>315.26</v>
      </c>
      <c r="D8" s="1072">
        <f t="shared" si="3"/>
        <v>1.1003028159764429E-2</v>
      </c>
      <c r="E8" s="1068">
        <v>3.6804700705866704</v>
      </c>
      <c r="F8" s="1070">
        <v>321.5</v>
      </c>
      <c r="G8" s="1252">
        <f t="shared" si="0"/>
        <v>1.1447807373519971E-2</v>
      </c>
      <c r="H8" s="759">
        <v>4.1236284738902116</v>
      </c>
      <c r="I8" s="602">
        <v>316.76</v>
      </c>
      <c r="J8" s="1072">
        <f t="shared" si="4"/>
        <v>1.3018147726639133E-2</v>
      </c>
      <c r="K8" s="1075">
        <f t="shared" si="5"/>
        <v>1.1447807373519969E-2</v>
      </c>
      <c r="L8" s="1189">
        <f t="shared" si="6"/>
        <v>1.1447807373519971E-2</v>
      </c>
      <c r="M8" s="747" t="s">
        <v>58</v>
      </c>
      <c r="N8" s="743">
        <f t="shared" si="1"/>
        <v>1.1279580254540285</v>
      </c>
      <c r="O8" s="744">
        <f t="shared" si="2"/>
        <v>1.2559160509080569</v>
      </c>
      <c r="P8" s="1193">
        <f t="shared" si="7"/>
        <v>1.1279580254540287</v>
      </c>
      <c r="Q8" s="1194">
        <f t="shared" si="8"/>
        <v>1.2559160509080571</v>
      </c>
      <c r="R8" s="59"/>
      <c r="U8" s="60"/>
    </row>
    <row r="9" spans="1:21" x14ac:dyDescent="0.25">
      <c r="A9" s="486" t="s">
        <v>7</v>
      </c>
      <c r="B9" s="758">
        <v>0.51063855405737957</v>
      </c>
      <c r="C9" s="602">
        <v>48.47</v>
      </c>
      <c r="D9" s="1072">
        <f t="shared" si="3"/>
        <v>1.0535146566069313E-2</v>
      </c>
      <c r="E9" s="1068">
        <v>0.47079696336559723</v>
      </c>
      <c r="F9" s="1070">
        <v>44.58</v>
      </c>
      <c r="G9" s="1252">
        <f t="shared" si="0"/>
        <v>1.0560721475226497E-2</v>
      </c>
      <c r="H9" s="759">
        <v>0.44550274895468839</v>
      </c>
      <c r="I9" s="602">
        <v>41.8</v>
      </c>
      <c r="J9" s="1072">
        <f t="shared" si="4"/>
        <v>1.0657960501308336E-2</v>
      </c>
      <c r="K9" s="1075">
        <f t="shared" si="5"/>
        <v>1.0560721475226496E-2</v>
      </c>
      <c r="L9" s="1189">
        <f t="shared" si="6"/>
        <v>1.0560721475226497E-2</v>
      </c>
      <c r="M9" s="747" t="s">
        <v>59</v>
      </c>
      <c r="N9" s="743">
        <f t="shared" si="1"/>
        <v>1.0792978156055462</v>
      </c>
      <c r="O9" s="744">
        <f t="shared" si="2"/>
        <v>1.1585956312110925</v>
      </c>
      <c r="P9" s="1191">
        <f t="shared" si="7"/>
        <v>1.0792978156055464</v>
      </c>
      <c r="Q9" s="1192">
        <f t="shared" si="8"/>
        <v>1.1585956312110928</v>
      </c>
      <c r="R9" s="59"/>
      <c r="U9" s="60"/>
    </row>
    <row r="10" spans="1:21" x14ac:dyDescent="0.25">
      <c r="A10" s="486" t="s">
        <v>0</v>
      </c>
      <c r="B10" s="758">
        <v>3.218099183356947</v>
      </c>
      <c r="C10" s="602">
        <v>244.42</v>
      </c>
      <c r="D10" s="1253">
        <f t="shared" si="3"/>
        <v>1.3166267831425198E-2</v>
      </c>
      <c r="E10" s="1068">
        <v>3.147451953342447</v>
      </c>
      <c r="F10" s="1070">
        <v>249.35</v>
      </c>
      <c r="G10" s="1073">
        <f t="shared" si="0"/>
        <v>1.2622626642640654E-2</v>
      </c>
      <c r="H10" s="759">
        <v>3.3978191311835277</v>
      </c>
      <c r="I10" s="602">
        <v>250.05</v>
      </c>
      <c r="J10" s="1072">
        <f t="shared" si="4"/>
        <v>1.3588558812971515E-2</v>
      </c>
      <c r="K10" s="1075">
        <f t="shared" si="5"/>
        <v>1.2622626642640652E-2</v>
      </c>
      <c r="L10" s="1189">
        <f t="shared" si="6"/>
        <v>1.3166267831425198E-2</v>
      </c>
      <c r="M10" s="747" t="s">
        <v>60</v>
      </c>
      <c r="N10" s="743">
        <f t="shared" si="1"/>
        <v>1.1924015616205117</v>
      </c>
      <c r="O10" s="744">
        <f t="shared" si="2"/>
        <v>1.3848031232410236</v>
      </c>
      <c r="P10" s="1193">
        <f t="shared" si="7"/>
        <v>1.2222224553799825</v>
      </c>
      <c r="Q10" s="1194">
        <f t="shared" si="8"/>
        <v>1.4444449107599651</v>
      </c>
      <c r="R10" s="59"/>
      <c r="U10" s="60"/>
    </row>
    <row r="11" spans="1:21" x14ac:dyDescent="0.25">
      <c r="A11" s="486" t="s">
        <v>1</v>
      </c>
      <c r="B11" s="758">
        <v>1.3329621696168199</v>
      </c>
      <c r="C11" s="602">
        <v>115.62</v>
      </c>
      <c r="D11" s="1072">
        <f t="shared" si="3"/>
        <v>1.1528820010524302E-2</v>
      </c>
      <c r="E11" s="1068">
        <v>1.2973044184418197</v>
      </c>
      <c r="F11" s="1070">
        <v>119.79</v>
      </c>
      <c r="G11" s="1252">
        <f t="shared" si="0"/>
        <v>1.0829822342781698E-2</v>
      </c>
      <c r="H11" s="759">
        <v>1.3494307896955842</v>
      </c>
      <c r="I11" s="602">
        <v>125.7</v>
      </c>
      <c r="J11" s="1072">
        <f t="shared" si="4"/>
        <v>1.0735328478087384E-2</v>
      </c>
      <c r="K11" s="1075">
        <f t="shared" si="5"/>
        <v>1.0829822342781698E-2</v>
      </c>
      <c r="L11" s="1189">
        <f t="shared" si="6"/>
        <v>1.0829822342781698E-2</v>
      </c>
      <c r="M11" s="747" t="s">
        <v>61</v>
      </c>
      <c r="N11" s="743">
        <f t="shared" si="1"/>
        <v>1.0940590745894117</v>
      </c>
      <c r="O11" s="744">
        <f t="shared" si="2"/>
        <v>1.1881181491788233</v>
      </c>
      <c r="P11" s="1193">
        <f t="shared" si="7"/>
        <v>1.0940590745894117</v>
      </c>
      <c r="Q11" s="1194">
        <f t="shared" si="8"/>
        <v>1.1881181491788233</v>
      </c>
      <c r="R11" s="59"/>
      <c r="U11" s="60"/>
    </row>
    <row r="12" spans="1:21" x14ac:dyDescent="0.25">
      <c r="A12" s="486" t="s">
        <v>4</v>
      </c>
      <c r="B12" s="758">
        <v>1.7144215505470277</v>
      </c>
      <c r="C12" s="602">
        <v>206.81</v>
      </c>
      <c r="D12" s="1253">
        <f t="shared" si="3"/>
        <v>8.2898387435183397E-3</v>
      </c>
      <c r="E12" s="1068">
        <v>1.8650979731208104</v>
      </c>
      <c r="F12" s="1070">
        <v>208.72</v>
      </c>
      <c r="G12" s="1073">
        <f t="shared" si="0"/>
        <v>8.9358852679226261E-3</v>
      </c>
      <c r="H12" s="759">
        <v>1.5835208142400596</v>
      </c>
      <c r="I12" s="602">
        <v>201.68</v>
      </c>
      <c r="J12" s="1072">
        <f t="shared" si="4"/>
        <v>7.851650209440994E-3</v>
      </c>
      <c r="K12" s="1075">
        <f t="shared" si="5"/>
        <v>8.9358852679226244E-3</v>
      </c>
      <c r="L12" s="1189">
        <f t="shared" si="6"/>
        <v>8.2898387435183397E-3</v>
      </c>
      <c r="M12" s="747" t="s">
        <v>62</v>
      </c>
      <c r="N12" s="743">
        <f t="shared" si="1"/>
        <v>0.99016905032033686</v>
      </c>
      <c r="O12" s="744">
        <f t="shared" si="2"/>
        <v>0.98033810064067373</v>
      </c>
      <c r="P12" s="1191">
        <f t="shared" si="7"/>
        <v>0.95473081428268669</v>
      </c>
      <c r="Q12" s="1192">
        <f t="shared" si="8"/>
        <v>0.90946162856537338</v>
      </c>
      <c r="R12" s="59"/>
      <c r="U12" s="60"/>
    </row>
    <row r="13" spans="1:21" x14ac:dyDescent="0.25">
      <c r="A13" s="486" t="s">
        <v>17</v>
      </c>
      <c r="B13" s="758">
        <v>0.16400183188886108</v>
      </c>
      <c r="C13" s="602">
        <v>31.44</v>
      </c>
      <c r="D13" s="1072">
        <f t="shared" si="3"/>
        <v>5.2163432534625027E-3</v>
      </c>
      <c r="E13" s="1068">
        <v>0.2090710210410851</v>
      </c>
      <c r="F13" s="1070">
        <v>34.01</v>
      </c>
      <c r="G13" s="1252">
        <f t="shared" si="0"/>
        <v>6.1473396366093832E-3</v>
      </c>
      <c r="H13" s="759">
        <v>0.22556839862657424</v>
      </c>
      <c r="I13" s="602">
        <v>36.229999999999997</v>
      </c>
      <c r="J13" s="1072">
        <f t="shared" si="4"/>
        <v>6.226011554694294E-3</v>
      </c>
      <c r="K13" s="1075">
        <f t="shared" si="5"/>
        <v>6.1473396366093823E-3</v>
      </c>
      <c r="L13" s="1189">
        <f t="shared" si="6"/>
        <v>6.1473396366093832E-3</v>
      </c>
      <c r="M13" s="747" t="s">
        <v>66</v>
      </c>
      <c r="N13" s="743">
        <f t="shared" si="1"/>
        <v>0.8372061683121732</v>
      </c>
      <c r="O13" s="744">
        <f t="shared" si="2"/>
        <v>0.67441233662434641</v>
      </c>
      <c r="P13" s="1193">
        <f t="shared" si="7"/>
        <v>0.8372061683121732</v>
      </c>
      <c r="Q13" s="1194">
        <f t="shared" si="8"/>
        <v>0.67441233662434652</v>
      </c>
      <c r="R13" s="59"/>
      <c r="U13" s="60"/>
    </row>
    <row r="14" spans="1:21" x14ac:dyDescent="0.25">
      <c r="A14" s="486" t="s">
        <v>205</v>
      </c>
      <c r="B14" s="1179">
        <v>0.1130229591144884</v>
      </c>
      <c r="C14" s="1180">
        <v>6.12</v>
      </c>
      <c r="D14" s="1181">
        <f t="shared" si="3"/>
        <v>1.8467803776877189E-2</v>
      </c>
      <c r="E14" s="1182">
        <v>2.2060734631262464E-2</v>
      </c>
      <c r="F14" s="1183">
        <v>6.6</v>
      </c>
      <c r="G14" s="1184">
        <f t="shared" si="0"/>
        <v>3.3425355501912825E-3</v>
      </c>
      <c r="H14" s="1185">
        <v>3.1568216632679369E-3</v>
      </c>
      <c r="I14" s="1180">
        <v>6.43</v>
      </c>
      <c r="J14" s="1181">
        <f t="shared" si="4"/>
        <v>4.9095204716453141E-4</v>
      </c>
      <c r="K14" s="1186">
        <f t="shared" si="5"/>
        <v>3.3425355501912821E-3</v>
      </c>
      <c r="L14" s="1190">
        <f t="shared" si="6"/>
        <v>3.3425355501912825E-3</v>
      </c>
      <c r="M14" s="747" t="s">
        <v>67</v>
      </c>
      <c r="N14" s="1187">
        <f t="shared" ref="N14:N15" si="9">$N$2*K14/$K$17+1-$N$2</f>
        <v>0.68335144500799028</v>
      </c>
      <c r="O14" s="1188">
        <f t="shared" ref="O14:O15" si="10">K14/$K$17</f>
        <v>0.3667028900159805</v>
      </c>
      <c r="P14" s="1195">
        <f t="shared" si="7"/>
        <v>0.68335144500799028</v>
      </c>
      <c r="Q14" s="1196">
        <f t="shared" si="8"/>
        <v>0.36670289001598055</v>
      </c>
      <c r="R14" s="59"/>
      <c r="U14" s="60"/>
    </row>
    <row r="15" spans="1:21" x14ac:dyDescent="0.25">
      <c r="A15" s="517" t="s">
        <v>64</v>
      </c>
      <c r="B15" s="1179">
        <v>1.1281487626304609E-2</v>
      </c>
      <c r="C15" s="1180">
        <v>0.64</v>
      </c>
      <c r="D15" s="1181">
        <f t="shared" si="3"/>
        <v>1.7627324416100952E-2</v>
      </c>
      <c r="E15" s="1182">
        <v>6.1477785325482773E-2</v>
      </c>
      <c r="F15" s="1183">
        <v>1.78</v>
      </c>
      <c r="G15" s="1184">
        <f t="shared" si="0"/>
        <v>3.4538081643529644E-2</v>
      </c>
      <c r="H15" s="1185">
        <v>0.32563447209510077</v>
      </c>
      <c r="I15" s="1180">
        <v>2.42</v>
      </c>
      <c r="J15" s="1181">
        <f t="shared" si="4"/>
        <v>0.13455969921285157</v>
      </c>
      <c r="K15" s="1186">
        <f t="shared" si="5"/>
        <v>3.4538081643529638E-2</v>
      </c>
      <c r="L15" s="1190">
        <f t="shared" si="6"/>
        <v>3.4538081643529644E-2</v>
      </c>
      <c r="M15" s="747" t="s">
        <v>68</v>
      </c>
      <c r="N15" s="1187">
        <f t="shared" si="9"/>
        <v>2.3945519298314446</v>
      </c>
      <c r="O15" s="1188">
        <f t="shared" si="10"/>
        <v>3.7891038596628888</v>
      </c>
      <c r="P15" s="1195">
        <f t="shared" si="7"/>
        <v>2.3945519298314446</v>
      </c>
      <c r="Q15" s="1196">
        <f t="shared" si="8"/>
        <v>3.7891038596628897</v>
      </c>
      <c r="R15" s="59"/>
      <c r="U15" s="60"/>
    </row>
    <row r="16" spans="1:21" s="56" customFormat="1" ht="15.75" thickBot="1" x14ac:dyDescent="0.3">
      <c r="A16" s="539" t="s">
        <v>2</v>
      </c>
      <c r="B16" s="1013">
        <f>SUM(B6:B15)</f>
        <v>14.85254608562726</v>
      </c>
      <c r="C16" s="1011">
        <f>SUM(C6:C15)</f>
        <v>1302</v>
      </c>
      <c r="D16" s="720">
        <f>SUMPRODUCT(C6:C15,D6:D15)/C16</f>
        <v>1.1407485472831998E-2</v>
      </c>
      <c r="E16" s="1013">
        <f>SUM(E6:E15)</f>
        <v>15.316129281966873</v>
      </c>
      <c r="F16" s="1011">
        <f>SUM(F6:F15)</f>
        <v>1323.8999999999999</v>
      </c>
      <c r="G16" s="720">
        <f>SUMPRODUCT(F6:F15,G6:G15)/F16</f>
        <v>1.1568947263363452E-2</v>
      </c>
      <c r="H16" s="1013">
        <f>SUM(H6:H15)</f>
        <v>15.92792787146136</v>
      </c>
      <c r="I16" s="1011">
        <f>SUM(I6:I15)</f>
        <v>1328.2000000000003</v>
      </c>
      <c r="J16" s="720">
        <f>SUMPRODUCT(I6:I15,J6:J15)/I16</f>
        <v>1.1992115548457579E-2</v>
      </c>
      <c r="K16" s="1076">
        <f>G16*G$5/G$16</f>
        <v>1.156894726336345E-2</v>
      </c>
      <c r="L16" s="1076">
        <f t="shared" si="6"/>
        <v>1.1568947263363452E-2</v>
      </c>
      <c r="M16" s="748" t="s">
        <v>16</v>
      </c>
      <c r="N16" s="755">
        <f>$N$2*K16/$K$17+1-$N$2</f>
        <v>1.1346030329692485</v>
      </c>
      <c r="O16" s="756">
        <f>K16/$K$17</f>
        <v>1.2692060659384967</v>
      </c>
      <c r="P16" s="755">
        <f t="shared" si="7"/>
        <v>1.1346030329692485</v>
      </c>
      <c r="Q16" s="756">
        <f t="shared" si="8"/>
        <v>1.2692060659384969</v>
      </c>
      <c r="R16" s="57"/>
      <c r="U16" s="58"/>
    </row>
    <row r="17" spans="2:18" ht="15.75" thickBot="1" x14ac:dyDescent="0.3">
      <c r="B17" s="66"/>
      <c r="C17" s="67"/>
      <c r="D17" s="68"/>
      <c r="E17" s="67"/>
      <c r="F17" s="69"/>
      <c r="G17" s="68"/>
      <c r="H17" s="67"/>
      <c r="I17" s="70"/>
      <c r="J17" s="68"/>
      <c r="K17" s="1077">
        <v>9.1151055560146198E-3</v>
      </c>
      <c r="L17" s="1077">
        <v>9.1151055560146198E-3</v>
      </c>
      <c r="M17" s="745"/>
      <c r="N17" s="751">
        <f>$N$2*K17/$K$17+1-$N$2</f>
        <v>1</v>
      </c>
      <c r="O17" s="752">
        <f>$O$2*K17/$K$17</f>
        <v>1</v>
      </c>
      <c r="P17" s="751">
        <f t="shared" si="7"/>
        <v>1</v>
      </c>
      <c r="Q17" s="752">
        <f t="shared" si="8"/>
        <v>1</v>
      </c>
      <c r="R17" s="59"/>
    </row>
    <row r="18" spans="2:18" x14ac:dyDescent="0.25">
      <c r="N18" s="63"/>
      <c r="O18" s="63"/>
    </row>
    <row r="19" spans="2:18" x14ac:dyDescent="0.25">
      <c r="B19" s="64"/>
    </row>
    <row r="20" spans="2:18" x14ac:dyDescent="0.25">
      <c r="B20" s="2" t="s">
        <v>81</v>
      </c>
    </row>
    <row r="21" spans="2:18" x14ac:dyDescent="0.25">
      <c r="B21" s="2" t="s">
        <v>82</v>
      </c>
    </row>
    <row r="22" spans="2:18" x14ac:dyDescent="0.25">
      <c r="B22" s="65"/>
    </row>
    <row r="26" spans="2:18" x14ac:dyDescent="0.25">
      <c r="F26" s="1069"/>
    </row>
  </sheetData>
  <sheetProtection algorithmName="SHA-512" hashValue="S/IhVf6GOdP5sNXpN1M7LXLsU4521oEhYrxrK7bdWkM0WTdBWk+jY8Tw8uucEQvvADX015faNM4ohKDy9GUCaA==" saltValue="zCxPMhl5Rw/d3uPzltujgw==" spinCount="100000" sheet="1" objects="1" scenarios="1"/>
  <mergeCells count="9">
    <mergeCell ref="P1:Q1"/>
    <mergeCell ref="P3:Q3"/>
    <mergeCell ref="N1:O1"/>
    <mergeCell ref="B3:D3"/>
    <mergeCell ref="E3:G3"/>
    <mergeCell ref="H3:J3"/>
    <mergeCell ref="K3:K4"/>
    <mergeCell ref="N3:O3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G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109375" defaultRowHeight="15" x14ac:dyDescent="0.25"/>
  <cols>
    <col min="1" max="1" width="54.28515625" style="50" customWidth="1"/>
    <col min="2" max="5" width="15.28515625" style="50" customWidth="1"/>
    <col min="6" max="16384" width="8.7109375" style="50"/>
  </cols>
  <sheetData>
    <row r="1" spans="1:7" ht="15.75" thickBot="1" x14ac:dyDescent="0.3">
      <c r="A1" s="663"/>
      <c r="B1" s="474" t="s">
        <v>259</v>
      </c>
      <c r="C1" s="474" t="s">
        <v>260</v>
      </c>
      <c r="D1" s="474" t="s">
        <v>261</v>
      </c>
      <c r="E1" s="474" t="s">
        <v>262</v>
      </c>
      <c r="F1" s="17"/>
    </row>
    <row r="2" spans="1:7" ht="60.75" thickBot="1" x14ac:dyDescent="0.3">
      <c r="A2" s="461"/>
      <c r="B2" s="462" t="s">
        <v>263</v>
      </c>
      <c r="C2" s="463" t="s">
        <v>264</v>
      </c>
      <c r="D2" s="464" t="s">
        <v>265</v>
      </c>
      <c r="E2" s="465" t="s">
        <v>266</v>
      </c>
      <c r="F2" s="466">
        <v>0.15</v>
      </c>
      <c r="G2" s="50" t="s">
        <v>399</v>
      </c>
    </row>
    <row r="3" spans="1:7" x14ac:dyDescent="0.25">
      <c r="A3" s="475" t="s">
        <v>2</v>
      </c>
      <c r="B3" s="476">
        <v>10211</v>
      </c>
      <c r="C3" s="458">
        <v>510550</v>
      </c>
      <c r="D3" s="477">
        <v>7589</v>
      </c>
      <c r="E3" s="1067">
        <v>1366020</v>
      </c>
      <c r="G3" s="50" t="s">
        <v>453</v>
      </c>
    </row>
    <row r="4" spans="1:7" x14ac:dyDescent="0.25">
      <c r="A4" s="478" t="s">
        <v>6</v>
      </c>
      <c r="B4" s="479">
        <v>943</v>
      </c>
      <c r="C4" s="459">
        <f>B4/B$14*(C$3-C$13)</f>
        <v>43835.463231774571</v>
      </c>
      <c r="D4" s="480">
        <f>'T6b-vykon'!K4</f>
        <v>0</v>
      </c>
      <c r="E4" s="459">
        <f>D4/D$3*E$3</f>
        <v>0</v>
      </c>
    </row>
    <row r="5" spans="1:7" x14ac:dyDescent="0.25">
      <c r="A5" s="478" t="s">
        <v>3</v>
      </c>
      <c r="B5" s="479">
        <v>2433</v>
      </c>
      <c r="C5" s="459">
        <f t="shared" ref="C5:C11" si="0">B5/B$14*(C$3-C$13)</f>
        <v>113098.28424486483</v>
      </c>
      <c r="D5" s="480">
        <v>2427</v>
      </c>
      <c r="E5" s="459">
        <f>D5/D$14*E$3</f>
        <v>359385.42439024389</v>
      </c>
    </row>
    <row r="6" spans="1:7" x14ac:dyDescent="0.25">
      <c r="A6" s="478" t="s">
        <v>5</v>
      </c>
      <c r="B6" s="479">
        <v>1333</v>
      </c>
      <c r="C6" s="459">
        <f t="shared" si="0"/>
        <v>61964.657993590146</v>
      </c>
      <c r="D6" s="480">
        <v>1333</v>
      </c>
      <c r="E6" s="459">
        <f t="shared" ref="E6:E10" si="1">D6/D$14*E$3</f>
        <v>197388.03902439025</v>
      </c>
    </row>
    <row r="7" spans="1:7" x14ac:dyDescent="0.25">
      <c r="A7" s="478" t="s">
        <v>7</v>
      </c>
      <c r="B7" s="479">
        <v>1141</v>
      </c>
      <c r="C7" s="459">
        <f t="shared" si="0"/>
        <v>53039.51595700402</v>
      </c>
      <c r="D7" s="480">
        <v>1141</v>
      </c>
      <c r="E7" s="459">
        <f t="shared" si="1"/>
        <v>168957.05365853658</v>
      </c>
    </row>
    <row r="8" spans="1:7" x14ac:dyDescent="0.25">
      <c r="A8" s="478" t="s">
        <v>0</v>
      </c>
      <c r="B8" s="479">
        <v>2112</v>
      </c>
      <c r="C8" s="459">
        <f t="shared" si="0"/>
        <v>98176.562402447395</v>
      </c>
      <c r="D8" s="480">
        <v>1896</v>
      </c>
      <c r="E8" s="459">
        <f t="shared" si="1"/>
        <v>280755.98048780486</v>
      </c>
    </row>
    <row r="9" spans="1:7" x14ac:dyDescent="0.25">
      <c r="A9" s="478" t="s">
        <v>1</v>
      </c>
      <c r="B9" s="479">
        <v>776</v>
      </c>
      <c r="C9" s="459">
        <f t="shared" si="0"/>
        <v>36072.449064535598</v>
      </c>
      <c r="D9" s="480">
        <v>776</v>
      </c>
      <c r="E9" s="459">
        <f t="shared" si="1"/>
        <v>114908.56585365854</v>
      </c>
    </row>
    <row r="10" spans="1:7" x14ac:dyDescent="0.25">
      <c r="A10" s="478" t="s">
        <v>4</v>
      </c>
      <c r="B10" s="479">
        <v>1786</v>
      </c>
      <c r="C10" s="459">
        <f t="shared" si="0"/>
        <v>83022.41498616054</v>
      </c>
      <c r="D10" s="480">
        <v>1652</v>
      </c>
      <c r="E10" s="459">
        <f t="shared" si="1"/>
        <v>244624.93658536585</v>
      </c>
    </row>
    <row r="11" spans="1:7" x14ac:dyDescent="0.25">
      <c r="A11" s="478" t="s">
        <v>17</v>
      </c>
      <c r="B11" s="479">
        <v>154</v>
      </c>
      <c r="C11" s="459">
        <f t="shared" si="0"/>
        <v>7158.7076751784562</v>
      </c>
      <c r="D11" s="480">
        <f>'T6b-vykon'!K11</f>
        <v>0</v>
      </c>
      <c r="E11" s="459">
        <f t="shared" ref="E11:E13" si="2">D11/D$3*E$3</f>
        <v>0</v>
      </c>
    </row>
    <row r="12" spans="1:7" x14ac:dyDescent="0.25">
      <c r="A12" s="481" t="s">
        <v>205</v>
      </c>
      <c r="B12" s="479">
        <f>'T6b-vykon'!D12</f>
        <v>0</v>
      </c>
      <c r="C12" s="459">
        <v>0</v>
      </c>
      <c r="D12" s="480">
        <f>'T6b-vykon'!K12</f>
        <v>0</v>
      </c>
      <c r="E12" s="459">
        <f t="shared" si="2"/>
        <v>0</v>
      </c>
    </row>
    <row r="13" spans="1:7" x14ac:dyDescent="0.25">
      <c r="A13" s="482" t="s">
        <v>442</v>
      </c>
      <c r="B13" s="479">
        <f>'T6b-vykon'!D13</f>
        <v>0</v>
      </c>
      <c r="C13" s="1083">
        <f>2/9*1/8*$C$3</f>
        <v>14181.944444444443</v>
      </c>
      <c r="D13" s="480">
        <f>'T6b-vykon'!K13</f>
        <v>0</v>
      </c>
      <c r="E13" s="459">
        <f t="shared" si="2"/>
        <v>0</v>
      </c>
    </row>
    <row r="14" spans="1:7" ht="15.75" thickBot="1" x14ac:dyDescent="0.3">
      <c r="A14" s="483" t="s">
        <v>2</v>
      </c>
      <c r="B14" s="476">
        <f>SUM(B4:B13)</f>
        <v>10678</v>
      </c>
      <c r="C14" s="458">
        <f t="shared" ref="C14:E14" si="3">SUM(C4:C13)</f>
        <v>510550</v>
      </c>
      <c r="D14" s="477">
        <f t="shared" si="3"/>
        <v>9225</v>
      </c>
      <c r="E14" s="458">
        <f t="shared" si="3"/>
        <v>1366020</v>
      </c>
      <c r="G14" s="50" t="s">
        <v>454</v>
      </c>
    </row>
    <row r="15" spans="1:7" ht="15.75" thickBot="1" x14ac:dyDescent="0.3">
      <c r="A15" s="467" t="s">
        <v>90</v>
      </c>
      <c r="B15" s="468">
        <v>96520.5</v>
      </c>
      <c r="C15" s="469">
        <v>4826025</v>
      </c>
      <c r="D15" s="470">
        <v>22634.5</v>
      </c>
      <c r="E15" s="471">
        <v>4074210</v>
      </c>
    </row>
    <row r="16" spans="1:7" ht="15.75" thickBot="1" x14ac:dyDescent="0.3">
      <c r="A16" s="472" t="s">
        <v>267</v>
      </c>
      <c r="B16" s="17"/>
      <c r="C16" s="17"/>
      <c r="D16" s="17"/>
      <c r="E16" s="473">
        <v>8900235</v>
      </c>
    </row>
    <row r="20" spans="1:5" ht="15.75" thickBot="1" x14ac:dyDescent="0.3">
      <c r="A20" s="1" t="s">
        <v>270</v>
      </c>
    </row>
    <row r="21" spans="1:5" x14ac:dyDescent="0.25">
      <c r="A21" s="529" t="s">
        <v>2</v>
      </c>
      <c r="B21" s="657">
        <f>B3-B37</f>
        <v>0</v>
      </c>
      <c r="C21" s="658">
        <f t="shared" ref="C21:E21" si="4">C3-C37</f>
        <v>-6850</v>
      </c>
      <c r="D21" s="659">
        <f t="shared" si="4"/>
        <v>0</v>
      </c>
      <c r="E21" s="658">
        <f t="shared" si="4"/>
        <v>-255960</v>
      </c>
    </row>
    <row r="22" spans="1:5" x14ac:dyDescent="0.25">
      <c r="A22" s="531" t="s">
        <v>6</v>
      </c>
      <c r="B22" s="479">
        <f t="shared" ref="B22:E22" si="5">B4-B38</f>
        <v>101</v>
      </c>
      <c r="C22" s="459">
        <f t="shared" si="5"/>
        <v>1901.4632317745709</v>
      </c>
      <c r="D22" s="480">
        <f t="shared" si="5"/>
        <v>0</v>
      </c>
      <c r="E22" s="459">
        <f t="shared" si="5"/>
        <v>-98168</v>
      </c>
    </row>
    <row r="23" spans="1:5" x14ac:dyDescent="0.25">
      <c r="A23" s="531" t="s">
        <v>3</v>
      </c>
      <c r="B23" s="479">
        <f t="shared" ref="B23:E23" si="6">B5-B39</f>
        <v>283</v>
      </c>
      <c r="C23" s="459">
        <f t="shared" si="6"/>
        <v>8423.2842448648298</v>
      </c>
      <c r="D23" s="480">
        <f t="shared" si="6"/>
        <v>294</v>
      </c>
      <c r="E23" s="459">
        <f t="shared" si="6"/>
        <v>291832.42439024389</v>
      </c>
    </row>
    <row r="24" spans="1:5" x14ac:dyDescent="0.25">
      <c r="A24" s="531" t="s">
        <v>5</v>
      </c>
      <c r="B24" s="479">
        <f t="shared" ref="B24:E24" si="7">B6-B40</f>
        <v>31</v>
      </c>
      <c r="C24" s="459">
        <f t="shared" si="7"/>
        <v>-5588.3420064098536</v>
      </c>
      <c r="D24" s="480">
        <f t="shared" si="7"/>
        <v>36</v>
      </c>
      <c r="E24" s="459">
        <f t="shared" si="7"/>
        <v>137901.03902439025</v>
      </c>
    </row>
    <row r="25" spans="1:5" x14ac:dyDescent="0.25">
      <c r="A25" s="531" t="s">
        <v>7</v>
      </c>
      <c r="B25" s="479">
        <f t="shared" ref="B25:E25" si="8">B7-B41</f>
        <v>-107</v>
      </c>
      <c r="C25" s="459">
        <f t="shared" si="8"/>
        <v>-6447.4840429959804</v>
      </c>
      <c r="D25" s="480">
        <f t="shared" si="8"/>
        <v>-67</v>
      </c>
      <c r="E25" s="459">
        <f t="shared" si="8"/>
        <v>83163.053658536577</v>
      </c>
    </row>
    <row r="26" spans="1:5" x14ac:dyDescent="0.25">
      <c r="A26" s="531" t="s">
        <v>0</v>
      </c>
      <c r="B26" s="479">
        <f t="shared" ref="B26:E26" si="9">B8-B42</f>
        <v>134</v>
      </c>
      <c r="C26" s="459">
        <f t="shared" si="9"/>
        <v>8.562402447394561</v>
      </c>
      <c r="D26" s="480">
        <f t="shared" si="9"/>
        <v>44</v>
      </c>
      <c r="E26" s="459">
        <f t="shared" si="9"/>
        <v>238821.98048780486</v>
      </c>
    </row>
    <row r="27" spans="1:5" x14ac:dyDescent="0.25">
      <c r="A27" s="531" t="s">
        <v>1</v>
      </c>
      <c r="B27" s="479">
        <f t="shared" ref="B27:E27" si="10">B9-B43</f>
        <v>-12</v>
      </c>
      <c r="C27" s="459">
        <f t="shared" si="10"/>
        <v>-2882.5509354644018</v>
      </c>
      <c r="D27" s="480">
        <f t="shared" si="10"/>
        <v>-46</v>
      </c>
      <c r="E27" s="459">
        <f t="shared" si="10"/>
        <v>10233.56585365854</v>
      </c>
    </row>
    <row r="28" spans="1:5" x14ac:dyDescent="0.25">
      <c r="A28" s="531" t="s">
        <v>4</v>
      </c>
      <c r="B28" s="479">
        <f t="shared" ref="B28:E28" si="11">B10-B44</f>
        <v>3</v>
      </c>
      <c r="C28" s="459">
        <f t="shared" si="11"/>
        <v>-2771.5850138394599</v>
      </c>
      <c r="D28" s="480">
        <f t="shared" si="11"/>
        <v>-47</v>
      </c>
      <c r="E28" s="459">
        <f t="shared" si="11"/>
        <v>205669.93658536585</v>
      </c>
    </row>
    <row r="29" spans="1:5" x14ac:dyDescent="0.25">
      <c r="A29" s="531" t="s">
        <v>17</v>
      </c>
      <c r="B29" s="479">
        <f t="shared" ref="B29:E29" si="12">B11-B45</f>
        <v>34</v>
      </c>
      <c r="C29" s="459">
        <f t="shared" si="12"/>
        <v>696.70767517845616</v>
      </c>
      <c r="D29" s="480">
        <f t="shared" si="12"/>
        <v>0</v>
      </c>
      <c r="E29" s="459">
        <f t="shared" si="12"/>
        <v>-6462</v>
      </c>
    </row>
    <row r="30" spans="1:5" x14ac:dyDescent="0.25">
      <c r="A30" s="537" t="s">
        <v>205</v>
      </c>
      <c r="B30" s="479">
        <f t="shared" ref="B30:E30" si="13">B12-B46</f>
        <v>0</v>
      </c>
      <c r="C30" s="459">
        <f t="shared" si="13"/>
        <v>0</v>
      </c>
      <c r="D30" s="480">
        <f t="shared" si="13"/>
        <v>0</v>
      </c>
      <c r="E30" s="459">
        <f t="shared" si="13"/>
        <v>0</v>
      </c>
    </row>
    <row r="31" spans="1:5" x14ac:dyDescent="0.25">
      <c r="A31" s="538" t="s">
        <v>64</v>
      </c>
      <c r="B31" s="479">
        <f t="shared" ref="B31:E31" si="14">B13-B47</f>
        <v>0</v>
      </c>
      <c r="C31" s="459">
        <f t="shared" si="14"/>
        <v>-190.05555555555657</v>
      </c>
      <c r="D31" s="480">
        <f t="shared" si="14"/>
        <v>0</v>
      </c>
      <c r="E31" s="459">
        <f t="shared" si="14"/>
        <v>-14372</v>
      </c>
    </row>
    <row r="32" spans="1:5" ht="15.75" thickBot="1" x14ac:dyDescent="0.3">
      <c r="A32" s="539" t="s">
        <v>2</v>
      </c>
      <c r="B32" s="660">
        <f>SUM(B22:B31)</f>
        <v>467</v>
      </c>
      <c r="C32" s="661">
        <f t="shared" ref="C32:E32" si="15">SUM(C22:C31)</f>
        <v>-6850.0000000000009</v>
      </c>
      <c r="D32" s="662">
        <f t="shared" si="15"/>
        <v>214</v>
      </c>
      <c r="E32" s="661">
        <f t="shared" si="15"/>
        <v>848620</v>
      </c>
    </row>
    <row r="36" spans="1:6" ht="15.75" thickBot="1" x14ac:dyDescent="0.3">
      <c r="A36" s="50" t="s">
        <v>229</v>
      </c>
    </row>
    <row r="37" spans="1:6" x14ac:dyDescent="0.25">
      <c r="A37" s="529" t="s">
        <v>2</v>
      </c>
      <c r="B37" s="657">
        <v>10211</v>
      </c>
      <c r="C37" s="658">
        <v>517400</v>
      </c>
      <c r="D37" s="657">
        <v>7589</v>
      </c>
      <c r="E37" s="658">
        <v>1621980</v>
      </c>
    </row>
    <row r="38" spans="1:6" x14ac:dyDescent="0.25">
      <c r="A38" s="531" t="s">
        <v>6</v>
      </c>
      <c r="B38" s="479">
        <v>842</v>
      </c>
      <c r="C38" s="459">
        <v>41934</v>
      </c>
      <c r="D38" s="479">
        <f>'T6b-vykon'!K38</f>
        <v>0</v>
      </c>
      <c r="E38" s="459">
        <f>C42</f>
        <v>98168</v>
      </c>
    </row>
    <row r="39" spans="1:6" x14ac:dyDescent="0.25">
      <c r="A39" s="531" t="s">
        <v>3</v>
      </c>
      <c r="B39" s="479">
        <v>2150</v>
      </c>
      <c r="C39" s="459">
        <v>104675</v>
      </c>
      <c r="D39" s="479">
        <f>'T6b-vykon'!K39</f>
        <v>2133</v>
      </c>
      <c r="E39" s="459">
        <f>C40</f>
        <v>67553</v>
      </c>
    </row>
    <row r="40" spans="1:6" x14ac:dyDescent="0.25">
      <c r="A40" s="531" t="s">
        <v>5</v>
      </c>
      <c r="B40" s="479">
        <v>1302</v>
      </c>
      <c r="C40" s="459">
        <v>67553</v>
      </c>
      <c r="D40" s="479">
        <f>'T6b-vykon'!K40</f>
        <v>1297</v>
      </c>
      <c r="E40" s="459">
        <f>C41</f>
        <v>59487</v>
      </c>
    </row>
    <row r="41" spans="1:6" x14ac:dyDescent="0.25">
      <c r="A41" s="531" t="s">
        <v>7</v>
      </c>
      <c r="B41" s="479">
        <v>1248</v>
      </c>
      <c r="C41" s="459">
        <v>59487</v>
      </c>
      <c r="D41" s="479">
        <f>'T6b-vykon'!K41</f>
        <v>1208</v>
      </c>
      <c r="E41" s="459">
        <f>C44</f>
        <v>85794</v>
      </c>
    </row>
    <row r="42" spans="1:6" x14ac:dyDescent="0.25">
      <c r="A42" s="531" t="s">
        <v>0</v>
      </c>
      <c r="B42" s="479">
        <v>1978</v>
      </c>
      <c r="C42" s="459">
        <v>98168</v>
      </c>
      <c r="D42" s="479">
        <f>'T6b-vykon'!K42</f>
        <v>1852</v>
      </c>
      <c r="E42" s="459">
        <f>C38</f>
        <v>41934</v>
      </c>
    </row>
    <row r="43" spans="1:6" x14ac:dyDescent="0.25">
      <c r="A43" s="531" t="s">
        <v>1</v>
      </c>
      <c r="B43" s="479">
        <v>788</v>
      </c>
      <c r="C43" s="459">
        <v>38955</v>
      </c>
      <c r="D43" s="479">
        <f>'T6b-vykon'!K43</f>
        <v>822</v>
      </c>
      <c r="E43" s="459">
        <f>C39</f>
        <v>104675</v>
      </c>
    </row>
    <row r="44" spans="1:6" x14ac:dyDescent="0.25">
      <c r="A44" s="531" t="s">
        <v>4</v>
      </c>
      <c r="B44" s="479">
        <v>1783</v>
      </c>
      <c r="C44" s="459">
        <v>85794</v>
      </c>
      <c r="D44" s="479">
        <f>'T6b-vykon'!K44</f>
        <v>1699</v>
      </c>
      <c r="E44" s="459">
        <f>C43</f>
        <v>38955</v>
      </c>
    </row>
    <row r="45" spans="1:6" x14ac:dyDescent="0.25">
      <c r="A45" s="531" t="s">
        <v>17</v>
      </c>
      <c r="B45" s="479">
        <v>120</v>
      </c>
      <c r="C45" s="459">
        <v>6462</v>
      </c>
      <c r="D45" s="479">
        <f>'T6b-vykon'!K45</f>
        <v>0</v>
      </c>
      <c r="E45" s="459">
        <f>C45</f>
        <v>6462</v>
      </c>
    </row>
    <row r="46" spans="1:6" x14ac:dyDescent="0.25">
      <c r="A46" s="537" t="s">
        <v>205</v>
      </c>
      <c r="B46" s="479">
        <v>0</v>
      </c>
      <c r="C46" s="459">
        <v>0</v>
      </c>
      <c r="D46" s="479">
        <f>'T6b-vykon'!K46</f>
        <v>0</v>
      </c>
      <c r="E46" s="459">
        <v>0</v>
      </c>
    </row>
    <row r="47" spans="1:6" x14ac:dyDescent="0.25">
      <c r="A47" s="538" t="s">
        <v>64</v>
      </c>
      <c r="B47" s="479">
        <v>0</v>
      </c>
      <c r="C47" s="459">
        <v>14372</v>
      </c>
      <c r="D47" s="479">
        <f>'T6b-vykon'!K47</f>
        <v>0</v>
      </c>
      <c r="E47" s="459">
        <f>C47</f>
        <v>14372</v>
      </c>
      <c r="F47" s="460"/>
    </row>
    <row r="48" spans="1:6" ht="15.75" thickBot="1" x14ac:dyDescent="0.3">
      <c r="A48" s="539" t="s">
        <v>2</v>
      </c>
      <c r="B48" s="660">
        <f>SUM(B38:B47)</f>
        <v>10211</v>
      </c>
      <c r="C48" s="661">
        <f t="shared" ref="C48:E48" si="16">SUM(C38:C47)</f>
        <v>517400</v>
      </c>
      <c r="D48" s="660">
        <f t="shared" si="16"/>
        <v>9011</v>
      </c>
      <c r="E48" s="661">
        <f t="shared" si="16"/>
        <v>517400</v>
      </c>
      <c r="F48" s="460"/>
    </row>
  </sheetData>
  <sheetProtection algorithmName="SHA-512" hashValue="udz8MCOXvKEXDYVDjEmGfwdOyoLKA4S+fV9ZxECmYFOE+NxVydI0JWr+NNV2LgTQzn+ot0u1rwPOfx7xOwQefg==" saltValue="YCN+BHbqsEao+rwDkISo3Q==" spinCount="100000" sheet="1" objects="1" scenarios="1"/>
  <conditionalFormatting sqref="A21:E32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7"/>
  <dimension ref="A1:M5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ColWidth="9.42578125" defaultRowHeight="15" x14ac:dyDescent="0.25"/>
  <cols>
    <col min="1" max="1" width="48.28515625" style="50" customWidth="1"/>
    <col min="2" max="9" width="12.7109375" style="50" customWidth="1"/>
    <col min="10" max="10" width="4.42578125" style="50" customWidth="1"/>
    <col min="11" max="11" width="11.28515625" style="50" customWidth="1"/>
    <col min="12" max="12" width="14.28515625" style="50" customWidth="1"/>
    <col min="13" max="13" width="13.42578125" style="50" customWidth="1"/>
    <col min="14" max="16" width="9.42578125" style="50"/>
    <col min="17" max="17" width="16.28515625" style="50" customWidth="1"/>
    <col min="18" max="16384" width="9.42578125" style="50"/>
  </cols>
  <sheetData>
    <row r="1" spans="1:13" ht="24" customHeight="1" thickBot="1" x14ac:dyDescent="0.3">
      <c r="A1" s="1414" t="s">
        <v>277</v>
      </c>
      <c r="B1" s="1414"/>
      <c r="C1" s="1414"/>
      <c r="D1" s="1414"/>
      <c r="E1" s="1414"/>
      <c r="F1" s="1414"/>
      <c r="G1" s="1414"/>
      <c r="H1" s="1414"/>
      <c r="I1" s="1414"/>
      <c r="J1" s="664"/>
      <c r="K1" s="1414" t="s">
        <v>278</v>
      </c>
      <c r="L1" s="1414"/>
      <c r="M1" s="686"/>
    </row>
    <row r="2" spans="1:13" ht="24" customHeight="1" thickBot="1" x14ac:dyDescent="0.3">
      <c r="A2" s="680"/>
      <c r="B2" s="1421" t="s">
        <v>287</v>
      </c>
      <c r="C2" s="1422"/>
      <c r="D2" s="1422"/>
      <c r="E2" s="1423"/>
      <c r="F2" s="1421" t="s">
        <v>286</v>
      </c>
      <c r="G2" s="1422"/>
      <c r="H2" s="1422"/>
      <c r="I2" s="1423"/>
      <c r="K2" s="680"/>
      <c r="L2" s="681"/>
      <c r="M2" s="680"/>
    </row>
    <row r="3" spans="1:13" ht="73.5" customHeight="1" x14ac:dyDescent="0.25">
      <c r="A3" s="1424"/>
      <c r="B3" s="1415" t="s">
        <v>282</v>
      </c>
      <c r="C3" s="1426" t="s">
        <v>283</v>
      </c>
      <c r="D3" s="1415" t="s">
        <v>284</v>
      </c>
      <c r="E3" s="1415" t="s">
        <v>285</v>
      </c>
      <c r="F3" s="1428" t="s">
        <v>282</v>
      </c>
      <c r="G3" s="1417" t="s">
        <v>283</v>
      </c>
      <c r="H3" s="1415" t="s">
        <v>284</v>
      </c>
      <c r="I3" s="1415" t="s">
        <v>285</v>
      </c>
      <c r="K3" s="1419" t="s">
        <v>279</v>
      </c>
      <c r="L3" s="1412" t="s">
        <v>280</v>
      </c>
      <c r="M3" s="664"/>
    </row>
    <row r="4" spans="1:13" ht="36" customHeight="1" thickBot="1" x14ac:dyDescent="0.3">
      <c r="A4" s="1425"/>
      <c r="B4" s="1416"/>
      <c r="C4" s="1427"/>
      <c r="D4" s="1416"/>
      <c r="E4" s="1416"/>
      <c r="F4" s="1429"/>
      <c r="G4" s="1418"/>
      <c r="H4" s="1416"/>
      <c r="I4" s="1416"/>
      <c r="J4" s="679"/>
      <c r="K4" s="1420"/>
      <c r="L4" s="1413"/>
    </row>
    <row r="5" spans="1:13" x14ac:dyDescent="0.25">
      <c r="A5" s="475" t="s">
        <v>2</v>
      </c>
      <c r="B5" s="1167">
        <v>10.855061657976481</v>
      </c>
      <c r="C5" s="1168"/>
      <c r="D5" s="1167"/>
      <c r="E5" s="1168">
        <v>12.030314167325002</v>
      </c>
      <c r="F5" s="1169">
        <v>10.855061657976481</v>
      </c>
      <c r="G5" s="1170"/>
      <c r="H5" s="1171"/>
      <c r="I5" s="1171">
        <v>12.030314167325002</v>
      </c>
      <c r="J5" s="665"/>
      <c r="K5" s="666" t="s">
        <v>16</v>
      </c>
      <c r="L5" s="682">
        <v>8.0598080722868648</v>
      </c>
    </row>
    <row r="6" spans="1:13" x14ac:dyDescent="0.25">
      <c r="A6" s="478" t="s">
        <v>6</v>
      </c>
      <c r="B6" s="687">
        <v>0.3776082342388119</v>
      </c>
      <c r="C6" s="688">
        <v>0.20138201088902966</v>
      </c>
      <c r="D6" s="687">
        <v>4.2643923240938166</v>
      </c>
      <c r="E6" s="687">
        <f>C6*C$18+D6*D$18</f>
        <v>0.23713650164523176</v>
      </c>
      <c r="F6" s="690">
        <v>0.37589042574084264</v>
      </c>
      <c r="G6" s="689">
        <v>0.20519534433800199</v>
      </c>
      <c r="H6" s="689">
        <v>4.2643923240938166</v>
      </c>
      <c r="I6" s="689">
        <f>G6*G$18+H6*H$18</f>
        <v>0.24091627775985314</v>
      </c>
      <c r="J6" s="667"/>
      <c r="K6" s="668" t="s">
        <v>56</v>
      </c>
      <c r="L6" s="683">
        <v>6.2154685810368999</v>
      </c>
    </row>
    <row r="7" spans="1:13" x14ac:dyDescent="0.25">
      <c r="A7" s="478" t="s">
        <v>3</v>
      </c>
      <c r="B7" s="687">
        <v>1.8603495004542101</v>
      </c>
      <c r="C7" s="688">
        <v>2.1163794420310427</v>
      </c>
      <c r="D7" s="687">
        <v>2.4520255863539444</v>
      </c>
      <c r="E7" s="687">
        <f t="shared" ref="E7:E15" si="0">C7*C$18+D7*D$18</f>
        <v>2.1193331281010841</v>
      </c>
      <c r="F7" s="690">
        <v>1.8656492509402876</v>
      </c>
      <c r="G7" s="689">
        <v>2.121608535347173</v>
      </c>
      <c r="H7" s="689">
        <v>2.5373134328358211</v>
      </c>
      <c r="I7" s="689">
        <f t="shared" ref="I7:I15" si="1">G7*G$18+H7*H$18</f>
        <v>2.125266738445073</v>
      </c>
      <c r="J7" s="667"/>
      <c r="K7" s="669" t="s">
        <v>57</v>
      </c>
      <c r="L7" s="683">
        <v>0</v>
      </c>
    </row>
    <row r="8" spans="1:13" x14ac:dyDescent="0.25">
      <c r="A8" s="478" t="s">
        <v>5</v>
      </c>
      <c r="B8" s="687">
        <v>3.5593672353196699</v>
      </c>
      <c r="C8" s="688">
        <v>4.340654041631967</v>
      </c>
      <c r="D8" s="687">
        <v>1.6702203269367448</v>
      </c>
      <c r="E8" s="687">
        <f t="shared" si="0"/>
        <v>4.3171542249426489</v>
      </c>
      <c r="F8" s="690">
        <v>3.5912250839895115</v>
      </c>
      <c r="G8" s="689">
        <v>4.3788329100431698</v>
      </c>
      <c r="H8" s="689">
        <v>1.5671641791044779</v>
      </c>
      <c r="I8" s="689">
        <f t="shared" si="1"/>
        <v>4.3540902252109088</v>
      </c>
      <c r="J8" s="667"/>
      <c r="K8" s="668" t="s">
        <v>58</v>
      </c>
      <c r="L8" s="683">
        <v>0</v>
      </c>
    </row>
    <row r="9" spans="1:13" x14ac:dyDescent="0.25">
      <c r="A9" s="478" t="s">
        <v>7</v>
      </c>
      <c r="B9" s="687">
        <v>0.27577050571358686</v>
      </c>
      <c r="C9" s="688">
        <v>0.32795108031999515</v>
      </c>
      <c r="D9" s="687">
        <v>0</v>
      </c>
      <c r="E9" s="687">
        <f t="shared" si="0"/>
        <v>0.32506511081317918</v>
      </c>
      <c r="F9" s="690">
        <v>0.27479187975290087</v>
      </c>
      <c r="G9" s="689">
        <v>0.32661997525152708</v>
      </c>
      <c r="H9" s="689">
        <v>0</v>
      </c>
      <c r="I9" s="689">
        <f t="shared" si="1"/>
        <v>0.32374571946931363</v>
      </c>
      <c r="J9" s="667"/>
      <c r="K9" s="668" t="s">
        <v>59</v>
      </c>
      <c r="L9" s="683">
        <v>0</v>
      </c>
    </row>
    <row r="10" spans="1:13" x14ac:dyDescent="0.25">
      <c r="A10" s="478" t="s">
        <v>0</v>
      </c>
      <c r="B10" s="687">
        <v>2.1767231153300237</v>
      </c>
      <c r="C10" s="688">
        <v>2.2066523262534194</v>
      </c>
      <c r="D10" s="687">
        <v>0.31982942430703626</v>
      </c>
      <c r="E10" s="687">
        <f t="shared" si="0"/>
        <v>2.1900482847162914</v>
      </c>
      <c r="F10" s="690">
        <v>2.1676702742495855</v>
      </c>
      <c r="G10" s="689">
        <v>2.1965126597850984</v>
      </c>
      <c r="H10" s="689">
        <v>0.31982942430703626</v>
      </c>
      <c r="I10" s="689">
        <f t="shared" si="1"/>
        <v>2.1799978473128916</v>
      </c>
      <c r="J10" s="667"/>
      <c r="K10" s="668" t="s">
        <v>60</v>
      </c>
      <c r="L10" s="683">
        <v>1.8443394912499647</v>
      </c>
    </row>
    <row r="11" spans="1:13" x14ac:dyDescent="0.25">
      <c r="A11" s="478" t="s">
        <v>1</v>
      </c>
      <c r="B11" s="687">
        <v>0.58715862583649436</v>
      </c>
      <c r="C11" s="688">
        <v>0.51047137256550379</v>
      </c>
      <c r="D11" s="687">
        <v>5.4371002132196162</v>
      </c>
      <c r="E11" s="687">
        <f t="shared" si="0"/>
        <v>0.55382570636326001</v>
      </c>
      <c r="F11" s="690">
        <v>0.58771688746699513</v>
      </c>
      <c r="G11" s="689">
        <v>0.51050527816953839</v>
      </c>
      <c r="H11" s="689">
        <v>5.4371002132196162</v>
      </c>
      <c r="I11" s="689">
        <f t="shared" si="1"/>
        <v>0.55385931359797913</v>
      </c>
      <c r="J11" s="667"/>
      <c r="K11" s="668" t="s">
        <v>61</v>
      </c>
      <c r="L11" s="683">
        <v>0</v>
      </c>
    </row>
    <row r="12" spans="1:13" x14ac:dyDescent="0.25">
      <c r="A12" s="478" t="s">
        <v>4</v>
      </c>
      <c r="B12" s="687">
        <v>1.6380989294231283</v>
      </c>
      <c r="C12" s="688">
        <v>1.7890289884205286</v>
      </c>
      <c r="D12" s="687">
        <v>8.6709310589907584</v>
      </c>
      <c r="E12" s="687">
        <f t="shared" si="0"/>
        <v>1.8495897266415466</v>
      </c>
      <c r="F12" s="690">
        <v>1.6389632282759712</v>
      </c>
      <c r="G12" s="689">
        <v>1.7882713675275337</v>
      </c>
      <c r="H12" s="689">
        <v>8.6886993603411504</v>
      </c>
      <c r="I12" s="689">
        <f t="shared" si="1"/>
        <v>1.8489951338642936</v>
      </c>
      <c r="J12" s="667"/>
      <c r="K12" s="668" t="s">
        <v>62</v>
      </c>
      <c r="L12" s="683">
        <v>0</v>
      </c>
    </row>
    <row r="13" spans="1:13" x14ac:dyDescent="0.25">
      <c r="A13" s="478" t="s">
        <v>17</v>
      </c>
      <c r="B13" s="687">
        <v>0.14105816583455522</v>
      </c>
      <c r="C13" s="688">
        <v>0.12814352177635971</v>
      </c>
      <c r="D13" s="687">
        <v>0</v>
      </c>
      <c r="E13" s="687">
        <f t="shared" si="0"/>
        <v>0.12701585878472774</v>
      </c>
      <c r="F13" s="690">
        <v>0.1390166904084025</v>
      </c>
      <c r="G13" s="689">
        <v>0.12594120788046118</v>
      </c>
      <c r="H13" s="689">
        <v>0</v>
      </c>
      <c r="I13" s="689">
        <f t="shared" si="1"/>
        <v>0.12483292525111311</v>
      </c>
      <c r="J13" s="667"/>
      <c r="K13" s="670" t="s">
        <v>66</v>
      </c>
      <c r="L13" s="683">
        <v>0</v>
      </c>
    </row>
    <row r="14" spans="1:13" x14ac:dyDescent="0.25">
      <c r="A14" s="481" t="s">
        <v>205</v>
      </c>
      <c r="B14" s="687">
        <v>0.23892734582600239</v>
      </c>
      <c r="C14" s="688">
        <v>0.31390801585657224</v>
      </c>
      <c r="D14" s="687">
        <v>0</v>
      </c>
      <c r="E14" s="687">
        <f t="shared" si="0"/>
        <v>0.31114562531703438</v>
      </c>
      <c r="F14" s="690">
        <v>0.21413793715200302</v>
      </c>
      <c r="G14" s="689">
        <v>0.28094057596115601</v>
      </c>
      <c r="H14" s="689">
        <v>0</v>
      </c>
      <c r="I14" s="689">
        <f t="shared" si="1"/>
        <v>0.27846829889269781</v>
      </c>
      <c r="J14" s="667"/>
      <c r="K14" s="671" t="s">
        <v>67</v>
      </c>
      <c r="L14" s="683">
        <v>0</v>
      </c>
    </row>
    <row r="15" spans="1:13" x14ac:dyDescent="0.25">
      <c r="A15" s="482" t="s">
        <v>64</v>
      </c>
      <c r="B15" s="687">
        <v>0</v>
      </c>
      <c r="C15" s="688">
        <v>0</v>
      </c>
      <c r="D15" s="687">
        <v>0</v>
      </c>
      <c r="E15" s="687">
        <f t="shared" si="0"/>
        <v>0</v>
      </c>
      <c r="F15" s="690">
        <v>0</v>
      </c>
      <c r="G15" s="689">
        <v>0</v>
      </c>
      <c r="H15" s="689">
        <v>0</v>
      </c>
      <c r="I15" s="689">
        <f t="shared" si="1"/>
        <v>0</v>
      </c>
      <c r="J15" s="667"/>
      <c r="K15" s="668" t="s">
        <v>281</v>
      </c>
      <c r="L15" s="683">
        <v>0</v>
      </c>
    </row>
    <row r="16" spans="1:13" ht="15.75" thickBot="1" x14ac:dyDescent="0.3">
      <c r="A16" s="483" t="s">
        <v>2</v>
      </c>
      <c r="B16" s="1172">
        <f>SUM(B6:B15)</f>
        <v>10.855061657976485</v>
      </c>
      <c r="C16" s="1173">
        <f t="shared" ref="C16:I16" si="2">SUM(C6:C15)</f>
        <v>11.934570799744419</v>
      </c>
      <c r="D16" s="1172">
        <f t="shared" si="2"/>
        <v>22.814498933901916</v>
      </c>
      <c r="E16" s="1172">
        <f t="shared" si="2"/>
        <v>12.030314167325002</v>
      </c>
      <c r="F16" s="1174">
        <f t="shared" si="2"/>
        <v>10.855061657976499</v>
      </c>
      <c r="G16" s="1175">
        <f t="shared" si="2"/>
        <v>11.934427854303658</v>
      </c>
      <c r="H16" s="1176">
        <f t="shared" si="2"/>
        <v>22.81449893390192</v>
      </c>
      <c r="I16" s="1176">
        <f t="shared" si="2"/>
        <v>12.030172479804124</v>
      </c>
      <c r="J16" s="665"/>
      <c r="K16" s="672" t="s">
        <v>16</v>
      </c>
      <c r="L16" s="684">
        <f t="shared" ref="L16" si="3">SUM(L6:L15)</f>
        <v>8.0598080722868648</v>
      </c>
    </row>
    <row r="17" spans="1:13" ht="17.25" customHeight="1" thickBot="1" x14ac:dyDescent="0.3">
      <c r="A17" s="467" t="s">
        <v>90</v>
      </c>
      <c r="B17" s="675">
        <v>99.999999999999986</v>
      </c>
      <c r="C17" s="674">
        <v>99.999999999999972</v>
      </c>
      <c r="D17" s="675"/>
      <c r="E17" s="675"/>
      <c r="F17" s="673">
        <v>99.999999999999972</v>
      </c>
      <c r="G17" s="674"/>
      <c r="H17" s="675"/>
      <c r="I17" s="675">
        <v>99.999999999999986</v>
      </c>
      <c r="J17" s="676"/>
      <c r="K17" s="677" t="s">
        <v>90</v>
      </c>
      <c r="L17" s="685">
        <v>100</v>
      </c>
    </row>
    <row r="18" spans="1:13" ht="15.75" customHeight="1" x14ac:dyDescent="0.25">
      <c r="C18" s="50">
        <v>0.99119999999999997</v>
      </c>
      <c r="D18" s="50">
        <v>8.8000000000000005E-3</v>
      </c>
      <c r="G18" s="50">
        <v>0.99119999999999997</v>
      </c>
      <c r="H18" s="50">
        <v>8.8000000000000005E-3</v>
      </c>
      <c r="K18" s="492"/>
      <c r="M18" s="678"/>
    </row>
    <row r="22" spans="1:13" ht="15.75" thickBot="1" x14ac:dyDescent="0.3">
      <c r="A22" s="1" t="s">
        <v>270</v>
      </c>
    </row>
    <row r="23" spans="1:13" x14ac:dyDescent="0.25">
      <c r="A23" s="529" t="s">
        <v>2</v>
      </c>
      <c r="B23" s="691">
        <f>B5-B39</f>
        <v>-0.71493834202351891</v>
      </c>
      <c r="C23" s="693"/>
      <c r="D23" s="691"/>
      <c r="E23" s="693">
        <f>E5-E39</f>
        <v>-4.9685832674997599E-2</v>
      </c>
      <c r="F23" s="694">
        <f>F5-F39</f>
        <v>-0.71493834202351891</v>
      </c>
      <c r="G23" s="691"/>
      <c r="H23" s="691"/>
      <c r="I23" s="691">
        <f>I5-I39</f>
        <v>-4.9685832674997599E-2</v>
      </c>
      <c r="J23" s="695"/>
      <c r="K23" s="696" t="s">
        <v>16</v>
      </c>
      <c r="L23" s="697">
        <f>L5-L39</f>
        <v>2.3098080722868648</v>
      </c>
    </row>
    <row r="24" spans="1:13" x14ac:dyDescent="0.25">
      <c r="A24" s="531" t="s">
        <v>6</v>
      </c>
      <c r="B24" s="687">
        <f t="shared" ref="B24:I33" si="4">B6-B40</f>
        <v>-3.9365390571483028E-3</v>
      </c>
      <c r="C24" s="688">
        <f t="shared" si="4"/>
        <v>1.9135471423368577E-2</v>
      </c>
      <c r="D24" s="687">
        <f t="shared" si="4"/>
        <v>1.7757045412883867</v>
      </c>
      <c r="E24" s="687">
        <f t="shared" si="4"/>
        <v>3.459327923818073E-2</v>
      </c>
      <c r="F24" s="690">
        <f t="shared" si="4"/>
        <v>-5.654347555117567E-3</v>
      </c>
      <c r="G24" s="689">
        <f t="shared" si="4"/>
        <v>2.2948804872340911E-2</v>
      </c>
      <c r="H24" s="689">
        <f t="shared" si="4"/>
        <v>1.7757045412883867</v>
      </c>
      <c r="I24" s="689">
        <f t="shared" si="4"/>
        <v>3.837305535280211E-2</v>
      </c>
      <c r="J24" s="698"/>
      <c r="K24" s="668" t="s">
        <v>56</v>
      </c>
      <c r="L24" s="683">
        <f>L6-L40</f>
        <v>1.4467188655027865</v>
      </c>
    </row>
    <row r="25" spans="1:13" x14ac:dyDescent="0.25">
      <c r="A25" s="531" t="s">
        <v>3</v>
      </c>
      <c r="B25" s="687">
        <f t="shared" si="4"/>
        <v>-0.50254092472107437</v>
      </c>
      <c r="C25" s="688">
        <f t="shared" si="4"/>
        <v>-0.58680722303091937</v>
      </c>
      <c r="D25" s="687">
        <f t="shared" si="4"/>
        <v>0.45353388197988731</v>
      </c>
      <c r="E25" s="687">
        <f t="shared" si="4"/>
        <v>-0.57765222130682448</v>
      </c>
      <c r="F25" s="690">
        <f t="shared" si="4"/>
        <v>-0.49724117423499692</v>
      </c>
      <c r="G25" s="689">
        <f t="shared" si="4"/>
        <v>-0.58157812971478906</v>
      </c>
      <c r="H25" s="689">
        <f t="shared" si="4"/>
        <v>0.53882172846176402</v>
      </c>
      <c r="I25" s="689">
        <f t="shared" si="4"/>
        <v>-0.5717186109628356</v>
      </c>
      <c r="J25" s="698"/>
      <c r="K25" s="669" t="s">
        <v>57</v>
      </c>
      <c r="L25" s="683">
        <f t="shared" ref="L25:L33" si="5">L7-L41</f>
        <v>0</v>
      </c>
    </row>
    <row r="26" spans="1:13" x14ac:dyDescent="0.25">
      <c r="A26" s="531" t="s">
        <v>5</v>
      </c>
      <c r="B26" s="687">
        <f t="shared" si="4"/>
        <v>0.21272393479759844</v>
      </c>
      <c r="C26" s="688">
        <f t="shared" si="4"/>
        <v>0.34962458620357184</v>
      </c>
      <c r="D26" s="687">
        <f t="shared" si="4"/>
        <v>0.1242173103454931</v>
      </c>
      <c r="E26" s="687">
        <f t="shared" si="4"/>
        <v>0.34764100217602056</v>
      </c>
      <c r="F26" s="690">
        <f t="shared" si="4"/>
        <v>0.24458178346743997</v>
      </c>
      <c r="G26" s="689">
        <f t="shared" si="4"/>
        <v>0.38780345461477461</v>
      </c>
      <c r="H26" s="689">
        <f t="shared" si="4"/>
        <v>2.1161162513226195E-2</v>
      </c>
      <c r="I26" s="689">
        <f t="shared" si="4"/>
        <v>0.3845770024442805</v>
      </c>
      <c r="J26" s="698"/>
      <c r="K26" s="668" t="s">
        <v>58</v>
      </c>
      <c r="L26" s="683">
        <f t="shared" si="5"/>
        <v>0</v>
      </c>
    </row>
    <row r="27" spans="1:13" x14ac:dyDescent="0.25">
      <c r="A27" s="531" t="s">
        <v>7</v>
      </c>
      <c r="B27" s="687">
        <f t="shared" si="4"/>
        <v>0.10299497819951223</v>
      </c>
      <c r="C27" s="688">
        <f t="shared" si="4"/>
        <v>0.14702614146776419</v>
      </c>
      <c r="D27" s="687">
        <f t="shared" si="4"/>
        <v>0</v>
      </c>
      <c r="E27" s="687">
        <f t="shared" si="4"/>
        <v>0.14573231142284787</v>
      </c>
      <c r="F27" s="690">
        <f t="shared" si="4"/>
        <v>0.10201635223882624</v>
      </c>
      <c r="G27" s="689">
        <f t="shared" si="4"/>
        <v>0.14569503639929612</v>
      </c>
      <c r="H27" s="689">
        <f t="shared" si="4"/>
        <v>0</v>
      </c>
      <c r="I27" s="689">
        <f t="shared" si="4"/>
        <v>0.14441292007898232</v>
      </c>
      <c r="J27" s="698"/>
      <c r="K27" s="668" t="s">
        <v>59</v>
      </c>
      <c r="L27" s="683">
        <f t="shared" si="5"/>
        <v>0</v>
      </c>
    </row>
    <row r="28" spans="1:13" x14ac:dyDescent="0.25">
      <c r="A28" s="531" t="s">
        <v>0</v>
      </c>
      <c r="B28" s="687">
        <f t="shared" si="4"/>
        <v>-0.47432880997975779</v>
      </c>
      <c r="C28" s="688">
        <f t="shared" si="4"/>
        <v>3.9536758620501988E-2</v>
      </c>
      <c r="D28" s="687">
        <f t="shared" si="4"/>
        <v>9.3585080415633515E-2</v>
      </c>
      <c r="E28" s="687">
        <f t="shared" si="4"/>
        <v>4.0012383852299216E-2</v>
      </c>
      <c r="F28" s="690">
        <f t="shared" si="4"/>
        <v>-0.48338165106019604</v>
      </c>
      <c r="G28" s="689">
        <f t="shared" si="4"/>
        <v>2.9397092152180893E-2</v>
      </c>
      <c r="H28" s="689">
        <f t="shared" si="4"/>
        <v>9.3585080415633515E-2</v>
      </c>
      <c r="I28" s="689">
        <f t="shared" si="4"/>
        <v>2.9961946448899379E-2</v>
      </c>
      <c r="J28" s="698"/>
      <c r="K28" s="668" t="s">
        <v>60</v>
      </c>
      <c r="L28" s="683">
        <f>L10-L44</f>
        <v>0.86308920678407786</v>
      </c>
    </row>
    <row r="29" spans="1:13" x14ac:dyDescent="0.25">
      <c r="A29" s="531" t="s">
        <v>1</v>
      </c>
      <c r="B29" s="687">
        <f t="shared" si="4"/>
        <v>-5.5758143319145304E-2</v>
      </c>
      <c r="C29" s="688">
        <f t="shared" si="4"/>
        <v>-8.3696452299077295E-2</v>
      </c>
      <c r="D29" s="687">
        <f t="shared" si="4"/>
        <v>-0.59608229055112272</v>
      </c>
      <c r="E29" s="687">
        <f t="shared" si="4"/>
        <v>-8.820544767569527E-2</v>
      </c>
      <c r="F29" s="690">
        <f t="shared" si="4"/>
        <v>-5.5199881688644536E-2</v>
      </c>
      <c r="G29" s="689">
        <f t="shared" si="4"/>
        <v>-8.3662546695042694E-2</v>
      </c>
      <c r="H29" s="689">
        <f t="shared" si="4"/>
        <v>-0.59608229055112272</v>
      </c>
      <c r="I29" s="689">
        <f t="shared" si="4"/>
        <v>-8.8171840440976146E-2</v>
      </c>
      <c r="J29" s="698"/>
      <c r="K29" s="668" t="s">
        <v>61</v>
      </c>
      <c r="L29" s="683">
        <f t="shared" si="5"/>
        <v>0</v>
      </c>
    </row>
    <row r="30" spans="1:13" x14ac:dyDescent="0.25">
      <c r="A30" s="531" t="s">
        <v>4</v>
      </c>
      <c r="B30" s="687">
        <f t="shared" si="4"/>
        <v>0.13306069393947162</v>
      </c>
      <c r="C30" s="688">
        <f t="shared" si="4"/>
        <v>0.14105105022672149</v>
      </c>
      <c r="D30" s="687">
        <f t="shared" si="4"/>
        <v>2.0344303048429442</v>
      </c>
      <c r="E30" s="687">
        <f t="shared" si="4"/>
        <v>0.15771278766734431</v>
      </c>
      <c r="F30" s="690">
        <f t="shared" si="4"/>
        <v>0.13392499279231451</v>
      </c>
      <c r="G30" s="689">
        <f t="shared" si="4"/>
        <v>0.14029342933372657</v>
      </c>
      <c r="H30" s="689">
        <f t="shared" si="4"/>
        <v>2.0521986061933362</v>
      </c>
      <c r="I30" s="689">
        <f t="shared" si="4"/>
        <v>0.15711819489009127</v>
      </c>
      <c r="J30" s="698"/>
      <c r="K30" s="668" t="s">
        <v>62</v>
      </c>
      <c r="L30" s="683">
        <f t="shared" si="5"/>
        <v>0</v>
      </c>
    </row>
    <row r="31" spans="1:13" x14ac:dyDescent="0.25">
      <c r="A31" s="531" t="s">
        <v>17</v>
      </c>
      <c r="B31" s="687">
        <f t="shared" si="4"/>
        <v>8.9218174242424703E-2</v>
      </c>
      <c r="C31" s="688">
        <f t="shared" si="4"/>
        <v>8.8068052235466293E-2</v>
      </c>
      <c r="D31" s="687">
        <f t="shared" si="4"/>
        <v>0</v>
      </c>
      <c r="E31" s="687">
        <f t="shared" si="4"/>
        <v>8.7293053375794183E-2</v>
      </c>
      <c r="F31" s="690">
        <f t="shared" si="4"/>
        <v>8.7176698816271991E-2</v>
      </c>
      <c r="G31" s="689">
        <f t="shared" si="4"/>
        <v>8.586573833956776E-2</v>
      </c>
      <c r="H31" s="689">
        <f t="shared" si="4"/>
        <v>0</v>
      </c>
      <c r="I31" s="689">
        <f t="shared" si="4"/>
        <v>8.511011984217956E-2</v>
      </c>
      <c r="J31" s="698"/>
      <c r="K31" s="670" t="s">
        <v>66</v>
      </c>
      <c r="L31" s="683">
        <f t="shared" si="5"/>
        <v>0</v>
      </c>
    </row>
    <row r="32" spans="1:13" x14ac:dyDescent="0.25">
      <c r="A32" s="537" t="s">
        <v>205</v>
      </c>
      <c r="B32" s="687">
        <f t="shared" si="4"/>
        <v>0.14906989013309702</v>
      </c>
      <c r="C32" s="688">
        <f t="shared" si="4"/>
        <v>0.19689926930185658</v>
      </c>
      <c r="D32" s="687">
        <f t="shared" si="4"/>
        <v>-7.5414781297134234E-2</v>
      </c>
      <c r="E32" s="687">
        <f t="shared" si="4"/>
        <v>0.19450290565658543</v>
      </c>
      <c r="F32" s="690">
        <f t="shared" si="4"/>
        <v>0.12428048145909763</v>
      </c>
      <c r="G32" s="689">
        <f t="shared" si="4"/>
        <v>0.16393182940644035</v>
      </c>
      <c r="H32" s="689">
        <f t="shared" si="4"/>
        <v>-7.5414781297134234E-2</v>
      </c>
      <c r="I32" s="689">
        <f t="shared" si="4"/>
        <v>0.16182557923224886</v>
      </c>
      <c r="J32" s="698"/>
      <c r="K32" s="671" t="s">
        <v>67</v>
      </c>
      <c r="L32" s="683">
        <f t="shared" si="5"/>
        <v>0</v>
      </c>
    </row>
    <row r="33" spans="1:12" x14ac:dyDescent="0.25">
      <c r="A33" s="538" t="s">
        <v>64</v>
      </c>
      <c r="B33" s="687">
        <f t="shared" si="4"/>
        <v>-0.3694462598678363</v>
      </c>
      <c r="C33" s="688">
        <f t="shared" si="4"/>
        <v>-0.39098106782642805</v>
      </c>
      <c r="D33" s="687">
        <f t="shared" si="4"/>
        <v>0</v>
      </c>
      <c r="E33" s="687">
        <f t="shared" si="4"/>
        <v>-0.38754043442955549</v>
      </c>
      <c r="F33" s="690">
        <f t="shared" si="4"/>
        <v>-0.3694462598678363</v>
      </c>
      <c r="G33" s="689">
        <f t="shared" si="4"/>
        <v>-0.39098106782642805</v>
      </c>
      <c r="H33" s="689">
        <f t="shared" si="4"/>
        <v>0</v>
      </c>
      <c r="I33" s="689">
        <f t="shared" si="4"/>
        <v>-0.38754043442955549</v>
      </c>
      <c r="J33" s="698"/>
      <c r="K33" s="668" t="s">
        <v>281</v>
      </c>
      <c r="L33" s="683">
        <f t="shared" si="5"/>
        <v>0</v>
      </c>
    </row>
    <row r="34" spans="1:12" ht="15.75" thickBot="1" x14ac:dyDescent="0.3">
      <c r="A34" s="539" t="s">
        <v>2</v>
      </c>
      <c r="B34" s="699">
        <f>SUM(B24:B33)</f>
        <v>-0.71894300563285807</v>
      </c>
      <c r="C34" s="700">
        <f t="shared" ref="C34:I34" si="6">SUM(C24:C33)</f>
        <v>-8.0143413677173758E-2</v>
      </c>
      <c r="D34" s="699">
        <f t="shared" si="6"/>
        <v>3.8099740470240877</v>
      </c>
      <c r="E34" s="699">
        <f t="shared" si="6"/>
        <v>-4.5910380023003017E-2</v>
      </c>
      <c r="F34" s="701">
        <f t="shared" si="6"/>
        <v>-0.71894300563284108</v>
      </c>
      <c r="G34" s="692">
        <f t="shared" si="6"/>
        <v>-8.0286359117932526E-2</v>
      </c>
      <c r="H34" s="692">
        <f t="shared" si="6"/>
        <v>3.8099740470240895</v>
      </c>
      <c r="I34" s="692">
        <f t="shared" si="6"/>
        <v>-4.6052067543883246E-2</v>
      </c>
      <c r="J34" s="702"/>
      <c r="K34" s="703" t="s">
        <v>16</v>
      </c>
      <c r="L34" s="704">
        <f t="shared" ref="L34" si="7">SUM(L24:L33)</f>
        <v>2.3098080722868644</v>
      </c>
    </row>
    <row r="38" spans="1:12" ht="15.75" thickBot="1" x14ac:dyDescent="0.3">
      <c r="A38" s="50" t="s">
        <v>229</v>
      </c>
    </row>
    <row r="39" spans="1:12" x14ac:dyDescent="0.25">
      <c r="A39" s="529" t="s">
        <v>2</v>
      </c>
      <c r="B39" s="691">
        <v>11.57</v>
      </c>
      <c r="C39" s="693"/>
      <c r="D39" s="691"/>
      <c r="E39" s="693">
        <v>12.08</v>
      </c>
      <c r="F39" s="694">
        <v>11.57</v>
      </c>
      <c r="G39" s="691"/>
      <c r="H39" s="691"/>
      <c r="I39" s="691">
        <v>12.08</v>
      </c>
      <c r="J39" s="695"/>
      <c r="K39" s="696" t="s">
        <v>16</v>
      </c>
      <c r="L39" s="697">
        <v>5.75</v>
      </c>
    </row>
    <row r="40" spans="1:12" x14ac:dyDescent="0.25">
      <c r="A40" s="531" t="s">
        <v>6</v>
      </c>
      <c r="B40" s="687">
        <v>0.3815447732959602</v>
      </c>
      <c r="C40" s="688">
        <v>0.18224653946566108</v>
      </c>
      <c r="D40" s="687">
        <v>2.4886877828054299</v>
      </c>
      <c r="E40" s="687">
        <f t="shared" ref="E40:E49" si="8">C40*C$18+D40*D$18</f>
        <v>0.20254322240705103</v>
      </c>
      <c r="F40" s="690">
        <v>0.3815447732959602</v>
      </c>
      <c r="G40" s="689">
        <v>0.18224653946566108</v>
      </c>
      <c r="H40" s="689">
        <v>2.4886877828054299</v>
      </c>
      <c r="I40" s="689">
        <f t="shared" ref="I40:I49" si="9">G40*G$18+H40*H$18</f>
        <v>0.20254322240705103</v>
      </c>
      <c r="J40" s="698"/>
      <c r="K40" s="668" t="s">
        <v>56</v>
      </c>
      <c r="L40" s="683">
        <v>4.7687497155341134</v>
      </c>
    </row>
    <row r="41" spans="1:12" x14ac:dyDescent="0.25">
      <c r="A41" s="531" t="s">
        <v>3</v>
      </c>
      <c r="B41" s="687">
        <v>2.3628904251752845</v>
      </c>
      <c r="C41" s="688">
        <v>2.703186665061962</v>
      </c>
      <c r="D41" s="687">
        <v>1.9984917043740571</v>
      </c>
      <c r="E41" s="687">
        <f t="shared" si="8"/>
        <v>2.6969853494079086</v>
      </c>
      <c r="F41" s="690">
        <v>2.3628904251752845</v>
      </c>
      <c r="G41" s="689">
        <v>2.703186665061962</v>
      </c>
      <c r="H41" s="689">
        <v>1.9984917043740571</v>
      </c>
      <c r="I41" s="689">
        <f t="shared" si="9"/>
        <v>2.6969853494079086</v>
      </c>
      <c r="J41" s="698"/>
      <c r="K41" s="669" t="s">
        <v>57</v>
      </c>
      <c r="L41" s="683"/>
    </row>
    <row r="42" spans="1:12" x14ac:dyDescent="0.25">
      <c r="A42" s="531" t="s">
        <v>5</v>
      </c>
      <c r="B42" s="687">
        <v>3.3466433005220715</v>
      </c>
      <c r="C42" s="688">
        <v>3.9910294554283952</v>
      </c>
      <c r="D42" s="687">
        <v>1.5460030165912517</v>
      </c>
      <c r="E42" s="687">
        <f t="shared" si="8"/>
        <v>3.9695132227666283</v>
      </c>
      <c r="F42" s="690">
        <v>3.3466433005220715</v>
      </c>
      <c r="G42" s="689">
        <v>3.9910294554283952</v>
      </c>
      <c r="H42" s="689">
        <v>1.5460030165912517</v>
      </c>
      <c r="I42" s="689">
        <f t="shared" si="9"/>
        <v>3.9695132227666283</v>
      </c>
      <c r="J42" s="698"/>
      <c r="K42" s="668" t="s">
        <v>58</v>
      </c>
      <c r="L42" s="683"/>
    </row>
    <row r="43" spans="1:12" x14ac:dyDescent="0.25">
      <c r="A43" s="531" t="s">
        <v>7</v>
      </c>
      <c r="B43" s="687">
        <v>0.17277552751407463</v>
      </c>
      <c r="C43" s="688">
        <v>0.18092493885223096</v>
      </c>
      <c r="D43" s="687">
        <v>0</v>
      </c>
      <c r="E43" s="687">
        <f t="shared" si="8"/>
        <v>0.17933279939033131</v>
      </c>
      <c r="F43" s="690">
        <v>0.17277552751407463</v>
      </c>
      <c r="G43" s="689">
        <v>0.18092493885223096</v>
      </c>
      <c r="H43" s="689">
        <v>0</v>
      </c>
      <c r="I43" s="689">
        <f t="shared" si="9"/>
        <v>0.17933279939033131</v>
      </c>
      <c r="J43" s="698"/>
      <c r="K43" s="668" t="s">
        <v>59</v>
      </c>
      <c r="L43" s="683"/>
    </row>
    <row r="44" spans="1:12" x14ac:dyDescent="0.25">
      <c r="A44" s="531" t="s">
        <v>0</v>
      </c>
      <c r="B44" s="687">
        <v>2.6510519253097815</v>
      </c>
      <c r="C44" s="688">
        <v>2.1671155676329175</v>
      </c>
      <c r="D44" s="687">
        <v>0.22624434389140274</v>
      </c>
      <c r="E44" s="687">
        <f t="shared" si="8"/>
        <v>2.1500359008639922</v>
      </c>
      <c r="F44" s="690">
        <v>2.6510519253097815</v>
      </c>
      <c r="G44" s="689">
        <v>2.1671155676329175</v>
      </c>
      <c r="H44" s="689">
        <v>0.22624434389140274</v>
      </c>
      <c r="I44" s="689">
        <f t="shared" si="9"/>
        <v>2.1500359008639922</v>
      </c>
      <c r="J44" s="698"/>
      <c r="K44" s="668" t="s">
        <v>60</v>
      </c>
      <c r="L44" s="683">
        <v>0.9812502844658868</v>
      </c>
    </row>
    <row r="45" spans="1:12" x14ac:dyDescent="0.25">
      <c r="A45" s="531" t="s">
        <v>1</v>
      </c>
      <c r="B45" s="687">
        <v>0.64291676915563967</v>
      </c>
      <c r="C45" s="688">
        <v>0.59416782486458108</v>
      </c>
      <c r="D45" s="687">
        <v>6.0331825037707389</v>
      </c>
      <c r="E45" s="687">
        <f t="shared" si="8"/>
        <v>0.64203115403895528</v>
      </c>
      <c r="F45" s="690">
        <v>0.64291676915563967</v>
      </c>
      <c r="G45" s="689">
        <v>0.59416782486458108</v>
      </c>
      <c r="H45" s="689">
        <v>6.0331825037707389</v>
      </c>
      <c r="I45" s="689">
        <f t="shared" si="9"/>
        <v>0.64203115403895528</v>
      </c>
      <c r="J45" s="698"/>
      <c r="K45" s="668" t="s">
        <v>61</v>
      </c>
      <c r="L45" s="683"/>
    </row>
    <row r="46" spans="1:12" x14ac:dyDescent="0.25">
      <c r="A46" s="531" t="s">
        <v>4</v>
      </c>
      <c r="B46" s="687">
        <v>1.5050382354836567</v>
      </c>
      <c r="C46" s="688">
        <v>1.6479779381938071</v>
      </c>
      <c r="D46" s="687">
        <v>6.6365007541478143</v>
      </c>
      <c r="E46" s="687">
        <f t="shared" si="8"/>
        <v>1.6918769389742023</v>
      </c>
      <c r="F46" s="690">
        <v>1.5050382354836567</v>
      </c>
      <c r="G46" s="689">
        <v>1.6479779381938071</v>
      </c>
      <c r="H46" s="689">
        <v>6.6365007541478143</v>
      </c>
      <c r="I46" s="689">
        <f t="shared" si="9"/>
        <v>1.6918769389742023</v>
      </c>
      <c r="J46" s="698"/>
      <c r="K46" s="668" t="s">
        <v>62</v>
      </c>
      <c r="L46" s="683"/>
    </row>
    <row r="47" spans="1:12" x14ac:dyDescent="0.25">
      <c r="A47" s="531" t="s">
        <v>17</v>
      </c>
      <c r="B47" s="687">
        <v>5.1839991592130506E-2</v>
      </c>
      <c r="C47" s="688">
        <v>4.0075469540893423E-2</v>
      </c>
      <c r="D47" s="687">
        <v>0</v>
      </c>
      <c r="E47" s="687">
        <f t="shared" si="8"/>
        <v>3.9722805408933561E-2</v>
      </c>
      <c r="F47" s="690">
        <v>5.1839991592130506E-2</v>
      </c>
      <c r="G47" s="689">
        <v>4.0075469540893423E-2</v>
      </c>
      <c r="H47" s="689">
        <v>0</v>
      </c>
      <c r="I47" s="689">
        <f t="shared" si="9"/>
        <v>3.9722805408933561E-2</v>
      </c>
      <c r="J47" s="698"/>
      <c r="K47" s="670" t="s">
        <v>66</v>
      </c>
      <c r="L47" s="683"/>
    </row>
    <row r="48" spans="1:12" x14ac:dyDescent="0.25">
      <c r="A48" s="537" t="s">
        <v>205</v>
      </c>
      <c r="B48" s="687">
        <v>8.9857455692905389E-2</v>
      </c>
      <c r="C48" s="688">
        <v>0.11700874655471566</v>
      </c>
      <c r="D48" s="687">
        <v>7.5414781297134234E-2</v>
      </c>
      <c r="E48" s="687">
        <f t="shared" si="8"/>
        <v>0.11664271966044895</v>
      </c>
      <c r="F48" s="690">
        <v>8.9857455692905389E-2</v>
      </c>
      <c r="G48" s="689">
        <v>0.11700874655471566</v>
      </c>
      <c r="H48" s="689">
        <v>7.5414781297134234E-2</v>
      </c>
      <c r="I48" s="689">
        <f t="shared" si="9"/>
        <v>0.11664271966044895</v>
      </c>
      <c r="J48" s="698"/>
      <c r="K48" s="671" t="s">
        <v>67</v>
      </c>
      <c r="L48" s="683"/>
    </row>
    <row r="49" spans="1:12" x14ac:dyDescent="0.25">
      <c r="A49" s="538" t="s">
        <v>64</v>
      </c>
      <c r="B49" s="687">
        <v>0.3694462598678363</v>
      </c>
      <c r="C49" s="688">
        <v>0.39098106782642805</v>
      </c>
      <c r="D49" s="687">
        <v>0</v>
      </c>
      <c r="E49" s="687">
        <f t="shared" si="8"/>
        <v>0.38754043442955549</v>
      </c>
      <c r="F49" s="690">
        <v>0.3694462598678363</v>
      </c>
      <c r="G49" s="689">
        <v>0.39098106782642805</v>
      </c>
      <c r="H49" s="689">
        <v>0</v>
      </c>
      <c r="I49" s="689">
        <f t="shared" si="9"/>
        <v>0.38754043442955549</v>
      </c>
      <c r="J49" s="698"/>
      <c r="K49" s="668" t="s">
        <v>281</v>
      </c>
      <c r="L49" s="683"/>
    </row>
    <row r="50" spans="1:12" ht="15.75" thickBot="1" x14ac:dyDescent="0.3">
      <c r="A50" s="539" t="s">
        <v>2</v>
      </c>
      <c r="B50" s="699">
        <f>SUM(B40:B49)</f>
        <v>11.57400466360934</v>
      </c>
      <c r="C50" s="700">
        <f t="shared" ref="C50:I50" si="10">SUM(C40:C49)</f>
        <v>12.014714213421591</v>
      </c>
      <c r="D50" s="699">
        <f t="shared" si="10"/>
        <v>19.004524886877828</v>
      </c>
      <c r="E50" s="699">
        <f t="shared" si="10"/>
        <v>12.076224547348007</v>
      </c>
      <c r="F50" s="701">
        <f t="shared" si="10"/>
        <v>11.57400466360934</v>
      </c>
      <c r="G50" s="692">
        <f t="shared" si="10"/>
        <v>12.014714213421591</v>
      </c>
      <c r="H50" s="692">
        <f t="shared" si="10"/>
        <v>19.004524886877828</v>
      </c>
      <c r="I50" s="692">
        <f t="shared" si="10"/>
        <v>12.076224547348007</v>
      </c>
      <c r="J50" s="702"/>
      <c r="K50" s="703" t="s">
        <v>16</v>
      </c>
      <c r="L50" s="704">
        <f t="shared" ref="L50" si="11">SUM(L40:L49)</f>
        <v>5.75</v>
      </c>
    </row>
  </sheetData>
  <sheetProtection algorithmName="SHA-512" hashValue="RGpyu9nJ2le2hpbkltuaFpBDZSnHymkgEYXk5A68h+zraSZgXfrsTCOMyRDqKaZ50dWosxSSgow5wKhRINgl7Q==" saltValue="TEvUtar2JH+EW1nj/ZMpKQ==" spinCount="100000" sheet="1" objects="1" scenarios="1"/>
  <mergeCells count="15">
    <mergeCell ref="L3:L4"/>
    <mergeCell ref="K1:L1"/>
    <mergeCell ref="E3:E4"/>
    <mergeCell ref="G3:G4"/>
    <mergeCell ref="D3:D4"/>
    <mergeCell ref="H3:H4"/>
    <mergeCell ref="K3:K4"/>
    <mergeCell ref="B2:E2"/>
    <mergeCell ref="F2:I2"/>
    <mergeCell ref="A1:I1"/>
    <mergeCell ref="A3:A4"/>
    <mergeCell ref="B3:B4"/>
    <mergeCell ref="C3:C4"/>
    <mergeCell ref="F3:F4"/>
    <mergeCell ref="I3:I4"/>
  </mergeCells>
  <conditionalFormatting sqref="A23:XFD34">
    <cfRule type="cellIs" dxfId="1" priority="2" operator="lessThan">
      <formula>0</formula>
    </cfRule>
  </conditionalFormatting>
  <conditionalFormatting sqref="K23:L34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F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ColWidth="8.7109375" defaultRowHeight="15" x14ac:dyDescent="0.25"/>
  <cols>
    <col min="1" max="1" width="18" style="50" customWidth="1"/>
    <col min="2" max="3" width="17.5703125" style="50" customWidth="1"/>
    <col min="4" max="4" width="16.5703125" style="50" customWidth="1"/>
    <col min="5" max="5" width="18.42578125" style="50" customWidth="1"/>
    <col min="6" max="6" width="11.5703125" style="50" bestFit="1" customWidth="1"/>
    <col min="7" max="16384" width="8.7109375" style="2"/>
  </cols>
  <sheetData>
    <row r="1" spans="1:6" ht="15.75" thickBot="1" x14ac:dyDescent="0.3">
      <c r="B1" s="234" t="s">
        <v>134</v>
      </c>
      <c r="C1" s="234" t="s">
        <v>135</v>
      </c>
      <c r="D1" s="234" t="s">
        <v>135</v>
      </c>
      <c r="E1" s="237"/>
    </row>
    <row r="2" spans="1:6" ht="15.75" thickBot="1" x14ac:dyDescent="0.3">
      <c r="A2" s="235"/>
      <c r="B2" s="1430" t="s">
        <v>136</v>
      </c>
      <c r="C2" s="1431"/>
      <c r="D2" s="1431"/>
      <c r="E2" s="1432"/>
    </row>
    <row r="3" spans="1:6" ht="15.75" thickBot="1" x14ac:dyDescent="0.3">
      <c r="A3" s="30"/>
      <c r="B3" s="238" t="s">
        <v>137</v>
      </c>
      <c r="C3" s="239" t="s">
        <v>138</v>
      </c>
      <c r="D3" s="236" t="s">
        <v>139</v>
      </c>
      <c r="E3" s="240" t="s">
        <v>55</v>
      </c>
    </row>
    <row r="4" spans="1:6" x14ac:dyDescent="0.25">
      <c r="A4" s="255" t="s">
        <v>16</v>
      </c>
      <c r="B4" s="259">
        <v>5.5837087087087088E-2</v>
      </c>
      <c r="C4" s="260">
        <v>7.29111039908861E-2</v>
      </c>
      <c r="D4" s="261">
        <v>0.13696380061911681</v>
      </c>
      <c r="E4" s="267">
        <v>88538</v>
      </c>
    </row>
    <row r="5" spans="1:6" x14ac:dyDescent="0.25">
      <c r="A5" s="256" t="s">
        <v>56</v>
      </c>
      <c r="B5" s="262">
        <v>2.7214714714714713E-3</v>
      </c>
      <c r="C5" s="251">
        <v>2.2108298622236459E-2</v>
      </c>
      <c r="D5" s="263">
        <v>1.7752226925263757E-2</v>
      </c>
      <c r="E5" s="253">
        <f t="shared" ref="E5:E14" si="0">INT(0.5+SUMPRODUCT(B5:D5,$B$16:$D$16)*$B$18)</f>
        <v>14183</v>
      </c>
    </row>
    <row r="6" spans="1:6" x14ac:dyDescent="0.25">
      <c r="A6" s="21" t="s">
        <v>57</v>
      </c>
      <c r="B6" s="262">
        <v>1.6610360360360361E-2</v>
      </c>
      <c r="C6" s="251">
        <v>7.5830396240521188E-3</v>
      </c>
      <c r="D6" s="263">
        <v>1.137153326173479E-2</v>
      </c>
      <c r="E6" s="253">
        <f t="shared" si="0"/>
        <v>11860</v>
      </c>
    </row>
    <row r="7" spans="1:6" x14ac:dyDescent="0.25">
      <c r="A7" s="21" t="s">
        <v>58</v>
      </c>
      <c r="B7" s="262">
        <v>9.5720720720720714E-3</v>
      </c>
      <c r="C7" s="251">
        <v>1.1783972373527001E-2</v>
      </c>
      <c r="D7" s="263">
        <v>4.3085476025017375E-2</v>
      </c>
      <c r="E7" s="253">
        <f t="shared" si="0"/>
        <v>21469</v>
      </c>
    </row>
    <row r="8" spans="1:6" x14ac:dyDescent="0.25">
      <c r="A8" s="21" t="s">
        <v>59</v>
      </c>
      <c r="B8" s="262">
        <v>5.9121621621621625E-3</v>
      </c>
      <c r="C8" s="251">
        <v>1.0680337498664956E-3</v>
      </c>
      <c r="D8" s="263">
        <v>6.3175184787415501E-3</v>
      </c>
      <c r="E8" s="253">
        <f t="shared" si="0"/>
        <v>4434</v>
      </c>
    </row>
    <row r="9" spans="1:6" x14ac:dyDescent="0.25">
      <c r="A9" s="21" t="s">
        <v>60</v>
      </c>
      <c r="B9" s="262">
        <v>1.0604354354354355E-2</v>
      </c>
      <c r="C9" s="251">
        <v>1.5557691623055286E-2</v>
      </c>
      <c r="D9" s="263">
        <v>2.3374818371343736E-2</v>
      </c>
      <c r="E9" s="253">
        <f t="shared" si="0"/>
        <v>16506</v>
      </c>
    </row>
    <row r="10" spans="1:6" x14ac:dyDescent="0.25">
      <c r="A10" s="21" t="s">
        <v>61</v>
      </c>
      <c r="B10" s="262">
        <v>6.6629129129129128E-3</v>
      </c>
      <c r="C10" s="251">
        <v>5.3401687493324782E-3</v>
      </c>
      <c r="D10" s="263">
        <v>2.1669088382083514E-2</v>
      </c>
      <c r="E10" s="253">
        <f t="shared" si="0"/>
        <v>11219</v>
      </c>
    </row>
    <row r="11" spans="1:6" x14ac:dyDescent="0.25">
      <c r="A11" s="21" t="s">
        <v>62</v>
      </c>
      <c r="B11" s="262">
        <v>3.3783783783783786E-3</v>
      </c>
      <c r="C11" s="251">
        <v>5.9097867492612756E-3</v>
      </c>
      <c r="D11" s="263">
        <v>8.3391243919388458E-3</v>
      </c>
      <c r="E11" s="253">
        <f t="shared" si="0"/>
        <v>5873</v>
      </c>
    </row>
    <row r="12" spans="1:6" x14ac:dyDescent="0.25">
      <c r="A12" s="22" t="s">
        <v>66</v>
      </c>
      <c r="B12" s="262">
        <v>3.7537537537537537E-4</v>
      </c>
      <c r="C12" s="251">
        <v>3.5601124995549853E-3</v>
      </c>
      <c r="D12" s="263">
        <v>5.0540147829932396E-3</v>
      </c>
      <c r="E12" s="253">
        <f t="shared" si="0"/>
        <v>2994</v>
      </c>
    </row>
    <row r="13" spans="1:6" x14ac:dyDescent="0.25">
      <c r="A13" s="343" t="s">
        <v>205</v>
      </c>
      <c r="B13" s="262">
        <v>0</v>
      </c>
      <c r="C13" s="251">
        <v>0</v>
      </c>
      <c r="D13" s="263">
        <v>0</v>
      </c>
      <c r="E13" s="253">
        <f t="shared" si="0"/>
        <v>0</v>
      </c>
    </row>
    <row r="14" spans="1:6" x14ac:dyDescent="0.25">
      <c r="A14" s="257" t="s">
        <v>68</v>
      </c>
      <c r="B14" s="262">
        <v>0</v>
      </c>
      <c r="C14" s="251">
        <v>0</v>
      </c>
      <c r="D14" s="263">
        <v>0</v>
      </c>
      <c r="E14" s="253">
        <f t="shared" si="0"/>
        <v>0</v>
      </c>
    </row>
    <row r="15" spans="1:6" ht="15.75" thickBot="1" x14ac:dyDescent="0.3">
      <c r="A15" s="258" t="s">
        <v>16</v>
      </c>
      <c r="B15" s="264">
        <f>SUM(B5:B14)</f>
        <v>5.5837087087087088E-2</v>
      </c>
      <c r="C15" s="265">
        <f t="shared" ref="C15:E15" si="1">SUM(C5:C14)</f>
        <v>7.29111039908861E-2</v>
      </c>
      <c r="D15" s="266">
        <f t="shared" si="1"/>
        <v>0.13696380061911681</v>
      </c>
      <c r="E15" s="268">
        <f t="shared" si="1"/>
        <v>88538</v>
      </c>
    </row>
    <row r="16" spans="1:6" ht="15.75" thickBot="1" x14ac:dyDescent="0.3">
      <c r="A16" s="252" t="s">
        <v>90</v>
      </c>
      <c r="B16" s="241">
        <v>0.33400000000000002</v>
      </c>
      <c r="C16" s="241">
        <v>0.33300000000000002</v>
      </c>
      <c r="D16" s="242">
        <v>0.33300000000000002</v>
      </c>
      <c r="E16" s="254">
        <v>1000000</v>
      </c>
      <c r="F16" s="197"/>
    </row>
    <row r="17" spans="1:6" s="250" customFormat="1" x14ac:dyDescent="0.25">
      <c r="A17" s="247"/>
      <c r="B17" s="248"/>
      <c r="C17" s="248"/>
      <c r="D17" s="248"/>
      <c r="E17" s="247"/>
      <c r="F17" s="249"/>
    </row>
    <row r="18" spans="1:6" x14ac:dyDescent="0.25">
      <c r="A18" s="243" t="s">
        <v>140</v>
      </c>
      <c r="B18" s="244">
        <v>1000000</v>
      </c>
    </row>
    <row r="19" spans="1:6" x14ac:dyDescent="0.25">
      <c r="A19" s="19" t="s">
        <v>141</v>
      </c>
      <c r="B19" s="245">
        <f>E16</f>
        <v>1000000</v>
      </c>
    </row>
    <row r="20" spans="1:6" x14ac:dyDescent="0.25">
      <c r="A20" s="19" t="s">
        <v>142</v>
      </c>
      <c r="B20" s="245">
        <f>B18-B19</f>
        <v>0</v>
      </c>
      <c r="C20" s="246"/>
    </row>
  </sheetData>
  <sheetProtection algorithmName="SHA-512" hashValue="+piYIAUYnwZqrTUgyN3nc5Vf/VY1bOXm2gXIC1MT8dd3XDF0A8rnyoaVIosWWVFjcrCv/WAIDqAanxE1OIIhqg==" saltValue="v142p+leiSVNE0oLdnY5CQ==" spinCount="100000" sheet="1" objects="1" scenarios="1"/>
  <mergeCells count="1">
    <mergeCell ref="B2:E2"/>
  </mergeCells>
  <pageMargins left="0.7" right="0.7" top="0.75" bottom="0.75" header="0.3" footer="0.3"/>
  <ignoredErrors>
    <ignoredError sqref="B1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X125"/>
  <sheetViews>
    <sheetView zoomScale="70" zoomScaleNormal="70" workbookViewId="0">
      <pane xSplit="2" ySplit="4" topLeftCell="C86" activePane="bottomRight" state="frozen"/>
      <selection pane="topRight" activeCell="C1" sqref="C1"/>
      <selection pane="bottomLeft" activeCell="A10" sqref="A10"/>
      <selection pane="bottomRight" activeCell="H26" sqref="H26"/>
    </sheetView>
  </sheetViews>
  <sheetFormatPr defaultColWidth="9.28515625" defaultRowHeight="12.75" x14ac:dyDescent="0.2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4.7109375" style="355" hidden="1" customWidth="1"/>
    <col min="20" max="20" width="13.5703125" style="355" hidden="1" customWidth="1"/>
    <col min="21" max="21" width="14.42578125" style="355" hidden="1" customWidth="1"/>
    <col min="22" max="22" width="24.28515625" style="355" hidden="1" customWidth="1"/>
    <col min="23" max="23" width="9.28515625" style="355" customWidth="1"/>
    <col min="24" max="16384" width="9.28515625" style="355"/>
  </cols>
  <sheetData>
    <row r="1" spans="2:21" ht="47.65" customHeight="1" thickBot="1" x14ac:dyDescent="0.25">
      <c r="B1" s="1288" t="s">
        <v>269</v>
      </c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90"/>
    </row>
    <row r="2" spans="2:21" s="361" customFormat="1" ht="12.95" customHeight="1" thickBot="1" x14ac:dyDescent="0.25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</row>
    <row r="3" spans="2:21" ht="38.25" customHeight="1" thickBot="1" x14ac:dyDescent="0.25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58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22" t="s">
        <v>246</v>
      </c>
      <c r="N3" s="378" t="s">
        <v>360</v>
      </c>
      <c r="O3" s="379" t="s">
        <v>209</v>
      </c>
      <c r="P3" s="380" t="s">
        <v>415</v>
      </c>
      <c r="Q3" s="380" t="s">
        <v>452</v>
      </c>
      <c r="R3" s="380" t="s">
        <v>16</v>
      </c>
      <c r="S3" s="368" t="s">
        <v>211</v>
      </c>
      <c r="T3" s="368" t="s">
        <v>212</v>
      </c>
      <c r="U3" s="368" t="s">
        <v>213</v>
      </c>
    </row>
    <row r="4" spans="2:21" ht="12.95" customHeight="1" thickBot="1" x14ac:dyDescent="0.25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</row>
    <row r="5" spans="2:21" ht="29.65" customHeight="1" x14ac:dyDescent="0.2">
      <c r="B5" s="1199" t="s">
        <v>214</v>
      </c>
      <c r="C5" s="1202">
        <f>'1. RD2021'!C5-'2. RD rozdiel'!C71</f>
        <v>207043.50200000405</v>
      </c>
      <c r="D5" s="1200">
        <f>'1. RD2021'!D5-'2. RD rozdiel'!D71</f>
        <v>-313784.42777019925</v>
      </c>
      <c r="E5" s="1201">
        <f>'1. RD2021'!E5-'2. RD rozdiel'!E71</f>
        <v>482206.78520100564</v>
      </c>
      <c r="F5" s="1200">
        <f>'1. RD2021'!F5-'2. RD rozdiel'!F71</f>
        <v>-640600.42783966847</v>
      </c>
      <c r="G5" s="1201">
        <f>'1. RD2021'!G5-'2. RD rozdiel'!G71</f>
        <v>271039.11325919209</v>
      </c>
      <c r="H5" s="1200">
        <f>'1. RD2021'!H5-'2. RD rozdiel'!H71</f>
        <v>-923730.43128313497</v>
      </c>
      <c r="I5" s="1201">
        <f>'1. RD2021'!I5-'2. RD rozdiel'!I71</f>
        <v>-710780.76857777871</v>
      </c>
      <c r="J5" s="1200">
        <f>'1. RD2021'!J5-'2. RD rozdiel'!J71</f>
        <v>-520300.45052393712</v>
      </c>
      <c r="K5" s="1201">
        <f>'1. RD2021'!K5-'2. RD rozdiel'!K71</f>
        <v>-31748.600609716843</v>
      </c>
      <c r="L5" s="1200">
        <f>'1. RD2021'!L5-'2. RD rozdiel'!L71</f>
        <v>-36885.789975592517</v>
      </c>
      <c r="M5" s="1201">
        <f>'1. RD2021'!M5-'2. RD rozdiel'!M71</f>
        <v>-2424584.9981198311</v>
      </c>
      <c r="N5" s="1200">
        <f>'1. RD2021'!N5-'2. RD rozdiel'!N71</f>
        <v>1170978.1571590025</v>
      </c>
      <c r="O5" s="1201">
        <f>'1. RD2021'!O5-'2. RD rozdiel'!O71</f>
        <v>-110281.85000000009</v>
      </c>
      <c r="P5" s="1200">
        <f>'1. RD2021'!P5-'2. RD rozdiel'!P71</f>
        <v>-1113945.1775555555</v>
      </c>
      <c r="Q5" s="1201">
        <f>'1. RD2021'!Q5-'2. RD rozdiel'!Q71</f>
        <v>2684877.03</v>
      </c>
      <c r="R5" s="1201">
        <f>'1. RD2021'!R5-'2. RD rozdiel'!R71</f>
        <v>207043.16148360074</v>
      </c>
    </row>
    <row r="6" spans="2:21" ht="29.65" customHeight="1" thickBot="1" x14ac:dyDescent="0.25">
      <c r="B6" s="1209" t="s">
        <v>480</v>
      </c>
      <c r="C6" s="1203">
        <f t="shared" ref="C6:P6" si="0">C5/C71</f>
        <v>3.0042569502267448E-3</v>
      </c>
      <c r="D6" s="1204">
        <f t="shared" si="0"/>
        <v>-7.1180944171362101E-2</v>
      </c>
      <c r="E6" s="1205">
        <f t="shared" si="0"/>
        <v>4.2509378583131384E-2</v>
      </c>
      <c r="F6" s="1204">
        <f t="shared" si="0"/>
        <v>-5.229956403480715E-2</v>
      </c>
      <c r="G6" s="1205">
        <f t="shared" si="0"/>
        <v>7.2445347195306514E-2</v>
      </c>
      <c r="H6" s="1204">
        <f t="shared" si="0"/>
        <v>-9.8459934619930023E-2</v>
      </c>
      <c r="I6" s="1205">
        <f t="shared" si="0"/>
        <v>-5.8149862284929792E-2</v>
      </c>
      <c r="J6" s="1204">
        <f t="shared" si="0"/>
        <v>-0.10348712738808498</v>
      </c>
      <c r="K6" s="1205">
        <f t="shared" si="0"/>
        <v>-3.1855881662775823E-2</v>
      </c>
      <c r="L6" s="1204">
        <f t="shared" si="0"/>
        <v>-0.13712025904081848</v>
      </c>
      <c r="M6" s="1205">
        <f t="shared" si="0"/>
        <v>-4.0653578840635897E-2</v>
      </c>
      <c r="N6" s="1204">
        <f t="shared" si="0"/>
        <v>0.36371745340819939</v>
      </c>
      <c r="O6" s="1205">
        <f t="shared" si="0"/>
        <v>-3.5726234985141887E-2</v>
      </c>
      <c r="P6" s="1204">
        <f t="shared" si="0"/>
        <v>-0.37503515792839626</v>
      </c>
      <c r="Q6" s="1205"/>
      <c r="R6" s="1205">
        <f>R5/R71</f>
        <v>3.0042519800997612E-3</v>
      </c>
    </row>
    <row r="7" spans="2:21" ht="29.65" customHeight="1" x14ac:dyDescent="0.2">
      <c r="B7" s="1199" t="s">
        <v>479</v>
      </c>
      <c r="C7" s="1206">
        <f t="shared" ref="C7:N7" si="1">(C9+C17)/(C72+C80)</f>
        <v>1.4999523964046248E-2</v>
      </c>
      <c r="D7" s="1207">
        <f t="shared" si="1"/>
        <v>-6.3987045709736526E-2</v>
      </c>
      <c r="E7" s="1208">
        <f t="shared" si="1"/>
        <v>5.0544065227346641E-2</v>
      </c>
      <c r="F7" s="1207">
        <f t="shared" si="1"/>
        <v>-4.1174724027725824E-2</v>
      </c>
      <c r="G7" s="1208">
        <f t="shared" si="1"/>
        <v>0.1069646675378321</v>
      </c>
      <c r="H7" s="1207">
        <f t="shared" si="1"/>
        <v>-9.8100131953037711E-2</v>
      </c>
      <c r="I7" s="1208">
        <f t="shared" si="1"/>
        <v>-5.1524070045473033E-2</v>
      </c>
      <c r="J7" s="1207">
        <f t="shared" si="1"/>
        <v>-9.7683109666762247E-2</v>
      </c>
      <c r="K7" s="1208">
        <f t="shared" si="1"/>
        <v>-2.9037243301150231E-2</v>
      </c>
      <c r="L7" s="1207">
        <f t="shared" si="1"/>
        <v>-0.13712025904081837</v>
      </c>
      <c r="M7" s="1208">
        <f t="shared" si="1"/>
        <v>-3.1982539575464659E-2</v>
      </c>
      <c r="N7" s="1212">
        <f t="shared" si="1"/>
        <v>0.36371745340819939</v>
      </c>
      <c r="O7" s="1208"/>
      <c r="P7" s="1207">
        <f>(P9+P17)/(P72+P80)</f>
        <v>-0.38837553068394887</v>
      </c>
      <c r="Q7" s="1208"/>
      <c r="R7" s="1208">
        <f>(R9+R17)/(R72+R80)</f>
        <v>1.4999518849424394E-2</v>
      </c>
    </row>
    <row r="8" spans="2:21" ht="29.65" customHeight="1" thickBot="1" x14ac:dyDescent="0.25">
      <c r="B8" s="1197" t="s">
        <v>478</v>
      </c>
      <c r="C8" s="1203"/>
      <c r="D8" s="1210">
        <f>IF('2. RD rozdiel'!D6&lt;-0.1,('2. RD rozdiel'!D72+'2. RD rozdiel'!D80)*0.9-'1. RD2021'!D6-'1. RD2021'!D14,0)</f>
        <v>0</v>
      </c>
      <c r="E8" s="1210">
        <f>IF('2. RD rozdiel'!E6&lt;-0.1,('2. RD rozdiel'!E72+'2. RD rozdiel'!E80)*0.9-'1. RD2021'!E6-'1. RD2021'!E14,0)</f>
        <v>0</v>
      </c>
      <c r="F8" s="1211">
        <f>IF('2. RD rozdiel'!F6&lt;-0.1,('2. RD rozdiel'!F72+'2. RD rozdiel'!F80)*0.9-'1. RD2021'!F6-'1. RD2021'!F14,0)</f>
        <v>0</v>
      </c>
      <c r="G8" s="1210">
        <f>IF('2. RD rozdiel'!G6&lt;-0.1,('2. RD rozdiel'!G72+'2. RD rozdiel'!G80)*0.9-'1. RD2021'!G6-'1. RD2021'!G14,0)</f>
        <v>0</v>
      </c>
      <c r="H8" s="1211">
        <f>IF('2. RD rozdiel'!H6&lt;-0.1,('2. RD rozdiel'!H72+'2. RD rozdiel'!H80)*0.9-'1. RD2021'!H6-'1. RD2021'!H14,0)</f>
        <v>0</v>
      </c>
      <c r="I8" s="1210">
        <f>IF('2. RD rozdiel'!I6&lt;-0.1,('2. RD rozdiel'!I72+'2. RD rozdiel'!I80)*0.9-'1. RD2021'!I6-'1. RD2021'!I14,0)</f>
        <v>0</v>
      </c>
      <c r="J8" s="1211">
        <f>IF('2. RD rozdiel'!J6&lt;-0.1,('2. RD rozdiel'!J72+'2. RD rozdiel'!J80)*0.9-'1. RD2021'!J6-'1. RD2021'!J14,0)</f>
        <v>-11163.5372536832</v>
      </c>
      <c r="K8" s="1210">
        <f>IF('2. RD rozdiel'!K6&lt;-0.1,('2. RD rozdiel'!K72+'2. RD rozdiel'!K80)*0.9-'1. RD2021'!K6-'1. RD2021'!K14,0)</f>
        <v>0</v>
      </c>
      <c r="L8" s="1211">
        <f>IF('2. RD rozdiel'!L6&lt;-0.1,('2. RD rozdiel'!L72+'2. RD rozdiel'!L80)*0.9-'1. RD2021'!L6-'1. RD2021'!L14,0)</f>
        <v>9985.468875256629</v>
      </c>
      <c r="M8" s="1198">
        <f t="shared" ref="M8" si="2">SUM(D8:L8)</f>
        <v>-1178.0683784265711</v>
      </c>
      <c r="N8" s="1204"/>
      <c r="O8" s="1205"/>
      <c r="P8" s="1204"/>
      <c r="Q8" s="1205"/>
      <c r="R8" s="1205"/>
    </row>
    <row r="9" spans="2:21" ht="30" customHeight="1" x14ac:dyDescent="0.2">
      <c r="B9" s="384" t="s">
        <v>215</v>
      </c>
      <c r="C9" s="447">
        <f>'1. RD2021'!C6-'2. RD rozdiel'!C72</f>
        <v>-30243.497999995947</v>
      </c>
      <c r="D9" s="386">
        <f>'1. RD2021'!D6-'2. RD rozdiel'!D72</f>
        <v>-231746.72422812833</v>
      </c>
      <c r="E9" s="385">
        <f>'1. RD2021'!E6-'2. RD rozdiel'!E72</f>
        <v>461432.02704040427</v>
      </c>
      <c r="F9" s="386">
        <f>'1. RD2021'!F6-'2. RD rozdiel'!F72</f>
        <v>-88942.93471637927</v>
      </c>
      <c r="G9" s="385">
        <f>'1. RD2021'!G6-'2. RD rozdiel'!G72</f>
        <v>375382.94257861702</v>
      </c>
      <c r="H9" s="386">
        <f>'1. RD2021'!H6-'2. RD rozdiel'!H72</f>
        <v>-425761.49708338082</v>
      </c>
      <c r="I9" s="385">
        <f>'1. RD2021'!I6-'2. RD rozdiel'!I72</f>
        <v>-246788.34949187282</v>
      </c>
      <c r="J9" s="386">
        <f>'1. RD2021'!J6-'2. RD rozdiel'!J72</f>
        <v>-278008.6986350324</v>
      </c>
      <c r="K9" s="385">
        <f>'1. RD2021'!K6-'2. RD rozdiel'!K72</f>
        <v>-119200.35876954033</v>
      </c>
      <c r="L9" s="386">
        <f>'1. RD2021'!L6-'2. RD rozdiel'!L72</f>
        <v>-3612.024821422965</v>
      </c>
      <c r="M9" s="385">
        <f>'1. RD2021'!M6-'2. RD rozdiel'!M72</f>
        <v>-557245.61812674254</v>
      </c>
      <c r="N9" s="386">
        <f>'1. RD2021'!N6-'2. RD rozdiel'!N72</f>
        <v>450344.40598448459</v>
      </c>
      <c r="O9" s="385">
        <f>'1. RD2021'!O6-'2. RD rozdiel'!O72</f>
        <v>0.03</v>
      </c>
      <c r="P9" s="386">
        <f>'1. RD2021'!P6-'2. RD rozdiel'!P72</f>
        <v>-3343.1219999999739</v>
      </c>
      <c r="Q9" s="385">
        <f>'1. RD2021'!Q6-'2. RD rozdiel'!Q72</f>
        <v>80000.03</v>
      </c>
      <c r="R9" s="385">
        <f>'1. RD2021'!R6-'2. RD rozdiel'!R72</f>
        <v>-30244.274142257869</v>
      </c>
    </row>
    <row r="10" spans="2:21" ht="20.100000000000001" customHeight="1" x14ac:dyDescent="0.2">
      <c r="B10" s="1113" t="s">
        <v>216</v>
      </c>
      <c r="C10" s="1114">
        <f>'1. RD2021'!C7-'2. RD rozdiel'!C73</f>
        <v>-141297</v>
      </c>
      <c r="D10" s="1115">
        <f>'1. RD2021'!D7-'2. RD rozdiel'!D73</f>
        <v>-135535.78566098143</v>
      </c>
      <c r="E10" s="1102">
        <f>'1. RD2021'!E7-'2. RD rozdiel'!E73</f>
        <v>365699.17502593249</v>
      </c>
      <c r="F10" s="1115">
        <f>'1. RD2021'!F7-'2. RD rozdiel'!F73</f>
        <v>-20949.72088817507</v>
      </c>
      <c r="G10" s="1102">
        <f>'1. RD2021'!G7-'2. RD rozdiel'!G73</f>
        <v>291049.41173966997</v>
      </c>
      <c r="H10" s="1115">
        <f>'1. RD2021'!H7-'2. RD rozdiel'!H73</f>
        <v>-233775.8035066803</v>
      </c>
      <c r="I10" s="1102">
        <f>'1. RD2021'!I7-'2. RD rozdiel'!I73</f>
        <v>-98490.705831331201</v>
      </c>
      <c r="J10" s="1115">
        <f>'1. RD2021'!J7-'2. RD rozdiel'!J73</f>
        <v>-146289.71332576103</v>
      </c>
      <c r="K10" s="1102">
        <f>'1. RD2021'!K7-'2. RD rozdiel'!K73</f>
        <v>-77831.564563351043</v>
      </c>
      <c r="L10" s="1115">
        <f>'1. RD2021'!L7-'2. RD rozdiel'!L73</f>
        <v>-2173.771710664354</v>
      </c>
      <c r="M10" s="1102">
        <f>'1. RD2021'!M7-'2. RD rozdiel'!M73</f>
        <v>-58298.478721346706</v>
      </c>
      <c r="N10" s="1115">
        <f>'1. RD2021'!N7-'2. RD rozdiel'!N73</f>
        <v>-87363</v>
      </c>
      <c r="O10" s="1102">
        <f>'1. RD2021'!O7-'2. RD rozdiel'!O73</f>
        <v>0</v>
      </c>
      <c r="P10" s="1115">
        <f>'1. RD2021'!P7-'2. RD rozdiel'!P73</f>
        <v>4364</v>
      </c>
      <c r="Q10" s="1102">
        <f>'1. RD2021'!Q7-'2. RD rozdiel'!Q73</f>
        <v>0</v>
      </c>
      <c r="R10" s="1102">
        <f>'1. RD2021'!R7-'2. RD rozdiel'!R73</f>
        <v>-141297.47872134671</v>
      </c>
    </row>
    <row r="11" spans="2:21" ht="20.100000000000001" customHeight="1" x14ac:dyDescent="0.2">
      <c r="B11" s="1116" t="s">
        <v>354</v>
      </c>
      <c r="C11" s="1114">
        <f>'1. RD2021'!C8-'2. RD rozdiel'!C74</f>
        <v>-141297</v>
      </c>
      <c r="D11" s="1115">
        <f>'1. RD2021'!D8-'2. RD rozdiel'!D74</f>
        <v>-135535.78566098143</v>
      </c>
      <c r="E11" s="1102">
        <f>'1. RD2021'!E8-'2. RD rozdiel'!E74</f>
        <v>365699.17502593249</v>
      </c>
      <c r="F11" s="1115">
        <f>'1. RD2021'!F8-'2. RD rozdiel'!F74</f>
        <v>-20949.72088817507</v>
      </c>
      <c r="G11" s="1102">
        <f>'1. RD2021'!G8-'2. RD rozdiel'!G74</f>
        <v>291049.41173966997</v>
      </c>
      <c r="H11" s="1115">
        <f>'1. RD2021'!H8-'2. RD rozdiel'!H74</f>
        <v>-233775.8035066803</v>
      </c>
      <c r="I11" s="1102">
        <f>'1. RD2021'!I8-'2. RD rozdiel'!I74</f>
        <v>-98490.705831331201</v>
      </c>
      <c r="J11" s="1115">
        <f>'1. RD2021'!J8-'2. RD rozdiel'!J74</f>
        <v>-146289.71332576103</v>
      </c>
      <c r="K11" s="1102">
        <f>'1. RD2021'!K8-'2. RD rozdiel'!K74</f>
        <v>-77831.564563351043</v>
      </c>
      <c r="L11" s="1115">
        <f>'1. RD2021'!L8-'2. RD rozdiel'!L74</f>
        <v>-2173.771710664354</v>
      </c>
      <c r="M11" s="1102">
        <f>'1. RD2021'!M8-'2. RD rozdiel'!M74</f>
        <v>-58298.478721346706</v>
      </c>
      <c r="N11" s="1115">
        <f>'1. RD2021'!N8-'2. RD rozdiel'!N74</f>
        <v>0</v>
      </c>
      <c r="O11" s="1102">
        <f>'1. RD2021'!O8-'2. RD rozdiel'!O74</f>
        <v>0</v>
      </c>
      <c r="P11" s="1115">
        <f>'1. RD2021'!P8-'2. RD rozdiel'!P74</f>
        <v>0</v>
      </c>
      <c r="Q11" s="1102">
        <f>'1. RD2021'!Q8-'2. RD rozdiel'!Q74</f>
        <v>0</v>
      </c>
      <c r="R11" s="1102">
        <f>'1. RD2021'!R8-'2. RD rozdiel'!R74</f>
        <v>-58298.478721346706</v>
      </c>
    </row>
    <row r="12" spans="2:21" ht="20.100000000000001" customHeight="1" x14ac:dyDescent="0.2">
      <c r="B12" s="1117" t="s">
        <v>210</v>
      </c>
      <c r="C12" s="1114"/>
      <c r="D12" s="1115">
        <f>'1. RD2021'!D9-'2. RD rozdiel'!D75</f>
        <v>0</v>
      </c>
      <c r="E12" s="1102">
        <f>'1. RD2021'!E9-'2. RD rozdiel'!E75</f>
        <v>0</v>
      </c>
      <c r="F12" s="1115">
        <f>'1. RD2021'!F9-'2. RD rozdiel'!F75</f>
        <v>0</v>
      </c>
      <c r="G12" s="1102">
        <f>'1. RD2021'!G9-'2. RD rozdiel'!G75</f>
        <v>0</v>
      </c>
      <c r="H12" s="1115">
        <f>'1. RD2021'!H9-'2. RD rozdiel'!H75</f>
        <v>0</v>
      </c>
      <c r="I12" s="1102">
        <f>'1. RD2021'!I9-'2. RD rozdiel'!I75</f>
        <v>0</v>
      </c>
      <c r="J12" s="1115">
        <f>'1. RD2021'!J9-'2. RD rozdiel'!J75</f>
        <v>0</v>
      </c>
      <c r="K12" s="1102">
        <f>'1. RD2021'!K9-'2. RD rozdiel'!K75</f>
        <v>0</v>
      </c>
      <c r="L12" s="1115">
        <f>'1. RD2021'!L9-'2. RD rozdiel'!L75</f>
        <v>0</v>
      </c>
      <c r="M12" s="1102">
        <f>'1. RD2021'!M9-'2. RD rozdiel'!M75</f>
        <v>0</v>
      </c>
      <c r="N12" s="1115">
        <f>'1. RD2021'!N9-'2. RD rozdiel'!N75</f>
        <v>-87363</v>
      </c>
      <c r="O12" s="1102">
        <f>'1. RD2021'!O9-'2. RD rozdiel'!O75</f>
        <v>0</v>
      </c>
      <c r="P12" s="1115">
        <f>'1. RD2021'!P9-'2. RD rozdiel'!P75</f>
        <v>4364</v>
      </c>
      <c r="Q12" s="1102">
        <f>'1. RD2021'!Q9-'2. RD rozdiel'!Q75</f>
        <v>0</v>
      </c>
      <c r="R12" s="1102">
        <f>'1. RD2021'!R9-'2. RD rozdiel'!R75</f>
        <v>-82999</v>
      </c>
    </row>
    <row r="13" spans="2:21" ht="20.100000000000001" customHeight="1" x14ac:dyDescent="0.2">
      <c r="B13" s="1118" t="s">
        <v>232</v>
      </c>
      <c r="C13" s="1114">
        <f>'1. RD2021'!C10-'2. RD rozdiel'!C76</f>
        <v>-49736.498000000603</v>
      </c>
      <c r="D13" s="1115">
        <f>'1. RD2021'!D10-'2. RD rozdiel'!D76</f>
        <v>-47708.566552665434</v>
      </c>
      <c r="E13" s="1102">
        <f>'1. RD2021'!E10-'2. RD rozdiel'!E76</f>
        <v>128726.13960912824</v>
      </c>
      <c r="F13" s="1115">
        <f>'1. RD2021'!F10-'2. RD rozdiel'!F76</f>
        <v>-7374.271752637811</v>
      </c>
      <c r="G13" s="1102">
        <f>'1. RD2021'!G10-'2. RD rozdiel'!G76</f>
        <v>102449.42293236393</v>
      </c>
      <c r="H13" s="1115">
        <f>'1. RD2021'!H10-'2. RD rozdiel'!H76</f>
        <v>-82289.052834351547</v>
      </c>
      <c r="I13" s="1102">
        <f>'1. RD2021'!I10-'2. RD rozdiel'!I76</f>
        <v>-34668.69845262845</v>
      </c>
      <c r="J13" s="1115">
        <f>'1. RD2021'!J10-'2. RD rozdiel'!J76</f>
        <v>-51493.949090667884</v>
      </c>
      <c r="K13" s="1102">
        <f>'1. RD2021'!K10-'2. RD rozdiel'!K76</f>
        <v>-27396.680726299557</v>
      </c>
      <c r="L13" s="1115">
        <f>'1. RD2021'!L10-'2. RD rozdiel'!L76</f>
        <v>-765.13764215385527</v>
      </c>
      <c r="M13" s="1102">
        <f>'1. RD2021'!M10-'2. RD rozdiel'!M76</f>
        <v>-20520.794509912841</v>
      </c>
      <c r="N13" s="1115">
        <f>'1. RD2021'!N10-'2. RD rozdiel'!N76</f>
        <v>-30751.969999999972</v>
      </c>
      <c r="O13" s="1102">
        <f>'1. RD2021'!O10-'2. RD rozdiel'!O76</f>
        <v>0.03</v>
      </c>
      <c r="P13" s="1115">
        <f>'1. RD2021'!P10-'2. RD rozdiel'!P76</f>
        <v>1535.877999999997</v>
      </c>
      <c r="Q13" s="1102">
        <f>'1. RD2021'!Q10-'2. RD rozdiel'!Q76</f>
        <v>0.03</v>
      </c>
      <c r="R13" s="1102">
        <f>'1. RD2021'!R10-'2. RD rozdiel'!R76</f>
        <v>-49736.826509912498</v>
      </c>
    </row>
    <row r="14" spans="2:21" ht="19.350000000000001" customHeight="1" x14ac:dyDescent="0.2">
      <c r="B14" s="1119" t="s">
        <v>231</v>
      </c>
      <c r="C14" s="1114">
        <f>'1. RD2021'!C11-'2. RD rozdiel'!C77</f>
        <v>161601</v>
      </c>
      <c r="D14" s="1115">
        <f>'1. RD2021'!D11-'2. RD rozdiel'!D77</f>
        <v>-48502.372014481458</v>
      </c>
      <c r="E14" s="1102">
        <f>'1. RD2021'!E11-'2. RD rozdiel'!E77</f>
        <v>-32993.287594656344</v>
      </c>
      <c r="F14" s="1115">
        <f>'1. RD2021'!F11-'2. RD rozdiel'!F77</f>
        <v>-60618.942075566505</v>
      </c>
      <c r="G14" s="1102">
        <f>'1. RD2021'!G11-'2. RD rozdiel'!G77</f>
        <v>-18115.892093416827</v>
      </c>
      <c r="H14" s="1115">
        <f>'1. RD2021'!H11-'2. RD rozdiel'!H77</f>
        <v>-109696.64074234897</v>
      </c>
      <c r="I14" s="1102">
        <f>'1. RD2021'!I11-'2. RD rozdiel'!I77</f>
        <v>-113628.94520791294</v>
      </c>
      <c r="J14" s="1115">
        <f>'1. RD2021'!J11-'2. RD rozdiel'!J77</f>
        <v>-51225.036218603491</v>
      </c>
      <c r="K14" s="1102">
        <f>'1. RD2021'!K11-'2. RD rozdiel'!K77</f>
        <v>-13972.113479889682</v>
      </c>
      <c r="L14" s="1115">
        <f>'1. RD2021'!L11-'2. RD rozdiel'!L77</f>
        <v>-673.11546860474743</v>
      </c>
      <c r="M14" s="1102">
        <f>'1. RD2021'!M11-'2. RD rozdiel'!M77</f>
        <v>-449426.34489548206</v>
      </c>
      <c r="N14" s="1115">
        <f>'1. RD2021'!N11-'2. RD rozdiel'!N77</f>
        <v>79820.375984484752</v>
      </c>
      <c r="O14" s="1102">
        <f>'1. RD2021'!O11-'2. RD rozdiel'!O77</f>
        <v>0</v>
      </c>
      <c r="P14" s="1115">
        <f>'1. RD2021'!P11-'2. RD rozdiel'!P77</f>
        <v>0</v>
      </c>
      <c r="Q14" s="1102">
        <f>'1. RD2021'!Q11-'2. RD rozdiel'!Q77</f>
        <v>0</v>
      </c>
      <c r="R14" s="1102">
        <f>'1. RD2021'!R11-'2. RD rozdiel'!R77</f>
        <v>-369605.96891099773</v>
      </c>
    </row>
    <row r="15" spans="2:21" ht="19.350000000000001" customHeight="1" x14ac:dyDescent="0.2">
      <c r="B15" s="1118" t="s">
        <v>230</v>
      </c>
      <c r="C15" s="1114">
        <f>'1. RD2021'!C12-'2. RD rozdiel'!C78</f>
        <v>-811</v>
      </c>
      <c r="D15" s="1115">
        <f>'1. RD2021'!D12-'2. RD rozdiel'!D78</f>
        <v>0</v>
      </c>
      <c r="E15" s="1102">
        <f>'1. RD2021'!E12-'2. RD rozdiel'!E78</f>
        <v>0</v>
      </c>
      <c r="F15" s="1115">
        <f>'1. RD2021'!F12-'2. RD rozdiel'!F78</f>
        <v>0</v>
      </c>
      <c r="G15" s="1102">
        <f>'1. RD2021'!G12-'2. RD rozdiel'!G78</f>
        <v>0</v>
      </c>
      <c r="H15" s="1115">
        <f>'1. RD2021'!H12-'2. RD rozdiel'!H78</f>
        <v>0</v>
      </c>
      <c r="I15" s="1102">
        <f>'1. RD2021'!I12-'2. RD rozdiel'!I78</f>
        <v>0</v>
      </c>
      <c r="J15" s="1115">
        <f>'1. RD2021'!J12-'2. RD rozdiel'!J78</f>
        <v>0</v>
      </c>
      <c r="K15" s="1102">
        <f>'1. RD2021'!K12-'2. RD rozdiel'!K78</f>
        <v>0</v>
      </c>
      <c r="L15" s="1115">
        <f>'1. RD2021'!L12-'2. RD rozdiel'!L78</f>
        <v>0</v>
      </c>
      <c r="M15" s="1102">
        <f>'1. RD2021'!M12-'2. RD rozdiel'!M78</f>
        <v>0</v>
      </c>
      <c r="N15" s="1115">
        <f>'1. RD2021'!N12-'2. RD rozdiel'!N78</f>
        <v>0</v>
      </c>
      <c r="O15" s="1102">
        <f>'1. RD2021'!O12-'2. RD rozdiel'!O78</f>
        <v>0</v>
      </c>
      <c r="P15" s="1115">
        <f>'1. RD2021'!P12-'2. RD rozdiel'!P78</f>
        <v>-811</v>
      </c>
      <c r="Q15" s="1102">
        <f>'1. RD2021'!Q12-'2. RD rozdiel'!Q78</f>
        <v>0</v>
      </c>
      <c r="R15" s="1102">
        <f>'1. RD2021'!R12-'2. RD rozdiel'!R78</f>
        <v>-811</v>
      </c>
    </row>
    <row r="16" spans="2:21" ht="19.350000000000001" customHeight="1" thickBot="1" x14ac:dyDescent="0.25">
      <c r="B16" s="392" t="s">
        <v>210</v>
      </c>
      <c r="C16" s="449"/>
      <c r="D16" s="1120">
        <f>'1. RD2021'!D13-'2. RD rozdiel'!D79</f>
        <v>0</v>
      </c>
      <c r="E16" s="394">
        <f>'1. RD2021'!E13-'2. RD rozdiel'!E79</f>
        <v>0</v>
      </c>
      <c r="F16" s="1120">
        <f>'1. RD2021'!F13-'2. RD rozdiel'!F79</f>
        <v>0</v>
      </c>
      <c r="G16" s="394">
        <f>'1. RD2021'!G13-'2. RD rozdiel'!G79</f>
        <v>0</v>
      </c>
      <c r="H16" s="1120">
        <f>'1. RD2021'!H13-'2. RD rozdiel'!H79</f>
        <v>0</v>
      </c>
      <c r="I16" s="394">
        <f>'1. RD2021'!I13-'2. RD rozdiel'!I79</f>
        <v>0</v>
      </c>
      <c r="J16" s="1120">
        <f>'1. RD2021'!J13-'2. RD rozdiel'!J79</f>
        <v>-29000</v>
      </c>
      <c r="K16" s="394">
        <f>'1. RD2021'!K13-'2. RD rozdiel'!K79</f>
        <v>0</v>
      </c>
      <c r="L16" s="1120">
        <f>'1. RD2021'!L13-'2. RD rozdiel'!L79</f>
        <v>0</v>
      </c>
      <c r="M16" s="394">
        <f>'1. RD2021'!M13-'2. RD rozdiel'!M79</f>
        <v>-29000</v>
      </c>
      <c r="N16" s="1120">
        <f>'1. RD2021'!N13-'2. RD rozdiel'!N79</f>
        <v>488639</v>
      </c>
      <c r="O16" s="394">
        <f>'1. RD2021'!O13-'2. RD rozdiel'!O79</f>
        <v>0</v>
      </c>
      <c r="P16" s="1120">
        <f>'1. RD2021'!P13-'2. RD rozdiel'!P79</f>
        <v>-8432</v>
      </c>
      <c r="Q16" s="394">
        <f>'1. RD2021'!Q13-'2. RD rozdiel'!Q79</f>
        <v>80000</v>
      </c>
      <c r="R16" s="394">
        <f>'1. RD2021'!R13-'2. RD rozdiel'!R79</f>
        <v>531207</v>
      </c>
    </row>
    <row r="17" spans="1:18" ht="30" customHeight="1" x14ac:dyDescent="0.2">
      <c r="B17" s="395" t="s">
        <v>217</v>
      </c>
      <c r="C17" s="450">
        <f>'1. RD2021'!C14-'2. RD rozdiel'!C80</f>
        <v>964429</v>
      </c>
      <c r="D17" s="397">
        <f>'1. RD2021'!D14-'2. RD rozdiel'!D80</f>
        <v>-43426.828705944587</v>
      </c>
      <c r="E17" s="396">
        <f>'1. RD2021'!E14-'2. RD rozdiel'!E80</f>
        <v>82079.637402009219</v>
      </c>
      <c r="F17" s="397">
        <f>'1. RD2021'!F14-'2. RD rozdiel'!F80</f>
        <v>-398403.98283374775</v>
      </c>
      <c r="G17" s="396">
        <f>'1. RD2021'!G14-'2. RD rozdiel'!G80</f>
        <v>-12449.780313403462</v>
      </c>
      <c r="H17" s="397">
        <f>'1. RD2021'!H14-'2. RD rozdiel'!H80</f>
        <v>-379531.82189901825</v>
      </c>
      <c r="I17" s="396">
        <f>'1. RD2021'!I14-'2. RD rozdiel'!I80</f>
        <v>-353702.19043336064</v>
      </c>
      <c r="J17" s="397">
        <f>'1. RD2021'!J14-'2. RD rozdiel'!J80</f>
        <v>-192660.55064990325</v>
      </c>
      <c r="K17" s="396">
        <f>'1. RD2021'!K14-'2. RD rozdiel'!K80</f>
        <v>90558.999038891459</v>
      </c>
      <c r="L17" s="397">
        <f>'1. RD2021'!L14-'2. RD rozdiel'!L80</f>
        <v>-33273.765154169523</v>
      </c>
      <c r="M17" s="396">
        <f>'1. RD2021'!M14-'2. RD rozdiel'!M80</f>
        <v>-1240810.2835486457</v>
      </c>
      <c r="N17" s="397">
        <f>'1. RD2021'!N14-'2. RD rozdiel'!N80</f>
        <v>720633.75117451791</v>
      </c>
      <c r="O17" s="396">
        <f>'1. RD2021'!O14-'2. RD rozdiel'!O80</f>
        <v>0</v>
      </c>
      <c r="P17" s="397">
        <f>'1. RD2021'!P14-'2. RD rozdiel'!P80</f>
        <v>-1100271</v>
      </c>
      <c r="Q17" s="396">
        <f>'1. RD2021'!Q14-'2. RD rozdiel'!Q80</f>
        <v>2584877</v>
      </c>
      <c r="R17" s="396">
        <f>'1. RD2021'!R14-'2. RD rozdiel'!R80</f>
        <v>964429.4676258713</v>
      </c>
    </row>
    <row r="18" spans="1:18" ht="18" customHeight="1" x14ac:dyDescent="0.2">
      <c r="B18" s="1121" t="s">
        <v>218</v>
      </c>
      <c r="C18" s="1122">
        <f>'1. RD2021'!C15-'2. RD rozdiel'!C81</f>
        <v>955736</v>
      </c>
      <c r="D18" s="1123">
        <f>'1. RD2021'!D15-'2. RD rozdiel'!D81</f>
        <v>-21679.568412727676</v>
      </c>
      <c r="E18" s="1103">
        <f>'1. RD2021'!E15-'2. RD rozdiel'!E81</f>
        <v>205929.70820119698</v>
      </c>
      <c r="F18" s="1123">
        <f>'1. RD2021'!F15-'2. RD rozdiel'!F81</f>
        <v>-180749.31014611945</v>
      </c>
      <c r="G18" s="1103">
        <f>'1. RD2021'!G15-'2. RD rozdiel'!G81</f>
        <v>12211.444620653987</v>
      </c>
      <c r="H18" s="1123">
        <f>'1. RD2021'!H15-'2. RD rozdiel'!H81</f>
        <v>-253222.82189901825</v>
      </c>
      <c r="I18" s="1103">
        <f>'1. RD2021'!I15-'2. RD rozdiel'!I81</f>
        <v>-225319.81468153745</v>
      </c>
      <c r="J18" s="1123">
        <f>'1. RD2021'!J15-'2. RD rozdiel'!J81</f>
        <v>-121148.23874231428</v>
      </c>
      <c r="K18" s="1103">
        <f>'1. RD2021'!K15-'2. RD rozdiel'!K81</f>
        <v>108878.99903889146</v>
      </c>
      <c r="L18" s="1123">
        <f>'1. RD2021'!L15-'2. RD rozdiel'!L81</f>
        <v>-32800.681527671986</v>
      </c>
      <c r="M18" s="1103">
        <f>'1. RD2021'!M15-'2. RD rozdiel'!M81</f>
        <v>-507900.28354864568</v>
      </c>
      <c r="N18" s="1123">
        <f>'1. RD2021'!N15-'2. RD rozdiel'!N81</f>
        <v>-834166.24882548198</v>
      </c>
      <c r="O18" s="1103">
        <f>'1. RD2021'!O15-'2. RD rozdiel'!O81</f>
        <v>0</v>
      </c>
      <c r="P18" s="1123">
        <f>'1. RD2021'!P15-'2. RD rozdiel'!P81</f>
        <v>0</v>
      </c>
      <c r="Q18" s="1103">
        <f>'1. RD2021'!Q15-'2. RD rozdiel'!Q81</f>
        <v>0</v>
      </c>
      <c r="R18" s="1103">
        <f>'1. RD2021'!R15-'2. RD rozdiel'!R81</f>
        <v>-1342066.5323741287</v>
      </c>
    </row>
    <row r="19" spans="1:18" s="360" customFormat="1" ht="17.100000000000001" customHeight="1" x14ac:dyDescent="0.2">
      <c r="A19" s="355"/>
      <c r="B19" s="1121" t="s">
        <v>230</v>
      </c>
      <c r="C19" s="1124">
        <f>'1. RD2021'!C16-'2. RD rozdiel'!C82</f>
        <v>8693</v>
      </c>
      <c r="D19" s="1123">
        <f>'1. RD2021'!D16-'2. RD rozdiel'!D82</f>
        <v>0</v>
      </c>
      <c r="E19" s="1103">
        <f>'1. RD2021'!E16-'2. RD rozdiel'!E82</f>
        <v>5108</v>
      </c>
      <c r="F19" s="1123">
        <f>'1. RD2021'!F16-'2. RD rozdiel'!F82</f>
        <v>-4675</v>
      </c>
      <c r="G19" s="1103">
        <f>'1. RD2021'!G16-'2. RD rozdiel'!G82</f>
        <v>0</v>
      </c>
      <c r="H19" s="1123">
        <f>'1. RD2021'!H16-'2. RD rozdiel'!H82</f>
        <v>0</v>
      </c>
      <c r="I19" s="1103">
        <f>'1. RD2021'!I16-'2. RD rozdiel'!I82</f>
        <v>8260</v>
      </c>
      <c r="J19" s="1123">
        <f>'1. RD2021'!J16-'2. RD rozdiel'!J82</f>
        <v>0</v>
      </c>
      <c r="K19" s="1103">
        <f>'1. RD2021'!K16-'2. RD rozdiel'!K82</f>
        <v>0</v>
      </c>
      <c r="L19" s="1123">
        <f>'1. RD2021'!L16-'2. RD rozdiel'!L82</f>
        <v>0</v>
      </c>
      <c r="M19" s="1103">
        <f>'1. RD2021'!M16-'2. RD rozdiel'!M82</f>
        <v>8693</v>
      </c>
      <c r="N19" s="1123">
        <f>'1. RD2021'!N16-'2. RD rozdiel'!N82</f>
        <v>0</v>
      </c>
      <c r="O19" s="1103">
        <f>'1. RD2021'!O16-'2. RD rozdiel'!O82</f>
        <v>0</v>
      </c>
      <c r="P19" s="1123">
        <f>'1. RD2021'!P16-'2. RD rozdiel'!P82</f>
        <v>0</v>
      </c>
      <c r="Q19" s="1103">
        <f>'1. RD2021'!Q16-'2. RD rozdiel'!Q82</f>
        <v>0</v>
      </c>
      <c r="R19" s="1103">
        <f>'1. RD2021'!R16-'2. RD rozdiel'!R82</f>
        <v>8693</v>
      </c>
    </row>
    <row r="20" spans="1:18" s="360" customFormat="1" ht="17.100000000000001" customHeight="1" thickBot="1" x14ac:dyDescent="0.25">
      <c r="B20" s="401" t="s">
        <v>210</v>
      </c>
      <c r="C20" s="493"/>
      <c r="D20" s="1125">
        <f>'1. RD2021'!D17-'2. RD rozdiel'!D83</f>
        <v>-21747.260293216881</v>
      </c>
      <c r="E20" s="403">
        <f>'1. RD2021'!E17-'2. RD rozdiel'!E83</f>
        <v>-128958.07079918802</v>
      </c>
      <c r="F20" s="1125">
        <f>'1. RD2021'!F17-'2. RD rozdiel'!F83</f>
        <v>-212979.67268762813</v>
      </c>
      <c r="G20" s="403">
        <f>'1. RD2021'!G17-'2. RD rozdiel'!G83</f>
        <v>-24661.224934057464</v>
      </c>
      <c r="H20" s="1125">
        <f>'1. RD2021'!H17-'2. RD rozdiel'!H83</f>
        <v>-126309</v>
      </c>
      <c r="I20" s="403">
        <f>'1. RD2021'!I17-'2. RD rozdiel'!I83</f>
        <v>-136642.37575182307</v>
      </c>
      <c r="J20" s="1125">
        <f>'1. RD2021'!J17-'2. RD rozdiel'!J83</f>
        <v>-71512.311907588883</v>
      </c>
      <c r="K20" s="403">
        <f>'1. RD2021'!K17-'2. RD rozdiel'!K83</f>
        <v>-18320</v>
      </c>
      <c r="L20" s="1125">
        <f>'1. RD2021'!L17-'2. RD rozdiel'!L83</f>
        <v>-473.08362649752297</v>
      </c>
      <c r="M20" s="457">
        <f>'1. RD2021'!M17-'2. RD rozdiel'!M83</f>
        <v>-741602.99999999988</v>
      </c>
      <c r="N20" s="1125">
        <f>'1. RD2021'!N17-'2. RD rozdiel'!N83</f>
        <v>1554800</v>
      </c>
      <c r="O20" s="403">
        <f>'1. RD2021'!O17-'2. RD rozdiel'!O83</f>
        <v>0</v>
      </c>
      <c r="P20" s="1125">
        <f>'1. RD2021'!P17-'2. RD rozdiel'!P83</f>
        <v>-1100271</v>
      </c>
      <c r="Q20" s="403">
        <f>'1. RD2021'!Q17-'2. RD rozdiel'!Q83</f>
        <v>2584877</v>
      </c>
      <c r="R20" s="403">
        <f>'1. RD2021'!R17-'2. RD rozdiel'!R83</f>
        <v>2297803</v>
      </c>
    </row>
    <row r="21" spans="1:18" ht="37.5" customHeight="1" thickBot="1" x14ac:dyDescent="0.25">
      <c r="B21" s="494" t="s">
        <v>219</v>
      </c>
      <c r="C21" s="495">
        <f>'1. RD2021'!C18-'2. RD rozdiel'!C84</f>
        <v>0</v>
      </c>
      <c r="D21" s="496">
        <f>'1. RD2021'!D18-'2. RD rozdiel'!D84</f>
        <v>0</v>
      </c>
      <c r="E21" s="407">
        <f>'1. RD2021'!E18-'2. RD rozdiel'!E84</f>
        <v>0</v>
      </c>
      <c r="F21" s="496">
        <f>'1. RD2021'!F18-'2. RD rozdiel'!F84</f>
        <v>0</v>
      </c>
      <c r="G21" s="407">
        <f>'1. RD2021'!G18-'2. RD rozdiel'!G84</f>
        <v>0</v>
      </c>
      <c r="H21" s="496">
        <f>'1. RD2021'!H18-'2. RD rozdiel'!H84</f>
        <v>0</v>
      </c>
      <c r="I21" s="407">
        <f>'1. RD2021'!I18-'2. RD rozdiel'!I84</f>
        <v>0</v>
      </c>
      <c r="J21" s="496">
        <f>'1. RD2021'!J18-'2. RD rozdiel'!J84</f>
        <v>0</v>
      </c>
      <c r="K21" s="407">
        <f>'1. RD2021'!K18-'2. RD rozdiel'!K84</f>
        <v>0</v>
      </c>
      <c r="L21" s="496">
        <f>'1. RD2021'!L18-'2. RD rozdiel'!L84</f>
        <v>0</v>
      </c>
      <c r="M21" s="407">
        <f>'1. RD2021'!M18-'2. RD rozdiel'!M84</f>
        <v>0</v>
      </c>
      <c r="N21" s="496">
        <f>'1. RD2021'!N18-'2. RD rozdiel'!N84</f>
        <v>0</v>
      </c>
      <c r="O21" s="407">
        <f>'1. RD2021'!O18-'2. RD rozdiel'!O84</f>
        <v>0</v>
      </c>
      <c r="P21" s="496">
        <f>'1. RD2021'!P18-'2. RD rozdiel'!P84</f>
        <v>0</v>
      </c>
      <c r="Q21" s="407">
        <f>'1. RD2021'!Q18-'2. RD rozdiel'!Q84</f>
        <v>0</v>
      </c>
      <c r="R21" s="407">
        <f>'1. RD2021'!R18-'2. RD rozdiel'!R84</f>
        <v>0</v>
      </c>
    </row>
    <row r="22" spans="1:18" ht="30" customHeight="1" x14ac:dyDescent="0.2">
      <c r="B22" s="408" t="s">
        <v>220</v>
      </c>
      <c r="C22" s="453">
        <f>'1. RD2021'!C19-'2. RD rozdiel'!C85</f>
        <v>-727142</v>
      </c>
      <c r="D22" s="410">
        <f>'1. RD2021'!D19-'2. RD rozdiel'!D85</f>
        <v>-38610.874836125644</v>
      </c>
      <c r="E22" s="409">
        <f>'1. RD2021'!E19-'2. RD rozdiel'!E85</f>
        <v>-61304.879241408198</v>
      </c>
      <c r="F22" s="410">
        <f>'1. RD2021'!F19-'2. RD rozdiel'!F85</f>
        <v>-153253.51028954022</v>
      </c>
      <c r="G22" s="409">
        <f>'1. RD2021'!G19-'2. RD rozdiel'!G85</f>
        <v>-91894.049006021465</v>
      </c>
      <c r="H22" s="410">
        <f>'1. RD2021'!H19-'2. RD rozdiel'!H85</f>
        <v>-118437.1123007331</v>
      </c>
      <c r="I22" s="409">
        <f>'1. RD2021'!I19-'2. RD rozdiel'!I85</f>
        <v>-110290.22865254577</v>
      </c>
      <c r="J22" s="410">
        <f>'1. RD2021'!J19-'2. RD rozdiel'!J85</f>
        <v>-49631.20123900217</v>
      </c>
      <c r="K22" s="409">
        <f>'1. RD2021'!K19-'2. RD rozdiel'!K85</f>
        <v>-3107.2408790678392</v>
      </c>
      <c r="L22" s="410">
        <f>'1. RD2021'!L19-'2. RD rozdiel'!L85</f>
        <v>0</v>
      </c>
      <c r="M22" s="409">
        <f>'1. RD2021'!M19-'2. RD rozdiel'!M85</f>
        <v>-626529.09644444473</v>
      </c>
      <c r="N22" s="410">
        <f>'1. RD2021'!N19-'2. RD rozdiel'!N85</f>
        <v>0</v>
      </c>
      <c r="O22" s="409">
        <f>'1. RD2021'!O19-'2. RD rozdiel'!O85</f>
        <v>-110281.87999999989</v>
      </c>
      <c r="P22" s="410">
        <f>'1. RD2021'!P19-'2. RD rozdiel'!P85</f>
        <v>-10331.055555555562</v>
      </c>
      <c r="Q22" s="409">
        <f>'1. RD2021'!Q19-'2. RD rozdiel'!Q85</f>
        <v>20000</v>
      </c>
      <c r="R22" s="409">
        <f>'1. RD2021'!R19-'2. RD rozdiel'!R85</f>
        <v>-727142.03199999966</v>
      </c>
    </row>
    <row r="23" spans="1:18" ht="20.100000000000001" customHeight="1" x14ac:dyDescent="0.2">
      <c r="B23" s="1126" t="s">
        <v>221</v>
      </c>
      <c r="C23" s="1127">
        <f>'1. RD2021'!C20-'2. RD rozdiel'!C86</f>
        <v>-338101</v>
      </c>
      <c r="D23" s="1128">
        <f>'1. RD2021'!D20-'2. RD rozdiel'!D86</f>
        <v>-40512.338067900215</v>
      </c>
      <c r="E23" s="1104">
        <f>'1. RD2021'!E20-'2. RD rozdiel'!E86</f>
        <v>-41156.587876516947</v>
      </c>
      <c r="F23" s="1128">
        <f>'1. RD2021'!F20-'2. RD rozdiel'!F86</f>
        <v>-94681.207307520614</v>
      </c>
      <c r="G23" s="1104">
        <f>'1. RD2021'!G20-'2. RD rozdiel'!G86</f>
        <v>-33927.618621562033</v>
      </c>
      <c r="H23" s="1128">
        <f>'1. RD2021'!H20-'2. RD rozdiel'!H86</f>
        <v>-37739.311872259525</v>
      </c>
      <c r="I23" s="1104">
        <f>'1. RD2021'!I20-'2. RD rozdiel'!I86</f>
        <v>-69002.771542798102</v>
      </c>
      <c r="J23" s="1128">
        <f>'1. RD2021'!J20-'2. RD rozdiel'!J86</f>
        <v>-17277.216157196279</v>
      </c>
      <c r="K23" s="1104">
        <f>'1. RD2021'!K20-'2. RD rozdiel'!K86</f>
        <v>-3803.9485542462958</v>
      </c>
      <c r="L23" s="1128">
        <f>'1. RD2021'!L20-'2. RD rozdiel'!L86</f>
        <v>0</v>
      </c>
      <c r="M23" s="1104">
        <f>'1. RD2021'!M20-'2. RD rozdiel'!M86</f>
        <v>-338101</v>
      </c>
      <c r="N23" s="1128">
        <f>'1. RD2021'!N20-'2. RD rozdiel'!N86</f>
        <v>0</v>
      </c>
      <c r="O23" s="1104">
        <f>'1. RD2021'!O20-'2. RD rozdiel'!O86</f>
        <v>0</v>
      </c>
      <c r="P23" s="1128">
        <f>'1. RD2021'!P20-'2. RD rozdiel'!P86</f>
        <v>0</v>
      </c>
      <c r="Q23" s="1104">
        <f>'1. RD2021'!Q20-'2. RD rozdiel'!Q86</f>
        <v>0</v>
      </c>
      <c r="R23" s="1104">
        <f>'1. RD2021'!R20-'2. RD rozdiel'!R86</f>
        <v>-338101</v>
      </c>
    </row>
    <row r="24" spans="1:18" ht="20.100000000000001" customHeight="1" x14ac:dyDescent="0.2">
      <c r="B24" s="1126" t="s">
        <v>222</v>
      </c>
      <c r="C24" s="1127">
        <f>'1. RD2021'!C21-'2. RD rozdiel'!C87</f>
        <v>-255960</v>
      </c>
      <c r="D24" s="1128">
        <f>'1. RD2021'!D21-'2. RD rozdiel'!D87</f>
        <v>0</v>
      </c>
      <c r="E24" s="1104">
        <f>'1. RD2021'!E21-'2. RD rozdiel'!E87</f>
        <v>-28571.57560975611</v>
      </c>
      <c r="F24" s="1128">
        <f>'1. RD2021'!F21-'2. RD rozdiel'!F87</f>
        <v>-52983.960975609749</v>
      </c>
      <c r="G24" s="1104">
        <f>'1. RD2021'!G21-'2. RD rozdiel'!G87</f>
        <v>-51518.946341463423</v>
      </c>
      <c r="H24" s="1128">
        <f>'1. RD2021'!H21-'2. RD rozdiel'!H87</f>
        <v>-52118.063414634147</v>
      </c>
      <c r="I24" s="1104">
        <f>'1. RD2021'!I21-'2. RD rozdiel'!I87</f>
        <v>-41296.01951219514</v>
      </c>
      <c r="J24" s="1128">
        <f>'1. RD2021'!J21-'2. RD rozdiel'!J87</f>
        <v>-29471.43414634146</v>
      </c>
      <c r="K24" s="1104">
        <f>'1. RD2021'!K21-'2. RD rozdiel'!K87</f>
        <v>0</v>
      </c>
      <c r="L24" s="1128">
        <f>'1. RD2021'!L21-'2. RD rozdiel'!L87</f>
        <v>0</v>
      </c>
      <c r="M24" s="1104">
        <f>'1. RD2021'!M21-'2. RD rozdiel'!M87</f>
        <v>-255960</v>
      </c>
      <c r="N24" s="1128">
        <f>'1. RD2021'!N21-'2. RD rozdiel'!N87</f>
        <v>0</v>
      </c>
      <c r="O24" s="1104">
        <f>'1. RD2021'!O21-'2. RD rozdiel'!O87</f>
        <v>0</v>
      </c>
      <c r="P24" s="1128">
        <f>'1. RD2021'!P21-'2. RD rozdiel'!P87</f>
        <v>0</v>
      </c>
      <c r="Q24" s="1104">
        <f>'1. RD2021'!Q21-'2. RD rozdiel'!Q87</f>
        <v>0</v>
      </c>
      <c r="R24" s="1104">
        <f>'1. RD2021'!R21-'2. RD rozdiel'!R87</f>
        <v>-255960</v>
      </c>
    </row>
    <row r="25" spans="1:18" ht="20.100000000000001" customHeight="1" x14ac:dyDescent="0.2">
      <c r="B25" s="1126" t="s">
        <v>223</v>
      </c>
      <c r="C25" s="1127">
        <f>'1. RD2021'!C22-'2. RD rozdiel'!C88</f>
        <v>-6850</v>
      </c>
      <c r="D25" s="1128">
        <f>'1. RD2021'!D22-'2. RD rozdiel'!D88</f>
        <v>1901.4632317745709</v>
      </c>
      <c r="E25" s="1104">
        <f>'1. RD2021'!E22-'2. RD rozdiel'!E88</f>
        <v>8423.2842448648298</v>
      </c>
      <c r="F25" s="1128">
        <f>'1. RD2021'!F22-'2. RD rozdiel'!F88</f>
        <v>-5588.3420064098536</v>
      </c>
      <c r="G25" s="1104">
        <f>'1. RD2021'!G22-'2. RD rozdiel'!G88</f>
        <v>-6447.4840429959804</v>
      </c>
      <c r="H25" s="1128">
        <f>'1. RD2021'!H22-'2. RD rozdiel'!H88</f>
        <v>-2771.5850138394599</v>
      </c>
      <c r="I25" s="1104">
        <f>'1. RD2021'!I22-'2. RD rozdiel'!I88</f>
        <v>8.562402447394561</v>
      </c>
      <c r="J25" s="1128">
        <f>'1. RD2021'!J22-'2. RD rozdiel'!J88</f>
        <v>-2882.5509354644018</v>
      </c>
      <c r="K25" s="1104">
        <f>'1. RD2021'!K22-'2. RD rozdiel'!K88</f>
        <v>696.70767517845616</v>
      </c>
      <c r="L25" s="1128">
        <f>'1. RD2021'!L22-'2. RD rozdiel'!L88</f>
        <v>0</v>
      </c>
      <c r="M25" s="1104">
        <f>'1. RD2021'!M22-'2. RD rozdiel'!M88</f>
        <v>-6659.944444444438</v>
      </c>
      <c r="N25" s="1128">
        <f>'1. RD2021'!N22-'2. RD rozdiel'!N88</f>
        <v>0</v>
      </c>
      <c r="O25" s="1104">
        <f>'1. RD2021'!O22-'2. RD rozdiel'!O88</f>
        <v>0</v>
      </c>
      <c r="P25" s="1128">
        <f>'1. RD2021'!P22-'2. RD rozdiel'!P88</f>
        <v>-190.05555555555657</v>
      </c>
      <c r="Q25" s="1104">
        <f>'1. RD2021'!Q22-'2. RD rozdiel'!Q88</f>
        <v>0</v>
      </c>
      <c r="R25" s="1104">
        <f>'1. RD2021'!R22-'2. RD rozdiel'!R88</f>
        <v>-6850</v>
      </c>
    </row>
    <row r="26" spans="1:18" ht="29.65" customHeight="1" x14ac:dyDescent="0.2">
      <c r="B26" s="1129" t="s">
        <v>224</v>
      </c>
      <c r="C26" s="1127">
        <f>'1. RD2021'!C23-'2. RD rozdiel'!C89</f>
        <v>-126231</v>
      </c>
      <c r="D26" s="1128">
        <f>'1. RD2021'!D23-'2. RD rozdiel'!D89</f>
        <v>0</v>
      </c>
      <c r="E26" s="1104">
        <f>'1. RD2021'!E23-'2. RD rozdiel'!E89</f>
        <v>0</v>
      </c>
      <c r="F26" s="1128">
        <f>'1. RD2021'!F23-'2. RD rozdiel'!F89</f>
        <v>0</v>
      </c>
      <c r="G26" s="1104">
        <f>'1. RD2021'!G23-'2. RD rozdiel'!G89</f>
        <v>0</v>
      </c>
      <c r="H26" s="1128">
        <f>'1. RD2021'!H23-'2. RD rozdiel'!H89</f>
        <v>-25808.152000000002</v>
      </c>
      <c r="I26" s="1104">
        <f>'1. RD2021'!I23-'2. RD rozdiel'!I89</f>
        <v>0</v>
      </c>
      <c r="J26" s="1128">
        <f>'1. RD2021'!J23-'2. RD rozdiel'!J89</f>
        <v>0</v>
      </c>
      <c r="K26" s="1104">
        <f>'1. RD2021'!K23-'2. RD rozdiel'!K89</f>
        <v>0</v>
      </c>
      <c r="L26" s="1128">
        <f>'1. RD2021'!L23-'2. RD rozdiel'!L89</f>
        <v>0</v>
      </c>
      <c r="M26" s="1104">
        <f>'1. RD2021'!M23-'2. RD rozdiel'!M89</f>
        <v>-25808.152000000002</v>
      </c>
      <c r="N26" s="1128">
        <f>'1. RD2021'!N23-'2. RD rozdiel'!N89</f>
        <v>0</v>
      </c>
      <c r="O26" s="1104">
        <f>'1. RD2021'!O23-'2. RD rozdiel'!O89</f>
        <v>-110281.87999999989</v>
      </c>
      <c r="P26" s="1128">
        <f>'1. RD2021'!P23-'2. RD rozdiel'!P89</f>
        <v>-10141</v>
      </c>
      <c r="Q26" s="1104">
        <f>'1. RD2021'!Q23-'2. RD rozdiel'!Q89</f>
        <v>20000</v>
      </c>
      <c r="R26" s="1104">
        <f>'1. RD2021'!R23-'2. RD rozdiel'!R89</f>
        <v>-126231.03199999966</v>
      </c>
    </row>
    <row r="27" spans="1:18" ht="20.100000000000001" customHeight="1" x14ac:dyDescent="0.2">
      <c r="B27" s="1126" t="s">
        <v>225</v>
      </c>
      <c r="C27" s="1127">
        <f>'1. RD2021'!C24-'2. RD rozdiel'!C90</f>
        <v>34300</v>
      </c>
      <c r="D27" s="1128">
        <f>'1. RD2021'!D24-'2. RD rozdiel'!D90</f>
        <v>0</v>
      </c>
      <c r="E27" s="1104">
        <f>'1. RD2021'!E24-'2. RD rozdiel'!E90</f>
        <v>0</v>
      </c>
      <c r="F27" s="1128">
        <f>'1. RD2021'!F24-'2. RD rozdiel'!F90</f>
        <v>0</v>
      </c>
      <c r="G27" s="1104">
        <f>'1. RD2021'!G24-'2. RD rozdiel'!G90</f>
        <v>0</v>
      </c>
      <c r="H27" s="1128">
        <f>'1. RD2021'!H24-'2. RD rozdiel'!H90</f>
        <v>7037</v>
      </c>
      <c r="I27" s="1104">
        <f>'1. RD2021'!I24-'2. RD rozdiel'!I90</f>
        <v>0</v>
      </c>
      <c r="J27" s="1128">
        <f>'1. RD2021'!J24-'2. RD rozdiel'!J90</f>
        <v>0</v>
      </c>
      <c r="K27" s="1104">
        <f>'1. RD2021'!K24-'2. RD rozdiel'!K90</f>
        <v>0</v>
      </c>
      <c r="L27" s="1128">
        <f>'1. RD2021'!L24-'2. RD rozdiel'!L90</f>
        <v>0</v>
      </c>
      <c r="M27" s="1104">
        <f>'1. RD2021'!M24-'2. RD rozdiel'!M90</f>
        <v>7037</v>
      </c>
      <c r="N27" s="1128">
        <f>'1. RD2021'!N24-'2. RD rozdiel'!N90</f>
        <v>0</v>
      </c>
      <c r="O27" s="1104">
        <f>'1. RD2021'!O24-'2. RD rozdiel'!O90</f>
        <v>27263</v>
      </c>
      <c r="P27" s="1128">
        <f>'1. RD2021'!P24-'2. RD rozdiel'!P90</f>
        <v>0</v>
      </c>
      <c r="Q27" s="1104">
        <f>'1. RD2021'!Q24-'2. RD rozdiel'!Q90</f>
        <v>0</v>
      </c>
      <c r="R27" s="1104">
        <f>'1. RD2021'!R24-'2. RD rozdiel'!R90</f>
        <v>34300</v>
      </c>
    </row>
    <row r="28" spans="1:18" ht="20.100000000000001" customHeight="1" x14ac:dyDescent="0.2">
      <c r="B28" s="1126" t="s">
        <v>226</v>
      </c>
      <c r="C28" s="1127">
        <f>'1. RD2021'!C25-'2. RD rozdiel'!C91</f>
        <v>12074</v>
      </c>
      <c r="D28" s="1128">
        <f>'1. RD2021'!D25-'2. RD rozdiel'!D91</f>
        <v>0</v>
      </c>
      <c r="E28" s="1104">
        <f>'1. RD2021'!E25-'2. RD rozdiel'!E91</f>
        <v>0</v>
      </c>
      <c r="F28" s="1128">
        <f>'1. RD2021'!F25-'2. RD rozdiel'!F91</f>
        <v>0</v>
      </c>
      <c r="G28" s="1104">
        <f>'1. RD2021'!G25-'2. RD rozdiel'!G91</f>
        <v>0</v>
      </c>
      <c r="H28" s="1128">
        <f>'1. RD2021'!H25-'2. RD rozdiel'!H91</f>
        <v>2476.8479999999981</v>
      </c>
      <c r="I28" s="1104">
        <f>'1. RD2021'!I25-'2. RD rozdiel'!I91</f>
        <v>0</v>
      </c>
      <c r="J28" s="1128">
        <f>'1. RD2021'!J25-'2. RD rozdiel'!J91</f>
        <v>0</v>
      </c>
      <c r="K28" s="1104">
        <f>'1. RD2021'!K25-'2. RD rozdiel'!K91</f>
        <v>0</v>
      </c>
      <c r="L28" s="1128">
        <f>'1. RD2021'!L25-'2. RD rozdiel'!L91</f>
        <v>0</v>
      </c>
      <c r="M28" s="1104">
        <f>'1. RD2021'!M25-'2. RD rozdiel'!M91</f>
        <v>2476.8479999999981</v>
      </c>
      <c r="N28" s="1128">
        <f>'1. RD2021'!N25-'2. RD rozdiel'!N91</f>
        <v>0</v>
      </c>
      <c r="O28" s="1104">
        <f>'1. RD2021'!O25-'2. RD rozdiel'!O91</f>
        <v>9596.1199999999953</v>
      </c>
      <c r="P28" s="1128">
        <f>'1. RD2021'!P25-'2. RD rozdiel'!P91</f>
        <v>0</v>
      </c>
      <c r="Q28" s="1104">
        <f>'1. RD2021'!Q25-'2. RD rozdiel'!Q91</f>
        <v>0</v>
      </c>
      <c r="R28" s="1104">
        <f>'1. RD2021'!R25-'2. RD rozdiel'!R91</f>
        <v>12072.967999999993</v>
      </c>
    </row>
    <row r="29" spans="1:18" ht="20.100000000000001" customHeight="1" x14ac:dyDescent="0.2">
      <c r="B29" s="1126" t="s">
        <v>268</v>
      </c>
      <c r="C29" s="1127">
        <f>'1. RD2021'!C26-'2. RD rozdiel'!C92</f>
        <v>7514</v>
      </c>
      <c r="D29" s="1128">
        <f>'1. RD2021'!D26-'2. RD rozdiel'!D92</f>
        <v>0</v>
      </c>
      <c r="E29" s="1104">
        <f>'1. RD2021'!E26-'2. RD rozdiel'!E92</f>
        <v>0</v>
      </c>
      <c r="F29" s="1128">
        <f>'1. RD2021'!F26-'2. RD rozdiel'!F92</f>
        <v>0</v>
      </c>
      <c r="G29" s="1104">
        <f>'1. RD2021'!G26-'2. RD rozdiel'!G92</f>
        <v>0</v>
      </c>
      <c r="H29" s="1128">
        <f>'1. RD2021'!H26-'2. RD rozdiel'!H92</f>
        <v>276</v>
      </c>
      <c r="I29" s="1104">
        <f>'1. RD2021'!I26-'2. RD rozdiel'!I92</f>
        <v>0</v>
      </c>
      <c r="J29" s="1128">
        <f>'1. RD2021'!J26-'2. RD rozdiel'!J92</f>
        <v>0</v>
      </c>
      <c r="K29" s="1104">
        <f>'1. RD2021'!K26-'2. RD rozdiel'!K92</f>
        <v>0</v>
      </c>
      <c r="L29" s="1128">
        <f>'1. RD2021'!L26-'2. RD rozdiel'!L92</f>
        <v>0</v>
      </c>
      <c r="M29" s="1104">
        <f>'1. RD2021'!M26-'2. RD rozdiel'!M92</f>
        <v>276</v>
      </c>
      <c r="N29" s="1128">
        <f>'1. RD2021'!N26-'2. RD rozdiel'!N92</f>
        <v>0</v>
      </c>
      <c r="O29" s="1104">
        <f>'1. RD2021'!O26-'2. RD rozdiel'!O92</f>
        <v>7238</v>
      </c>
      <c r="P29" s="1128">
        <f>'1. RD2021'!P26-'2. RD rozdiel'!P92</f>
        <v>0</v>
      </c>
      <c r="Q29" s="1104">
        <f>'1. RD2021'!Q26-'2. RD rozdiel'!Q92</f>
        <v>0</v>
      </c>
      <c r="R29" s="1104">
        <f>'1. RD2021'!R26-'2. RD rozdiel'!R92</f>
        <v>7514</v>
      </c>
    </row>
    <row r="30" spans="1:18" ht="20.100000000000001" customHeight="1" x14ac:dyDescent="0.2">
      <c r="B30" s="1126" t="s">
        <v>227</v>
      </c>
      <c r="C30" s="1127">
        <f>'1. RD2021'!C27-'2. RD rozdiel'!C93</f>
        <v>-189977</v>
      </c>
      <c r="D30" s="1128">
        <f>'1. RD2021'!D27-'2. RD rozdiel'!D93</f>
        <v>0</v>
      </c>
      <c r="E30" s="1104">
        <f>'1. RD2021'!E27-'2. RD rozdiel'!E93</f>
        <v>0</v>
      </c>
      <c r="F30" s="1128">
        <f>'1. RD2021'!F27-'2. RD rozdiel'!F93</f>
        <v>0</v>
      </c>
      <c r="G30" s="1104">
        <f>'1. RD2021'!G27-'2. RD rozdiel'!G93</f>
        <v>0</v>
      </c>
      <c r="H30" s="1128">
        <f>'1. RD2021'!H27-'2. RD rozdiel'!H93</f>
        <v>-35598</v>
      </c>
      <c r="I30" s="1104">
        <f>'1. RD2021'!I27-'2. RD rozdiel'!I93</f>
        <v>0</v>
      </c>
      <c r="J30" s="1128">
        <f>'1. RD2021'!J27-'2. RD rozdiel'!J93</f>
        <v>0</v>
      </c>
      <c r="K30" s="1104">
        <f>'1. RD2021'!K27-'2. RD rozdiel'!K93</f>
        <v>0</v>
      </c>
      <c r="L30" s="1128">
        <f>'1. RD2021'!L27-'2. RD rozdiel'!L93</f>
        <v>0</v>
      </c>
      <c r="M30" s="1104">
        <f>'1. RD2021'!M27-'2. RD rozdiel'!M93</f>
        <v>-35598</v>
      </c>
      <c r="N30" s="1128">
        <f>'1. RD2021'!N27-'2. RD rozdiel'!N93</f>
        <v>0</v>
      </c>
      <c r="O30" s="1104">
        <f>'1. RD2021'!O27-'2. RD rozdiel'!O93</f>
        <v>-154379</v>
      </c>
      <c r="P30" s="1128">
        <f>'1. RD2021'!P27-'2. RD rozdiel'!P93</f>
        <v>0</v>
      </c>
      <c r="Q30" s="1104">
        <f>'1. RD2021'!Q27-'2. RD rozdiel'!Q93</f>
        <v>0</v>
      </c>
      <c r="R30" s="1104">
        <f>'1. RD2021'!R27-'2. RD rozdiel'!R93</f>
        <v>-189977</v>
      </c>
    </row>
    <row r="31" spans="1:18" ht="20.100000000000001" customHeight="1" thickBot="1" x14ac:dyDescent="0.25">
      <c r="B31" s="415" t="s">
        <v>228</v>
      </c>
      <c r="C31" s="455">
        <f>'1. RD2021'!C28-'2. RD rozdiel'!C94</f>
        <v>9859</v>
      </c>
      <c r="D31" s="1130">
        <f>'1. RD2021'!D28-'2. RD rozdiel'!D94</f>
        <v>0</v>
      </c>
      <c r="E31" s="417">
        <f>'1. RD2021'!E28-'2. RD rozdiel'!E94</f>
        <v>0</v>
      </c>
      <c r="F31" s="1130">
        <f>'1. RD2021'!F28-'2. RD rozdiel'!F94</f>
        <v>0</v>
      </c>
      <c r="G31" s="417">
        <f>'1. RD2021'!G28-'2. RD rozdiel'!G94</f>
        <v>0</v>
      </c>
      <c r="H31" s="1130">
        <f>'1. RD2021'!H28-'2. RD rozdiel'!H94</f>
        <v>0</v>
      </c>
      <c r="I31" s="417">
        <f>'1. RD2021'!I28-'2. RD rozdiel'!I94</f>
        <v>0</v>
      </c>
      <c r="J31" s="1131">
        <f>'1. RD2021'!J28-'2. RD rozdiel'!J94</f>
        <v>0</v>
      </c>
      <c r="K31" s="417">
        <f>'1. RD2021'!K28-'2. RD rozdiel'!K94</f>
        <v>0</v>
      </c>
      <c r="L31" s="1130">
        <f>'1. RD2021'!L28-'2. RD rozdiel'!L94</f>
        <v>0</v>
      </c>
      <c r="M31" s="417">
        <f>'1. RD2021'!M28-'2. RD rozdiel'!M94</f>
        <v>0</v>
      </c>
      <c r="N31" s="1130">
        <f>'1. RD2021'!N28-'2. RD rozdiel'!N94</f>
        <v>0</v>
      </c>
      <c r="O31" s="417">
        <f>'1. RD2021'!O28-'2. RD rozdiel'!O94</f>
        <v>0</v>
      </c>
      <c r="P31" s="1130">
        <f>'1. RD2021'!P28-'2. RD rozdiel'!P94</f>
        <v>-10141</v>
      </c>
      <c r="Q31" s="417">
        <f>'1. RD2021'!Q28-'2. RD rozdiel'!Q94</f>
        <v>20000</v>
      </c>
      <c r="R31" s="417">
        <f>'1. RD2021'!R28-'2. RD rozdiel'!R94</f>
        <v>9859</v>
      </c>
    </row>
    <row r="32" spans="1:18" ht="12.95" customHeight="1" x14ac:dyDescent="0.2"/>
    <row r="33" spans="1:24" ht="12.95" customHeight="1" x14ac:dyDescent="0.2"/>
    <row r="34" spans="1:24" ht="12.95" customHeight="1" thickBot="1" x14ac:dyDescent="0.25"/>
    <row r="35" spans="1:24" ht="47.85" customHeight="1" thickBot="1" x14ac:dyDescent="0.25">
      <c r="B35" s="1288" t="s">
        <v>450</v>
      </c>
      <c r="C35" s="1289"/>
      <c r="D35" s="1289"/>
      <c r="E35" s="1289"/>
      <c r="F35" s="1289"/>
      <c r="G35" s="1289"/>
      <c r="H35" s="1289"/>
      <c r="I35" s="1289"/>
      <c r="J35" s="1289"/>
      <c r="K35" s="1289"/>
      <c r="L35" s="1289"/>
      <c r="M35" s="1289"/>
      <c r="N35" s="1289"/>
      <c r="O35" s="1289"/>
      <c r="P35" s="1289"/>
      <c r="Q35" s="1289"/>
      <c r="R35" s="1290"/>
    </row>
    <row r="36" spans="1:24" ht="12.95" customHeight="1" thickBot="1" x14ac:dyDescent="0.25">
      <c r="B36" s="356"/>
      <c r="C36" s="357"/>
      <c r="D36" s="358"/>
      <c r="E36" s="358"/>
      <c r="F36" s="358"/>
      <c r="G36" s="358"/>
      <c r="H36" s="358"/>
      <c r="I36" s="358"/>
      <c r="J36" s="358"/>
      <c r="K36" s="358"/>
      <c r="L36" s="358"/>
      <c r="M36" s="359"/>
      <c r="N36" s="358"/>
      <c r="O36" s="358"/>
      <c r="P36" s="359"/>
      <c r="Q36" s="359"/>
      <c r="R36" s="359"/>
    </row>
    <row r="37" spans="1:24" s="361" customFormat="1" ht="38.25" thickBot="1" x14ac:dyDescent="0.25">
      <c r="A37" s="355"/>
      <c r="B37" s="1105" t="s">
        <v>206</v>
      </c>
      <c r="C37" s="1106" t="s">
        <v>207</v>
      </c>
      <c r="D37" s="378" t="s">
        <v>56</v>
      </c>
      <c r="E37" s="378" t="s">
        <v>57</v>
      </c>
      <c r="F37" s="378" t="s">
        <v>58</v>
      </c>
      <c r="G37" s="378" t="s">
        <v>59</v>
      </c>
      <c r="H37" s="1107" t="s">
        <v>62</v>
      </c>
      <c r="I37" s="378" t="s">
        <v>60</v>
      </c>
      <c r="J37" s="378" t="s">
        <v>61</v>
      </c>
      <c r="K37" s="378" t="s">
        <v>208</v>
      </c>
      <c r="L37" s="378" t="s">
        <v>205</v>
      </c>
      <c r="M37" s="1108" t="s">
        <v>246</v>
      </c>
      <c r="N37" s="378" t="s">
        <v>360</v>
      </c>
      <c r="O37" s="379" t="s">
        <v>209</v>
      </c>
      <c r="P37" s="380" t="s">
        <v>415</v>
      </c>
      <c r="Q37" s="380" t="s">
        <v>452</v>
      </c>
      <c r="R37" s="380" t="s">
        <v>16</v>
      </c>
    </row>
    <row r="38" spans="1:24" s="1109" customFormat="1" ht="12.95" customHeight="1" thickBot="1" x14ac:dyDescent="0.25">
      <c r="B38" s="1111"/>
      <c r="C38" s="1112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</row>
    <row r="39" spans="1:24" s="1109" customFormat="1" ht="30" customHeight="1" thickBot="1" x14ac:dyDescent="0.25">
      <c r="B39" s="381" t="s">
        <v>214</v>
      </c>
      <c r="C39" s="446">
        <f>'1. RD2021'!C5-'2. RD rozdiel'!C102</f>
        <v>10027757.502000004</v>
      </c>
      <c r="D39" s="383">
        <f>'1. RD2021'!D5-'2. RD rozdiel'!D102</f>
        <v>513939.19353568042</v>
      </c>
      <c r="E39" s="382">
        <f>'1. RD2021'!E5-'2. RD rozdiel'!E102</f>
        <v>2615143.487089647</v>
      </c>
      <c r="F39" s="383">
        <f>'1. RD2021'!F5-'2. RD rozdiel'!F102</f>
        <v>1678450.7923096363</v>
      </c>
      <c r="G39" s="382">
        <f>'1. RD2021'!G5-'2. RD rozdiel'!G102</f>
        <v>1007974.7397595411</v>
      </c>
      <c r="H39" s="383">
        <f>'1. RD2021'!H5-'2. RD rozdiel'!H102</f>
        <v>594708.95854215417</v>
      </c>
      <c r="I39" s="382">
        <f>'1. RD2021'!I5-'2. RD rozdiel'!I102</f>
        <v>1392569.6476761252</v>
      </c>
      <c r="J39" s="383">
        <f>'1. RD2021'!J5-'2. RD rozdiel'!J102</f>
        <v>272973.1493657073</v>
      </c>
      <c r="K39" s="382">
        <f>'1. RD2021'!K5-'2. RD rozdiel'!K102</f>
        <v>211598.82628642616</v>
      </c>
      <c r="L39" s="383">
        <f>'1. RD2021'!L5-'2. RD rozdiel'!L102</f>
        <v>-16193.714010575059</v>
      </c>
      <c r="M39" s="382">
        <f>'1. RD2021'!M5-'2. RD rozdiel'!M102</f>
        <v>8271165.0805543587</v>
      </c>
      <c r="N39" s="383">
        <f>'1. RD2021'!N5-'2. RD rozdiel'!N102</f>
        <v>1570587.8581868</v>
      </c>
      <c r="O39" s="382">
        <f>'1. RD2021'!O5-'2. RD rozdiel'!O102</f>
        <v>301005.61223638197</v>
      </c>
      <c r="P39" s="383">
        <f>'1. RD2021'!P5-'2. RD rozdiel'!P102</f>
        <v>-2799877.4975555558</v>
      </c>
      <c r="Q39" s="382">
        <f>'1. RD2021'!Q5-'2. RD rozdiel'!Q102</f>
        <v>2684877.03</v>
      </c>
      <c r="R39" s="382">
        <f>'1. RD2021'!R5-'2. RD rozdiel'!R102</f>
        <v>10027758.08342196</v>
      </c>
    </row>
    <row r="40" spans="1:24" s="1109" customFormat="1" ht="30" customHeight="1" thickBot="1" x14ac:dyDescent="0.25">
      <c r="B40" s="1137" t="s">
        <v>456</v>
      </c>
      <c r="C40" s="1138">
        <f>C39/'1. RD2021'!C5</f>
        <v>0.14506963437365272</v>
      </c>
      <c r="D40" s="1135">
        <f>D39/'1. RD2021'!D5</f>
        <v>0.12552001404549917</v>
      </c>
      <c r="E40" s="1136">
        <f>E39/'1. RD2021'!E5</f>
        <v>0.22113984009514384</v>
      </c>
      <c r="F40" s="1135">
        <f>F39/'1. RD2021'!F5</f>
        <v>0.1445933691450178</v>
      </c>
      <c r="G40" s="1136">
        <f>G39/'1. RD2021'!G5</f>
        <v>0.25121930489106142</v>
      </c>
      <c r="H40" s="1135">
        <f>H39/'1. RD2021'!H5</f>
        <v>7.0312694396032549E-2</v>
      </c>
      <c r="I40" s="1136">
        <f>I39/'1. RD2021'!I5</f>
        <v>0.12096177228735631</v>
      </c>
      <c r="J40" s="1135">
        <f>J39/'1. RD2021'!J5</f>
        <v>6.0561347612176686E-2</v>
      </c>
      <c r="K40" s="1136">
        <f>K39/'1. RD2021'!K5</f>
        <v>0.21929982486259772</v>
      </c>
      <c r="L40" s="1135">
        <f>L39/'1. RD2021'!L5</f>
        <v>-6.9765181514049035E-2</v>
      </c>
      <c r="M40" s="1136">
        <f>M39/'1. RD2021'!M5</f>
        <v>0.14456148440553926</v>
      </c>
      <c r="N40" s="1135">
        <f>N39/'1. RD2021'!N5</f>
        <v>0.35772820598494276</v>
      </c>
      <c r="O40" s="1136">
        <f>O39/'1. RD2021'!O5</f>
        <v>0.10112474734155034</v>
      </c>
      <c r="P40" s="1135">
        <f>P39/'1. RD2021'!P5</f>
        <v>-1.508313467815221</v>
      </c>
      <c r="Q40" s="1136">
        <f>Q39/'1. RD2021'!Q5</f>
        <v>1</v>
      </c>
      <c r="R40" s="1136">
        <f>R39/'1. RD2021'!R5</f>
        <v>0.14506964209660028</v>
      </c>
    </row>
    <row r="41" spans="1:24" ht="29.65" customHeight="1" x14ac:dyDescent="0.2">
      <c r="B41" s="384" t="s">
        <v>215</v>
      </c>
      <c r="C41" s="447">
        <f>'1. RD2021'!C6-'2. RD rozdiel'!C103</f>
        <v>6529910.5020000041</v>
      </c>
      <c r="D41" s="386">
        <f>'1. RD2021'!D6-'2. RD rozdiel'!D103</f>
        <v>377720.26858457737</v>
      </c>
      <c r="E41" s="385">
        <f>'1. RD2021'!E6-'2. RD rozdiel'!E103</f>
        <v>1855248.7582272552</v>
      </c>
      <c r="F41" s="386">
        <f>'1. RD2021'!F6-'2. RD rozdiel'!F103</f>
        <v>1317749.9304066934</v>
      </c>
      <c r="G41" s="385">
        <f>'1. RD2021'!G6-'2. RD rozdiel'!G103</f>
        <v>934950.89408474881</v>
      </c>
      <c r="H41" s="386">
        <f>'1. RD2021'!H6-'2. RD rozdiel'!H103</f>
        <v>444084.68329644389</v>
      </c>
      <c r="I41" s="385">
        <f>'1. RD2021'!I6-'2. RD rozdiel'!I103</f>
        <v>1008156.6741658282</v>
      </c>
      <c r="J41" s="386">
        <f>'1. RD2021'!J6-'2. RD rozdiel'!J103</f>
        <v>246233.5884631807</v>
      </c>
      <c r="K41" s="385">
        <f>'1. RD2021'!K6-'2. RD rozdiel'!K103</f>
        <v>10258.109113351617</v>
      </c>
      <c r="L41" s="386">
        <f>'1. RD2021'!L6-'2. RD rozdiel'!L103</f>
        <v>7126.4146483078075</v>
      </c>
      <c r="M41" s="385">
        <f>'1. RD2021'!M6-'2. RD rozdiel'!M103</f>
        <v>6201529.3209903911</v>
      </c>
      <c r="N41" s="386">
        <f>'1. RD2021'!N6-'2. RD rozdiel'!N103</f>
        <v>888964.10701228213</v>
      </c>
      <c r="O41" s="385">
        <f>'1. RD2021'!O6-'2. RD rozdiel'!O103</f>
        <v>0.03</v>
      </c>
      <c r="P41" s="386">
        <f>'1. RD2021'!P6-'2. RD rozdiel'!P103</f>
        <v>-640582.44200000004</v>
      </c>
      <c r="Q41" s="385">
        <f>'1. RD2021'!Q6-'2. RD rozdiel'!Q103</f>
        <v>80000.03</v>
      </c>
      <c r="R41" s="385">
        <f>'1. RD2021'!R6-'2. RD rozdiel'!R103</f>
        <v>6529911.0460026711</v>
      </c>
    </row>
    <row r="42" spans="1:24" ht="20.100000000000001" customHeight="1" x14ac:dyDescent="0.2">
      <c r="B42" s="387" t="s">
        <v>216</v>
      </c>
      <c r="C42" s="448">
        <f>'1. RD2021'!C7-'2. RD rozdiel'!C104</f>
        <v>4850053</v>
      </c>
      <c r="D42" s="388">
        <f>'1. RD2021'!D7-'2. RD rozdiel'!D104</f>
        <v>281333.75916132145</v>
      </c>
      <c r="E42" s="389">
        <f>'1. RD2021'!E7-'2. RD rozdiel'!E104</f>
        <v>1305318.9680612241</v>
      </c>
      <c r="F42" s="388">
        <f>'1. RD2021'!F7-'2. RD rozdiel'!F104</f>
        <v>980805.95203960501</v>
      </c>
      <c r="G42" s="389">
        <f>'1. RD2021'!G7-'2. RD rozdiel'!G104</f>
        <v>638800.3175412456</v>
      </c>
      <c r="H42" s="388">
        <f>'1. RD2021'!H7-'2. RD rozdiel'!H104</f>
        <v>380654.07609905722</v>
      </c>
      <c r="I42" s="389">
        <f>'1. RD2021'!I7-'2. RD rozdiel'!I104</f>
        <v>782768.64001145028</v>
      </c>
      <c r="J42" s="388">
        <f>'1. RD2021'!J7-'2. RD rozdiel'!J104</f>
        <v>220121.97732883785</v>
      </c>
      <c r="K42" s="389">
        <f>'1. RD2021'!K7-'2. RD rozdiel'!K104</f>
        <v>18756.854857035622</v>
      </c>
      <c r="L42" s="388">
        <f>'1. RD2021'!L7-'2. RD rozdiel'!L104</f>
        <v>4982.4549002262211</v>
      </c>
      <c r="M42" s="389">
        <f>'1. RD2021'!M7-'2. RD rozdiel'!M104</f>
        <v>4613543</v>
      </c>
      <c r="N42" s="388">
        <f>'1. RD2021'!N7-'2. RD rozdiel'!N104</f>
        <v>228321</v>
      </c>
      <c r="O42" s="389">
        <f>'1. RD2021'!O7-'2. RD rozdiel'!O104</f>
        <v>0</v>
      </c>
      <c r="P42" s="388">
        <f>'1. RD2021'!P7-'2. RD rozdiel'!P104</f>
        <v>8189</v>
      </c>
      <c r="Q42" s="1102">
        <f>'1. RD2021'!Q7-'2. RD rozdiel'!Q104</f>
        <v>0</v>
      </c>
      <c r="R42" s="389">
        <f>'1. RD2021'!R7-'2. RD rozdiel'!R104</f>
        <v>4850053</v>
      </c>
      <c r="X42" s="949"/>
    </row>
    <row r="43" spans="1:24" ht="20.100000000000001" customHeight="1" x14ac:dyDescent="0.2">
      <c r="B43" s="854" t="s">
        <v>354</v>
      </c>
      <c r="C43" s="448">
        <f>'1. RD2021'!C8-'2. RD rozdiel'!C105</f>
        <v>4850053</v>
      </c>
      <c r="D43" s="388">
        <f>'1. RD2021'!D8-'2. RD rozdiel'!D105</f>
        <v>281333.75916132145</v>
      </c>
      <c r="E43" s="389">
        <f>'1. RD2021'!E8-'2. RD rozdiel'!E105</f>
        <v>1305318.9680612241</v>
      </c>
      <c r="F43" s="388">
        <f>'1. RD2021'!F8-'2. RD rozdiel'!F105</f>
        <v>980805.95203960501</v>
      </c>
      <c r="G43" s="389">
        <f>'1. RD2021'!G8-'2. RD rozdiel'!G105</f>
        <v>638800.3175412456</v>
      </c>
      <c r="H43" s="388">
        <f>'1. RD2021'!H8-'2. RD rozdiel'!H105</f>
        <v>380654.07609905722</v>
      </c>
      <c r="I43" s="389">
        <f>'1. RD2021'!I8-'2. RD rozdiel'!I105</f>
        <v>782768.64001145028</v>
      </c>
      <c r="J43" s="388">
        <f>'1. RD2021'!J8-'2. RD rozdiel'!J105</f>
        <v>220121.97732883785</v>
      </c>
      <c r="K43" s="389">
        <f>'1. RD2021'!K8-'2. RD rozdiel'!K105</f>
        <v>18756.854857035622</v>
      </c>
      <c r="L43" s="388">
        <f>'1. RD2021'!L8-'2. RD rozdiel'!L105</f>
        <v>4982.4549002262211</v>
      </c>
      <c r="M43" s="389">
        <f>'1. RD2021'!M8-'2. RD rozdiel'!M105</f>
        <v>4613543</v>
      </c>
      <c r="N43" s="388">
        <f>'1. RD2021'!N8-'2. RD rozdiel'!N105</f>
        <v>0</v>
      </c>
      <c r="O43" s="389">
        <f>'1. RD2021'!O8-'2. RD rozdiel'!O105</f>
        <v>0</v>
      </c>
      <c r="P43" s="388">
        <f>'1. RD2021'!P8-'2. RD rozdiel'!P105</f>
        <v>0</v>
      </c>
      <c r="Q43" s="1102">
        <f>'1. RD2021'!Q8-'2. RD rozdiel'!Q105</f>
        <v>0</v>
      </c>
      <c r="R43" s="389">
        <f>'1. RD2021'!R8-'2. RD rozdiel'!R105</f>
        <v>4613543</v>
      </c>
      <c r="X43" s="949"/>
    </row>
    <row r="44" spans="1:24" ht="20.100000000000001" customHeight="1" x14ac:dyDescent="0.2">
      <c r="B44" s="855" t="s">
        <v>210</v>
      </c>
      <c r="C44" s="448"/>
      <c r="D44" s="388">
        <f>'1. RD2021'!D9-'2. RD rozdiel'!D106</f>
        <v>0</v>
      </c>
      <c r="E44" s="389">
        <f>'1. RD2021'!E9-'2. RD rozdiel'!E106</f>
        <v>0</v>
      </c>
      <c r="F44" s="388">
        <f>'1. RD2021'!F9-'2. RD rozdiel'!F106</f>
        <v>0</v>
      </c>
      <c r="G44" s="389">
        <f>'1. RD2021'!G9-'2. RD rozdiel'!G106</f>
        <v>0</v>
      </c>
      <c r="H44" s="388">
        <f>'1. RD2021'!H9-'2. RD rozdiel'!H106</f>
        <v>0</v>
      </c>
      <c r="I44" s="389">
        <f>'1. RD2021'!I9-'2. RD rozdiel'!I106</f>
        <v>0</v>
      </c>
      <c r="J44" s="388">
        <f>'1. RD2021'!J9-'2. RD rozdiel'!J106</f>
        <v>0</v>
      </c>
      <c r="K44" s="389">
        <f>'1. RD2021'!K9-'2. RD rozdiel'!K106</f>
        <v>0</v>
      </c>
      <c r="L44" s="388">
        <f>'1. RD2021'!L9-'2. RD rozdiel'!L106</f>
        <v>0</v>
      </c>
      <c r="M44" s="389">
        <f>'1. RD2021'!M9-'2. RD rozdiel'!M106</f>
        <v>0</v>
      </c>
      <c r="N44" s="388">
        <f>'1. RD2021'!N9-'2. RD rozdiel'!N106</f>
        <v>228321</v>
      </c>
      <c r="O44" s="389">
        <f>'1. RD2021'!O9-'2. RD rozdiel'!O106</f>
        <v>0</v>
      </c>
      <c r="P44" s="388">
        <f>'1. RD2021'!P9-'2. RD rozdiel'!P106</f>
        <v>8189</v>
      </c>
      <c r="Q44" s="1102">
        <f>'1. RD2021'!Q9-'2. RD rozdiel'!Q106</f>
        <v>0</v>
      </c>
      <c r="R44" s="389">
        <f>'1. RD2021'!R9-'2. RD rozdiel'!R106</f>
        <v>236510</v>
      </c>
      <c r="X44" s="949"/>
    </row>
    <row r="45" spans="1:24" ht="20.100000000000001" customHeight="1" x14ac:dyDescent="0.2">
      <c r="B45" s="390" t="s">
        <v>232</v>
      </c>
      <c r="C45" s="448">
        <f>'1. RD2021'!C10-'2. RD rozdiel'!C107</f>
        <v>1707218.5019999994</v>
      </c>
      <c r="D45" s="388">
        <f>'1. RD2021'!D10-'2. RD rozdiel'!D107</f>
        <v>99029.513224785216</v>
      </c>
      <c r="E45" s="389">
        <f>'1. RD2021'!E10-'2. RD rozdiel'!E107</f>
        <v>459472.3067575508</v>
      </c>
      <c r="F45" s="388">
        <f>'1. RD2021'!F10-'2. RD rozdiel'!F107</f>
        <v>345243.72511794092</v>
      </c>
      <c r="G45" s="389">
        <f>'1. RD2021'!G10-'2. RD rozdiel'!G107</f>
        <v>224857.74177451851</v>
      </c>
      <c r="H45" s="388">
        <f>'1. RD2021'!H10-'2. RD rozdiel'!H107</f>
        <v>133990.26478686812</v>
      </c>
      <c r="I45" s="389">
        <f>'1. RD2021'!I10-'2. RD rozdiel'!I107</f>
        <v>275534.59128403058</v>
      </c>
      <c r="J45" s="388">
        <f>'1. RD2021'!J10-'2. RD rozdiel'!J107</f>
        <v>77482.96601975098</v>
      </c>
      <c r="K45" s="389">
        <f>'1. RD2021'!K10-'2. RD rozdiel'!K107</f>
        <v>6602.442909676538</v>
      </c>
      <c r="L45" s="388">
        <f>'1. RD2021'!L10-'2. RD rozdiel'!L107</f>
        <v>1753.8541248796282</v>
      </c>
      <c r="M45" s="389">
        <f>'1. RD2021'!M10-'2. RD rozdiel'!M107</f>
        <v>1623967.4060000004</v>
      </c>
      <c r="N45" s="388">
        <f>'1. RD2021'!N10-'2. RD rozdiel'!N107</f>
        <v>80369.022000000055</v>
      </c>
      <c r="O45" s="389">
        <f>'1. RD2021'!O10-'2. RD rozdiel'!O107</f>
        <v>0.03</v>
      </c>
      <c r="P45" s="388">
        <f>'1. RD2021'!P10-'2. RD rozdiel'!P107</f>
        <v>2882.5579999999973</v>
      </c>
      <c r="Q45" s="1102">
        <f>'1. RD2021'!Q10-'2. RD rozdiel'!Q107</f>
        <v>0.03</v>
      </c>
      <c r="R45" s="389">
        <f>'1. RD2021'!R10-'2. RD rozdiel'!R107</f>
        <v>1707219.0460000001</v>
      </c>
      <c r="X45" s="949"/>
    </row>
    <row r="46" spans="1:24" ht="20.100000000000001" customHeight="1" x14ac:dyDescent="0.2">
      <c r="B46" s="391" t="s">
        <v>231</v>
      </c>
      <c r="C46" s="448">
        <f>'1. RD2021'!C11-'2. RD rozdiel'!C108</f>
        <v>-29850</v>
      </c>
      <c r="D46" s="388">
        <f>'1. RD2021'!D11-'2. RD rozdiel'!D108</f>
        <v>-2643.0038015294704</v>
      </c>
      <c r="E46" s="389">
        <f>'1. RD2021'!E11-'2. RD rozdiel'!E108</f>
        <v>90457.483408480533</v>
      </c>
      <c r="F46" s="388">
        <f>'1. RD2021'!F11-'2. RD rozdiel'!F108</f>
        <v>-8299.7467508519767</v>
      </c>
      <c r="G46" s="389">
        <f>'1. RD2021'!G11-'2. RD rozdiel'!G108</f>
        <v>71292.834768985165</v>
      </c>
      <c r="H46" s="388">
        <f>'1. RD2021'!H11-'2. RD rozdiel'!H108</f>
        <v>-70559.657589481445</v>
      </c>
      <c r="I46" s="389">
        <f>'1. RD2021'!I11-'2. RD rozdiel'!I108</f>
        <v>-50146.55712965189</v>
      </c>
      <c r="J46" s="388">
        <f>'1. RD2021'!J11-'2. RD rozdiel'!J108</f>
        <v>-22371.354885407898</v>
      </c>
      <c r="K46" s="389">
        <f>'1. RD2021'!K11-'2. RD rozdiel'!K108</f>
        <v>-15101.188653360558</v>
      </c>
      <c r="L46" s="388">
        <f>'1. RD2021'!L11-'2. RD rozdiel'!L108</f>
        <v>390.10562320197039</v>
      </c>
      <c r="M46" s="389">
        <f>'1. RD2021'!M11-'2. RD rozdiel'!M108</f>
        <v>-6981.0850096158683</v>
      </c>
      <c r="N46" s="388">
        <f>'1. RD2021'!N11-'2. RD rozdiel'!N108</f>
        <v>-299725.91498771787</v>
      </c>
      <c r="O46" s="389">
        <f>'1. RD2021'!O11-'2. RD rozdiel'!O108</f>
        <v>0</v>
      </c>
      <c r="P46" s="388">
        <f>'1. RD2021'!P11-'2. RD rozdiel'!P108</f>
        <v>0</v>
      </c>
      <c r="Q46" s="1102">
        <f>'1. RD2021'!Q11-'2. RD rozdiel'!Q108</f>
        <v>0</v>
      </c>
      <c r="R46" s="389">
        <f>'1. RD2021'!R11-'2. RD rozdiel'!R108</f>
        <v>-306706.99999733455</v>
      </c>
      <c r="X46" s="949"/>
    </row>
    <row r="47" spans="1:24" ht="20.100000000000001" customHeight="1" x14ac:dyDescent="0.2">
      <c r="B47" s="390" t="s">
        <v>230</v>
      </c>
      <c r="C47" s="448">
        <f>'1. RD2021'!C12-'2. RD rozdiel'!C109</f>
        <v>2489</v>
      </c>
      <c r="D47" s="388">
        <f>'1. RD2021'!D12-'2. RD rozdiel'!D109</f>
        <v>0</v>
      </c>
      <c r="E47" s="389">
        <f>'1. RD2021'!E12-'2. RD rozdiel'!E109</f>
        <v>0</v>
      </c>
      <c r="F47" s="388">
        <f>'1. RD2021'!F12-'2. RD rozdiel'!F109</f>
        <v>0</v>
      </c>
      <c r="G47" s="389">
        <f>'1. RD2021'!G12-'2. RD rozdiel'!G109</f>
        <v>0</v>
      </c>
      <c r="H47" s="388">
        <f>'1. RD2021'!H12-'2. RD rozdiel'!H109</f>
        <v>0</v>
      </c>
      <c r="I47" s="389">
        <f>'1. RD2021'!I12-'2. RD rozdiel'!I109</f>
        <v>0</v>
      </c>
      <c r="J47" s="388">
        <f>'1. RD2021'!J12-'2. RD rozdiel'!J109</f>
        <v>0</v>
      </c>
      <c r="K47" s="389">
        <f>'1. RD2021'!K12-'2. RD rozdiel'!K109</f>
        <v>0</v>
      </c>
      <c r="L47" s="388">
        <f>'1. RD2021'!L12-'2. RD rozdiel'!L109</f>
        <v>0</v>
      </c>
      <c r="M47" s="389">
        <f>'1. RD2021'!M12-'2. RD rozdiel'!M109</f>
        <v>0</v>
      </c>
      <c r="N47" s="388">
        <f>'1. RD2021'!N12-'2. RD rozdiel'!N109</f>
        <v>0</v>
      </c>
      <c r="O47" s="389">
        <f>'1. RD2021'!O12-'2. RD rozdiel'!O109</f>
        <v>0</v>
      </c>
      <c r="P47" s="388">
        <f>'1. RD2021'!P12-'2. RD rozdiel'!P109</f>
        <v>2489</v>
      </c>
      <c r="Q47" s="1102">
        <f>'1. RD2021'!Q12-'2. RD rozdiel'!Q109</f>
        <v>0</v>
      </c>
      <c r="R47" s="389">
        <f>'1. RD2021'!R12-'2. RD rozdiel'!R109</f>
        <v>2489</v>
      </c>
    </row>
    <row r="48" spans="1:24" ht="20.100000000000001" customHeight="1" thickBot="1" x14ac:dyDescent="0.25">
      <c r="B48" s="392" t="s">
        <v>210</v>
      </c>
      <c r="C48" s="449"/>
      <c r="D48" s="393">
        <f>'1. RD2021'!D13-'2. RD rozdiel'!D110</f>
        <v>0</v>
      </c>
      <c r="E48" s="394">
        <f>'1. RD2021'!E13-'2. RD rozdiel'!E110</f>
        <v>0</v>
      </c>
      <c r="F48" s="393">
        <f>'1. RD2021'!F13-'2. RD rozdiel'!F110</f>
        <v>0</v>
      </c>
      <c r="G48" s="394">
        <f>'1. RD2021'!G13-'2. RD rozdiel'!G110</f>
        <v>0</v>
      </c>
      <c r="H48" s="393">
        <f>'1. RD2021'!H13-'2. RD rozdiel'!H110</f>
        <v>0</v>
      </c>
      <c r="I48" s="394">
        <f>'1. RD2021'!I13-'2. RD rozdiel'!I110</f>
        <v>0</v>
      </c>
      <c r="J48" s="393">
        <f>'1. RD2021'!J13-'2. RD rozdiel'!J110</f>
        <v>-29000</v>
      </c>
      <c r="K48" s="394">
        <f>'1. RD2021'!K13-'2. RD rozdiel'!K110</f>
        <v>0</v>
      </c>
      <c r="L48" s="393">
        <f>'1. RD2021'!L13-'2. RD rozdiel'!L110</f>
        <v>0</v>
      </c>
      <c r="M48" s="394">
        <f>'1. RD2021'!M13-'2. RD rozdiel'!M110</f>
        <v>-29000</v>
      </c>
      <c r="N48" s="393">
        <f>'1. RD2021'!N13-'2. RD rozdiel'!N110</f>
        <v>880000</v>
      </c>
      <c r="O48" s="394">
        <f>'1. RD2021'!O13-'2. RD rozdiel'!O110</f>
        <v>0</v>
      </c>
      <c r="P48" s="393">
        <f>'1. RD2021'!P13-'2. RD rozdiel'!P110</f>
        <v>-654143</v>
      </c>
      <c r="Q48" s="394">
        <f>'1. RD2021'!Q13-'2. RD rozdiel'!Q110</f>
        <v>80000</v>
      </c>
      <c r="R48" s="394">
        <f>'1. RD2021'!R13-'2. RD rozdiel'!R110</f>
        <v>276857</v>
      </c>
    </row>
    <row r="49" spans="1:24" ht="30" customHeight="1" x14ac:dyDescent="0.2">
      <c r="B49" s="395" t="s">
        <v>217</v>
      </c>
      <c r="C49" s="450">
        <f>'1. RD2021'!C14-'2. RD rozdiel'!C111</f>
        <v>3557541</v>
      </c>
      <c r="D49" s="397">
        <f>'1. RD2021'!D14-'2. RD rozdiel'!D111</f>
        <v>203725.54433564655</v>
      </c>
      <c r="E49" s="396">
        <f>'1. RD2021'!E14-'2. RD rozdiel'!E111</f>
        <v>779105.99260774441</v>
      </c>
      <c r="F49" s="397">
        <f>'1. RD2021'!F14-'2. RD rozdiel'!F111</f>
        <v>512190.16488496307</v>
      </c>
      <c r="G49" s="396">
        <f>'1. RD2021'!G14-'2. RD rozdiel'!G111</f>
        <v>147386.18436218414</v>
      </c>
      <c r="H49" s="397">
        <f>'1. RD2021'!H14-'2. RD rozdiel'!H111</f>
        <v>123635.54438480898</v>
      </c>
      <c r="I49" s="396">
        <f>'1. RD2021'!I14-'2. RD rozdiel'!I111</f>
        <v>357800.59554429725</v>
      </c>
      <c r="J49" s="397">
        <f>'1. RD2021'!J14-'2. RD rozdiel'!J111</f>
        <v>78153.826238152804</v>
      </c>
      <c r="K49" s="396">
        <f>'1. RD2021'!K14-'2. RD rozdiel'!K111</f>
        <v>209415.00949789616</v>
      </c>
      <c r="L49" s="397">
        <f>'1. RD2021'!L14-'2. RD rozdiel'!L111</f>
        <v>-23320.128658882866</v>
      </c>
      <c r="M49" s="396">
        <f>'1. RD2021'!M14-'2. RD rozdiel'!M111</f>
        <v>2388092.7331968136</v>
      </c>
      <c r="N49" s="397">
        <f>'1. RD2021'!N14-'2. RD rozdiel'!N111</f>
        <v>681623.75117451791</v>
      </c>
      <c r="O49" s="396">
        <f>'1. RD2021'!O14-'2. RD rozdiel'!O111</f>
        <v>0</v>
      </c>
      <c r="P49" s="397">
        <f>'1. RD2021'!P14-'2. RD rozdiel'!P111</f>
        <v>-2097052</v>
      </c>
      <c r="Q49" s="396">
        <f>'1. RD2021'!Q14-'2. RD rozdiel'!Q111</f>
        <v>2584877</v>
      </c>
      <c r="R49" s="396">
        <f>'1. RD2021'!R14-'2. RD rozdiel'!R111</f>
        <v>3557541.4843713306</v>
      </c>
    </row>
    <row r="50" spans="1:24" ht="20.100000000000001" customHeight="1" x14ac:dyDescent="0.2">
      <c r="B50" s="398" t="s">
        <v>218</v>
      </c>
      <c r="C50" s="451">
        <f>'1. RD2021'!C15-'2. RD rozdiel'!C112</f>
        <v>3548848</v>
      </c>
      <c r="D50" s="400">
        <f>'1. RD2021'!D15-'2. RD rozdiel'!D112</f>
        <v>203725.54433564655</v>
      </c>
      <c r="E50" s="399">
        <f>'1. RD2021'!E15-'2. RD rozdiel'!E112</f>
        <v>837159.99260774441</v>
      </c>
      <c r="F50" s="400">
        <f>'1. RD2021'!F15-'2. RD rozdiel'!F112</f>
        <v>648449.16488496307</v>
      </c>
      <c r="G50" s="399">
        <f>'1. RD2021'!G15-'2. RD rozdiel'!G112</f>
        <v>157386.18436218414</v>
      </c>
      <c r="H50" s="400">
        <f>'1. RD2021'!H15-'2. RD rozdiel'!H112</f>
        <v>158900.54438480898</v>
      </c>
      <c r="I50" s="399">
        <f>'1. RD2021'!I15-'2. RD rozdiel'!I112</f>
        <v>401342.59554429725</v>
      </c>
      <c r="J50" s="400">
        <f>'1. RD2021'!J15-'2. RD rozdiel'!J112</f>
        <v>107232.8262381528</v>
      </c>
      <c r="K50" s="399">
        <f>'1. RD2021'!K15-'2. RD rozdiel'!K112</f>
        <v>209415.00949789616</v>
      </c>
      <c r="L50" s="400">
        <f>'1. RD2021'!L15-'2. RD rozdiel'!L112</f>
        <v>-23320.128658882866</v>
      </c>
      <c r="M50" s="399">
        <f>'1. RD2021'!M15-'2. RD rozdiel'!M112</f>
        <v>2700291.7331968136</v>
      </c>
      <c r="N50" s="400">
        <f>'1. RD2021'!N15-'2. RD rozdiel'!N112</f>
        <v>-28876.248825481976</v>
      </c>
      <c r="O50" s="399">
        <f>'1. RD2021'!O15-'2. RD rozdiel'!O112</f>
        <v>0</v>
      </c>
      <c r="P50" s="400">
        <f>'1. RD2021'!P15-'2. RD rozdiel'!P112</f>
        <v>0</v>
      </c>
      <c r="Q50" s="1103">
        <f>'1. RD2021'!Q15-'2. RD rozdiel'!Q112</f>
        <v>0</v>
      </c>
      <c r="R50" s="399">
        <f>'1. RD2021'!R15-'2. RD rozdiel'!R112</f>
        <v>2671415.4843713306</v>
      </c>
    </row>
    <row r="51" spans="1:24" ht="20.100000000000001" customHeight="1" x14ac:dyDescent="0.2">
      <c r="B51" s="398" t="s">
        <v>230</v>
      </c>
      <c r="C51" s="452">
        <f>'1. RD2021'!C16-'2. RD rozdiel'!C113</f>
        <v>8693</v>
      </c>
      <c r="D51" s="400">
        <f>'1. RD2021'!D16-'2. RD rozdiel'!D113</f>
        <v>0</v>
      </c>
      <c r="E51" s="399">
        <f>'1. RD2021'!E16-'2. RD rozdiel'!E113</f>
        <v>5108</v>
      </c>
      <c r="F51" s="400">
        <f>'1. RD2021'!F16-'2. RD rozdiel'!F113</f>
        <v>-4675</v>
      </c>
      <c r="G51" s="399">
        <f>'1. RD2021'!G16-'2. RD rozdiel'!G113</f>
        <v>0</v>
      </c>
      <c r="H51" s="400">
        <f>'1. RD2021'!H16-'2. RD rozdiel'!H113</f>
        <v>0</v>
      </c>
      <c r="I51" s="399">
        <f>'1. RD2021'!I16-'2. RD rozdiel'!I113</f>
        <v>8260</v>
      </c>
      <c r="J51" s="400">
        <f>'1. RD2021'!J16-'2. RD rozdiel'!J113</f>
        <v>0</v>
      </c>
      <c r="K51" s="399">
        <f>'1. RD2021'!K16-'2. RD rozdiel'!K113</f>
        <v>0</v>
      </c>
      <c r="L51" s="400">
        <f>'1. RD2021'!L16-'2. RD rozdiel'!L113</f>
        <v>0</v>
      </c>
      <c r="M51" s="399">
        <f>'1. RD2021'!M16-'2. RD rozdiel'!M113</f>
        <v>8693</v>
      </c>
      <c r="N51" s="400">
        <f>'1. RD2021'!N16-'2. RD rozdiel'!N113</f>
        <v>0</v>
      </c>
      <c r="O51" s="399">
        <f>'1. RD2021'!O16-'2. RD rozdiel'!O113</f>
        <v>0</v>
      </c>
      <c r="P51" s="400">
        <f>'1. RD2021'!P16-'2. RD rozdiel'!P113</f>
        <v>0</v>
      </c>
      <c r="Q51" s="1103">
        <f>'1. RD2021'!Q16-'2. RD rozdiel'!Q113</f>
        <v>0</v>
      </c>
      <c r="R51" s="399">
        <f>'1. RD2021'!R16-'2. RD rozdiel'!R113</f>
        <v>8693</v>
      </c>
      <c r="X51" s="949"/>
    </row>
    <row r="52" spans="1:24" s="360" customFormat="1" ht="20.100000000000001" customHeight="1" thickBot="1" x14ac:dyDescent="0.25">
      <c r="B52" s="401" t="s">
        <v>210</v>
      </c>
      <c r="C52" s="493"/>
      <c r="D52" s="402">
        <f>'1. RD2021'!D17-'2. RD rozdiel'!D114</f>
        <v>0</v>
      </c>
      <c r="E52" s="403">
        <f>'1. RD2021'!E17-'2. RD rozdiel'!E114</f>
        <v>-63162</v>
      </c>
      <c r="F52" s="402">
        <f>'1. RD2021'!F17-'2. RD rozdiel'!F114</f>
        <v>-131584</v>
      </c>
      <c r="G52" s="403">
        <f>'1. RD2021'!G17-'2. RD rozdiel'!G114</f>
        <v>-10000</v>
      </c>
      <c r="H52" s="402">
        <f>'1. RD2021'!H17-'2. RD rozdiel'!H114</f>
        <v>-35265</v>
      </c>
      <c r="I52" s="403">
        <f>'1. RD2021'!I17-'2. RD rozdiel'!I114</f>
        <v>-51802</v>
      </c>
      <c r="J52" s="402">
        <f>'1. RD2021'!J17-'2. RD rozdiel'!J114</f>
        <v>-29079</v>
      </c>
      <c r="K52" s="403">
        <f>'1. RD2021'!K17-'2. RD rozdiel'!K114</f>
        <v>0</v>
      </c>
      <c r="L52" s="402">
        <f>'1. RD2021'!L17-'2. RD rozdiel'!L114</f>
        <v>0</v>
      </c>
      <c r="M52" s="457">
        <f>'1. RD2021'!M17-'2. RD rozdiel'!M114</f>
        <v>-320892</v>
      </c>
      <c r="N52" s="402">
        <f>'1. RD2021'!N17-'2. RD rozdiel'!N114</f>
        <v>710500</v>
      </c>
      <c r="O52" s="403">
        <f>'1. RD2021'!O17-'2. RD rozdiel'!O114</f>
        <v>0</v>
      </c>
      <c r="P52" s="402">
        <f>'1. RD2021'!P17-'2. RD rozdiel'!P114</f>
        <v>-2097052</v>
      </c>
      <c r="Q52" s="403">
        <f>'1. RD2021'!Q17-'2. RD rozdiel'!Q114</f>
        <v>2584877</v>
      </c>
      <c r="R52" s="403">
        <f>'1. RD2021'!R17-'2. RD rozdiel'!R114</f>
        <v>877433</v>
      </c>
    </row>
    <row r="53" spans="1:24" s="360" customFormat="1" ht="30" customHeight="1" thickBot="1" x14ac:dyDescent="0.25">
      <c r="A53" s="355"/>
      <c r="B53" s="494" t="s">
        <v>219</v>
      </c>
      <c r="C53" s="495">
        <f>'1. RD2021'!C18-'2. RD rozdiel'!C115</f>
        <v>-68699</v>
      </c>
      <c r="D53" s="496">
        <f>'1. RD2021'!D18-'2. RD rozdiel'!D115</f>
        <v>0</v>
      </c>
      <c r="E53" s="407">
        <f>'1. RD2021'!E18-'2. RD rozdiel'!E115</f>
        <v>0</v>
      </c>
      <c r="F53" s="496">
        <f>'1. RD2021'!F18-'2. RD rozdiel'!F115</f>
        <v>0</v>
      </c>
      <c r="G53" s="407">
        <f>'1. RD2021'!G18-'2. RD rozdiel'!G115</f>
        <v>0</v>
      </c>
      <c r="H53" s="496">
        <f>'1. RD2021'!H18-'2. RD rozdiel'!H115</f>
        <v>0</v>
      </c>
      <c r="I53" s="407">
        <f>'1. RD2021'!I18-'2. RD rozdiel'!I115</f>
        <v>0</v>
      </c>
      <c r="J53" s="496">
        <f>'1. RD2021'!J18-'2. RD rozdiel'!J115</f>
        <v>0</v>
      </c>
      <c r="K53" s="407">
        <f>'1. RD2021'!K18-'2. RD rozdiel'!K115</f>
        <v>0</v>
      </c>
      <c r="L53" s="496">
        <f>'1. RD2021'!L18-'2. RD rozdiel'!L115</f>
        <v>0</v>
      </c>
      <c r="M53" s="407">
        <f>'1. RD2021'!M18-'2. RD rozdiel'!M115</f>
        <v>0</v>
      </c>
      <c r="N53" s="496">
        <f>'1. RD2021'!N18-'2. RD rozdiel'!N115</f>
        <v>0</v>
      </c>
      <c r="O53" s="407">
        <f>'1. RD2021'!O18-'2. RD rozdiel'!O115</f>
        <v>0</v>
      </c>
      <c r="P53" s="496">
        <f>'1. RD2021'!P18-'2. RD rozdiel'!P115</f>
        <v>-68699</v>
      </c>
      <c r="Q53" s="407">
        <f>'1. RD2021'!Q18-'2. RD rozdiel'!Q115</f>
        <v>0</v>
      </c>
      <c r="R53" s="407">
        <f>'1. RD2021'!R18-'2. RD rozdiel'!R115</f>
        <v>-68699</v>
      </c>
    </row>
    <row r="54" spans="1:24" ht="30" customHeight="1" x14ac:dyDescent="0.2">
      <c r="B54" s="408" t="s">
        <v>220</v>
      </c>
      <c r="C54" s="453">
        <f>'1. RD2021'!C19-'2. RD rozdiel'!C116</f>
        <v>9005</v>
      </c>
      <c r="D54" s="410">
        <f>'1. RD2021'!D19-'2. RD rozdiel'!D116</f>
        <v>-67506.619384543446</v>
      </c>
      <c r="E54" s="409">
        <f>'1. RD2021'!E19-'2. RD rozdiel'!E116</f>
        <v>-19211.263745354256</v>
      </c>
      <c r="F54" s="410">
        <f>'1. RD2021'!F19-'2. RD rozdiel'!F116</f>
        <v>-151489.30298201961</v>
      </c>
      <c r="G54" s="409">
        <f>'1. RD2021'!G19-'2. RD rozdiel'!G116</f>
        <v>-74362.338687391311</v>
      </c>
      <c r="H54" s="410">
        <f>'1. RD2021'!H19-'2. RD rozdiel'!H116</f>
        <v>26988.730860903277</v>
      </c>
      <c r="I54" s="409">
        <f>'1. RD2021'!I19-'2. RD rozdiel'!I116</f>
        <v>26612.377965999243</v>
      </c>
      <c r="J54" s="410">
        <f>'1. RD2021'!J19-'2. RD rozdiel'!J116</f>
        <v>-51414.265335627191</v>
      </c>
      <c r="K54" s="409">
        <f>'1. RD2021'!K19-'2. RD rozdiel'!K116</f>
        <v>-8074.2923248215438</v>
      </c>
      <c r="L54" s="410">
        <f>'1. RD2021'!L19-'2. RD rozdiel'!L116</f>
        <v>0</v>
      </c>
      <c r="M54" s="409">
        <f>'1. RD2021'!M19-'2. RD rozdiel'!M116</f>
        <v>-318456.97363285488</v>
      </c>
      <c r="N54" s="410">
        <f>'1. RD2021'!N19-'2. RD rozdiel'!N116</f>
        <v>0</v>
      </c>
      <c r="O54" s="409">
        <f>'1. RD2021'!O19-'2. RD rozdiel'!O116</f>
        <v>301005.58223638218</v>
      </c>
      <c r="P54" s="410">
        <f>'1. RD2021'!P19-'2. RD rozdiel'!P116</f>
        <v>6455.944444444438</v>
      </c>
      <c r="Q54" s="409">
        <f>'1. RD2021'!Q19-'2. RD rozdiel'!Q116</f>
        <v>20000</v>
      </c>
      <c r="R54" s="409">
        <f>'1. RD2021'!R19-'2. RD rozdiel'!R116</f>
        <v>9004.5530479718</v>
      </c>
    </row>
    <row r="55" spans="1:24" ht="20.100000000000001" customHeight="1" x14ac:dyDescent="0.2">
      <c r="B55" s="411" t="s">
        <v>221</v>
      </c>
      <c r="C55" s="454">
        <f>'1. RD2021'!C20-'2. RD rozdiel'!C117</f>
        <v>-518309</v>
      </c>
      <c r="D55" s="412">
        <f>'1. RD2021'!D20-'2. RD rozdiel'!D117</f>
        <v>-66531.082616318017</v>
      </c>
      <c r="E55" s="413">
        <f>'1. RD2021'!E20-'2. RD rozdiel'!E117</f>
        <v>-38933.972380462976</v>
      </c>
      <c r="F55" s="412">
        <f>'1. RD2021'!F20-'2. RD rozdiel'!F117</f>
        <v>-135693</v>
      </c>
      <c r="G55" s="413">
        <f>'1. RD2021'!G20-'2. RD rozdiel'!G117</f>
        <v>-43184.908302931894</v>
      </c>
      <c r="H55" s="412">
        <f>'1. RD2021'!H20-'2. RD rozdiel'!H117</f>
        <v>-58584.591522212781</v>
      </c>
      <c r="I55" s="413">
        <f>'1. RD2021'!I20-'2. RD rozdiel'!I117</f>
        <v>-139491.16492425301</v>
      </c>
      <c r="J55" s="412">
        <f>'1. RD2021'!J20-'2. RD rozdiel'!J117</f>
        <v>-28343.280253821311</v>
      </c>
      <c r="K55" s="413">
        <f>'1. RD2021'!K20-'2. RD rozdiel'!K117</f>
        <v>-7547</v>
      </c>
      <c r="L55" s="412">
        <f>'1. RD2021'!L20-'2. RD rozdiel'!L117</f>
        <v>0</v>
      </c>
      <c r="M55" s="413">
        <f>'1. RD2021'!M20-'2. RD rozdiel'!M117</f>
        <v>-518309</v>
      </c>
      <c r="N55" s="412">
        <f>'1. RD2021'!N20-'2. RD rozdiel'!N117</f>
        <v>0</v>
      </c>
      <c r="O55" s="413">
        <f>'1. RD2021'!O20-'2. RD rozdiel'!O117</f>
        <v>0</v>
      </c>
      <c r="P55" s="412">
        <f>'1. RD2021'!P20-'2. RD rozdiel'!P117</f>
        <v>0</v>
      </c>
      <c r="Q55" s="1104">
        <f>'1. RD2021'!Q20-'2. RD rozdiel'!Q117</f>
        <v>0</v>
      </c>
      <c r="R55" s="413">
        <f>'1. RD2021'!R20-'2. RD rozdiel'!R117</f>
        <v>-518309</v>
      </c>
    </row>
    <row r="56" spans="1:24" ht="20.100000000000001" customHeight="1" x14ac:dyDescent="0.2">
      <c r="B56" s="411" t="s">
        <v>222</v>
      </c>
      <c r="C56" s="454">
        <f>'1. RD2021'!C21-'2. RD rozdiel'!C118</f>
        <v>127770</v>
      </c>
      <c r="D56" s="412">
        <f>'1. RD2021'!D21-'2. RD rozdiel'!D118</f>
        <v>0</v>
      </c>
      <c r="E56" s="413">
        <f>'1. RD2021'!E21-'2. RD rozdiel'!E118</f>
        <v>16502.42439024389</v>
      </c>
      <c r="F56" s="412">
        <f>'1. RD2021'!F21-'2. RD rozdiel'!F118</f>
        <v>-6990.9609756097489</v>
      </c>
      <c r="G56" s="413">
        <f>'1. RD2021'!G21-'2. RD rozdiel'!G118</f>
        <v>-23597.946341463423</v>
      </c>
      <c r="H56" s="412">
        <f>'1. RD2021'!H21-'2. RD rozdiel'!H118</f>
        <v>-17797.063414634147</v>
      </c>
      <c r="I56" s="413">
        <f>'1. RD2021'!I21-'2. RD rozdiel'!I118</f>
        <v>175725.98048780486</v>
      </c>
      <c r="J56" s="412">
        <f>'1. RD2021'!J21-'2. RD rozdiel'!J118</f>
        <v>-16072.43414634146</v>
      </c>
      <c r="K56" s="413">
        <f>'1. RD2021'!K21-'2. RD rozdiel'!K118</f>
        <v>0</v>
      </c>
      <c r="L56" s="412">
        <f>'1. RD2021'!L21-'2. RD rozdiel'!L118</f>
        <v>0</v>
      </c>
      <c r="M56" s="413">
        <f>'1. RD2021'!M21-'2. RD rozdiel'!M118</f>
        <v>127770</v>
      </c>
      <c r="N56" s="412">
        <f>'1. RD2021'!N21-'2. RD rozdiel'!N118</f>
        <v>0</v>
      </c>
      <c r="O56" s="413">
        <f>'1. RD2021'!O21-'2. RD rozdiel'!O118</f>
        <v>0</v>
      </c>
      <c r="P56" s="412">
        <f>'1. RD2021'!P21-'2. RD rozdiel'!P118</f>
        <v>0</v>
      </c>
      <c r="Q56" s="1104">
        <f>'1. RD2021'!Q21-'2. RD rozdiel'!Q118</f>
        <v>0</v>
      </c>
      <c r="R56" s="413">
        <f>'1. RD2021'!R21-'2. RD rozdiel'!R118</f>
        <v>127770</v>
      </c>
    </row>
    <row r="57" spans="1:24" ht="20.100000000000001" customHeight="1" x14ac:dyDescent="0.2">
      <c r="B57" s="411" t="s">
        <v>223</v>
      </c>
      <c r="C57" s="454">
        <f>'1. RD2021'!C22-'2. RD rozdiel'!C119</f>
        <v>-42850</v>
      </c>
      <c r="D57" s="412">
        <f>'1. RD2021'!D22-'2. RD rozdiel'!D119</f>
        <v>-975.53676822542911</v>
      </c>
      <c r="E57" s="413">
        <f>'1. RD2021'!E22-'2. RD rozdiel'!E119</f>
        <v>3220.2842448648298</v>
      </c>
      <c r="F57" s="412">
        <f>'1. RD2021'!F22-'2. RD rozdiel'!F119</f>
        <v>-8805.3420064098536</v>
      </c>
      <c r="G57" s="413">
        <f>'1. RD2021'!G22-'2. RD rozdiel'!G119</f>
        <v>-7579.4840429959804</v>
      </c>
      <c r="H57" s="412">
        <f>'1. RD2021'!H22-'2. RD rozdiel'!H119</f>
        <v>-10371.58501383946</v>
      </c>
      <c r="I57" s="413">
        <f>'1. RD2021'!I22-'2. RD rozdiel'!I119</f>
        <v>-9622.4375975526054</v>
      </c>
      <c r="J57" s="412">
        <f>'1. RD2021'!J22-'2. RD rozdiel'!J119</f>
        <v>-6998.5509354644018</v>
      </c>
      <c r="K57" s="413">
        <f>'1. RD2021'!K22-'2. RD rozdiel'!K119</f>
        <v>-527.29232482154384</v>
      </c>
      <c r="L57" s="412">
        <f>'1. RD2021'!L22-'2. RD rozdiel'!L119</f>
        <v>0</v>
      </c>
      <c r="M57" s="413">
        <f>'1. RD2021'!M22-'2. RD rozdiel'!M119</f>
        <v>-41659.944444444438</v>
      </c>
      <c r="N57" s="412">
        <f>'1. RD2021'!N22-'2. RD rozdiel'!N119</f>
        <v>0</v>
      </c>
      <c r="O57" s="413">
        <f>'1. RD2021'!O22-'2. RD rozdiel'!O119</f>
        <v>0</v>
      </c>
      <c r="P57" s="412">
        <f>'1. RD2021'!P22-'2. RD rozdiel'!P119</f>
        <v>-1190.0555555555566</v>
      </c>
      <c r="Q57" s="1104">
        <f>'1. RD2021'!Q22-'2. RD rozdiel'!Q119</f>
        <v>0</v>
      </c>
      <c r="R57" s="413">
        <f>'1. RD2021'!R22-'2. RD rozdiel'!R119</f>
        <v>-42850</v>
      </c>
    </row>
    <row r="58" spans="1:24" ht="30" customHeight="1" x14ac:dyDescent="0.2">
      <c r="B58" s="414" t="s">
        <v>224</v>
      </c>
      <c r="C58" s="454">
        <f>'1. RD2021'!C23-'2. RD rozdiel'!C120</f>
        <v>442394</v>
      </c>
      <c r="D58" s="412">
        <f>'1. RD2021'!D23-'2. RD rozdiel'!D120</f>
        <v>0</v>
      </c>
      <c r="E58" s="413">
        <f>'1. RD2021'!E23-'2. RD rozdiel'!E120</f>
        <v>0</v>
      </c>
      <c r="F58" s="412">
        <f>'1. RD2021'!F23-'2. RD rozdiel'!F120</f>
        <v>0</v>
      </c>
      <c r="G58" s="413">
        <f>'1. RD2021'!G23-'2. RD rozdiel'!G120</f>
        <v>0</v>
      </c>
      <c r="H58" s="412">
        <f>'1. RD2021'!H23-'2. RD rozdiel'!H120</f>
        <v>113741.97081158974</v>
      </c>
      <c r="I58" s="413">
        <f>'1. RD2021'!I23-'2. RD rozdiel'!I120</f>
        <v>0</v>
      </c>
      <c r="J58" s="412">
        <f>'1. RD2021'!J23-'2. RD rozdiel'!J120</f>
        <v>0</v>
      </c>
      <c r="K58" s="413">
        <f>'1. RD2021'!K23-'2. RD rozdiel'!K120</f>
        <v>0</v>
      </c>
      <c r="L58" s="412">
        <f>'1. RD2021'!L23-'2. RD rozdiel'!L120</f>
        <v>0</v>
      </c>
      <c r="M58" s="413">
        <f>'1. RD2021'!M23-'2. RD rozdiel'!M120</f>
        <v>113741.97081158974</v>
      </c>
      <c r="N58" s="412">
        <f>'1. RD2021'!N23-'2. RD rozdiel'!N120</f>
        <v>0</v>
      </c>
      <c r="O58" s="413">
        <f>'1. RD2021'!O23-'2. RD rozdiel'!O120</f>
        <v>301005.58223638218</v>
      </c>
      <c r="P58" s="412">
        <f>'1. RD2021'!P23-'2. RD rozdiel'!P120</f>
        <v>7646</v>
      </c>
      <c r="Q58" s="1104">
        <f>'1. RD2021'!Q23-'2. RD rozdiel'!Q120</f>
        <v>20000</v>
      </c>
      <c r="R58" s="413">
        <f>'1. RD2021'!R23-'2. RD rozdiel'!R120</f>
        <v>442393.55304797227</v>
      </c>
    </row>
    <row r="59" spans="1:24" ht="20.100000000000001" customHeight="1" x14ac:dyDescent="0.2">
      <c r="B59" s="411" t="s">
        <v>225</v>
      </c>
      <c r="C59" s="454">
        <f>'1. RD2021'!C24-'2. RD rozdiel'!C121</f>
        <v>534117</v>
      </c>
      <c r="D59" s="412">
        <f>'1. RD2021'!D24-'2. RD rozdiel'!D121</f>
        <v>0</v>
      </c>
      <c r="E59" s="413">
        <f>'1. RD2021'!E24-'2. RD rozdiel'!E121</f>
        <v>0</v>
      </c>
      <c r="F59" s="412">
        <f>'1. RD2021'!F24-'2. RD rozdiel'!F121</f>
        <v>0</v>
      </c>
      <c r="G59" s="413">
        <f>'1. RD2021'!G24-'2. RD rozdiel'!G121</f>
        <v>0</v>
      </c>
      <c r="H59" s="412">
        <f>'1. RD2021'!H24-'2. RD rozdiel'!H121</f>
        <v>101183.2756502477</v>
      </c>
      <c r="I59" s="413">
        <f>'1. RD2021'!I24-'2. RD rozdiel'!I121</f>
        <v>0</v>
      </c>
      <c r="J59" s="412">
        <f>'1. RD2021'!J24-'2. RD rozdiel'!J121</f>
        <v>0</v>
      </c>
      <c r="K59" s="413">
        <f>'1. RD2021'!K24-'2. RD rozdiel'!K121</f>
        <v>0</v>
      </c>
      <c r="L59" s="412">
        <f>'1. RD2021'!L24-'2. RD rozdiel'!L121</f>
        <v>0</v>
      </c>
      <c r="M59" s="413">
        <f>'1. RD2021'!M24-'2. RD rozdiel'!M121</f>
        <v>101183.2756502477</v>
      </c>
      <c r="N59" s="412">
        <f>'1. RD2021'!N24-'2. RD rozdiel'!N121</f>
        <v>0</v>
      </c>
      <c r="O59" s="413">
        <f>'1. RD2021'!O24-'2. RD rozdiel'!O121</f>
        <v>432933.24132309505</v>
      </c>
      <c r="P59" s="412">
        <f>'1. RD2021'!P24-'2. RD rozdiel'!P121</f>
        <v>0</v>
      </c>
      <c r="Q59" s="1104">
        <f>'1. RD2021'!Q24-'2. RD rozdiel'!Q121</f>
        <v>0</v>
      </c>
      <c r="R59" s="413">
        <f>'1. RD2021'!R24-'2. RD rozdiel'!R121</f>
        <v>534116.51697334275</v>
      </c>
    </row>
    <row r="60" spans="1:24" ht="20.100000000000001" customHeight="1" x14ac:dyDescent="0.2">
      <c r="B60" s="411" t="s">
        <v>226</v>
      </c>
      <c r="C60" s="454">
        <f>'1. RD2021'!C25-'2. RD rozdiel'!C122</f>
        <v>188009</v>
      </c>
      <c r="D60" s="412">
        <f>'1. RD2021'!D25-'2. RD rozdiel'!D122</f>
        <v>0</v>
      </c>
      <c r="E60" s="413">
        <f>'1. RD2021'!E25-'2. RD rozdiel'!E122</f>
        <v>0</v>
      </c>
      <c r="F60" s="412">
        <f>'1. RD2021'!F25-'2. RD rozdiel'!F122</f>
        <v>0</v>
      </c>
      <c r="G60" s="413">
        <f>'1. RD2021'!G25-'2. RD rozdiel'!G122</f>
        <v>0</v>
      </c>
      <c r="H60" s="412">
        <f>'1. RD2021'!H25-'2. RD rozdiel'!H122</f>
        <v>35616.513028887173</v>
      </c>
      <c r="I60" s="413">
        <f>'1. RD2021'!I25-'2. RD rozdiel'!I122</f>
        <v>0</v>
      </c>
      <c r="J60" s="412">
        <f>'1. RD2021'!J25-'2. RD rozdiel'!J122</f>
        <v>0</v>
      </c>
      <c r="K60" s="413">
        <f>'1. RD2021'!K25-'2. RD rozdiel'!K122</f>
        <v>0</v>
      </c>
      <c r="L60" s="412">
        <f>'1. RD2021'!L25-'2. RD rozdiel'!L122</f>
        <v>0</v>
      </c>
      <c r="M60" s="413">
        <f>'1. RD2021'!M25-'2. RD rozdiel'!M122</f>
        <v>35616.513028887173</v>
      </c>
      <c r="N60" s="412">
        <f>'1. RD2021'!N25-'2. RD rozdiel'!N122</f>
        <v>0</v>
      </c>
      <c r="O60" s="413">
        <f>'1. RD2021'!O25-'2. RD rozdiel'!O122</f>
        <v>152392.50094572944</v>
      </c>
      <c r="P60" s="412">
        <f>'1. RD2021'!P25-'2. RD rozdiel'!P122</f>
        <v>0</v>
      </c>
      <c r="Q60" s="1104">
        <f>'1. RD2021'!Q25-'2. RD rozdiel'!Q122</f>
        <v>0</v>
      </c>
      <c r="R60" s="413">
        <f>'1. RD2021'!R25-'2. RD rozdiel'!R122</f>
        <v>188009.0139746166</v>
      </c>
    </row>
    <row r="61" spans="1:24" ht="20.100000000000001" customHeight="1" x14ac:dyDescent="0.2">
      <c r="B61" s="411" t="s">
        <v>268</v>
      </c>
      <c r="C61" s="454">
        <f>'1. RD2021'!C26-'2. RD rozdiel'!C123</f>
        <v>10822</v>
      </c>
      <c r="D61" s="412">
        <f>'1. RD2021'!D26-'2. RD rozdiel'!D123</f>
        <v>0</v>
      </c>
      <c r="E61" s="413">
        <f>'1. RD2021'!E26-'2. RD rozdiel'!E123</f>
        <v>0</v>
      </c>
      <c r="F61" s="412">
        <f>'1. RD2021'!F26-'2. RD rozdiel'!F123</f>
        <v>0</v>
      </c>
      <c r="G61" s="413">
        <f>'1. RD2021'!G26-'2. RD rozdiel'!G123</f>
        <v>0</v>
      </c>
      <c r="H61" s="412">
        <f>'1. RD2021'!H26-'2. RD rozdiel'!H123</f>
        <v>861</v>
      </c>
      <c r="I61" s="413">
        <f>'1. RD2021'!I26-'2. RD rozdiel'!I123</f>
        <v>0</v>
      </c>
      <c r="J61" s="412">
        <f>'1. RD2021'!J26-'2. RD rozdiel'!J123</f>
        <v>0</v>
      </c>
      <c r="K61" s="413">
        <f>'1. RD2021'!K26-'2. RD rozdiel'!K123</f>
        <v>0</v>
      </c>
      <c r="L61" s="412">
        <f>'1. RD2021'!L26-'2. RD rozdiel'!L123</f>
        <v>0</v>
      </c>
      <c r="M61" s="413">
        <f>'1. RD2021'!M26-'2. RD rozdiel'!M123</f>
        <v>861</v>
      </c>
      <c r="N61" s="412">
        <f>'1. RD2021'!N26-'2. RD rozdiel'!N123</f>
        <v>0</v>
      </c>
      <c r="O61" s="413">
        <f>'1. RD2021'!O26-'2. RD rozdiel'!O123</f>
        <v>9961</v>
      </c>
      <c r="P61" s="412">
        <f>'1. RD2021'!P26-'2. RD rozdiel'!P123</f>
        <v>0</v>
      </c>
      <c r="Q61" s="1104">
        <f>'1. RD2021'!Q26-'2. RD rozdiel'!Q123</f>
        <v>0</v>
      </c>
      <c r="R61" s="413">
        <f>'1. RD2021'!R26-'2. RD rozdiel'!R123</f>
        <v>10822</v>
      </c>
    </row>
    <row r="62" spans="1:24" ht="20.100000000000001" customHeight="1" x14ac:dyDescent="0.2">
      <c r="B62" s="411" t="s">
        <v>227</v>
      </c>
      <c r="C62" s="454">
        <f>'1. RD2021'!C27-'2. RD rozdiel'!C124</f>
        <v>-318200</v>
      </c>
      <c r="D62" s="412">
        <f>'1. RD2021'!D27-'2. RD rozdiel'!D124</f>
        <v>0</v>
      </c>
      <c r="E62" s="413">
        <f>'1. RD2021'!E27-'2. RD rozdiel'!E124</f>
        <v>0</v>
      </c>
      <c r="F62" s="412">
        <f>'1. RD2021'!F27-'2. RD rozdiel'!F124</f>
        <v>0</v>
      </c>
      <c r="G62" s="413">
        <f>'1. RD2021'!G27-'2. RD rozdiel'!G124</f>
        <v>0</v>
      </c>
      <c r="H62" s="412">
        <f>'1. RD2021'!H27-'2. RD rozdiel'!H124</f>
        <v>-23918.817867545062</v>
      </c>
      <c r="I62" s="413">
        <f>'1. RD2021'!I27-'2. RD rozdiel'!I124</f>
        <v>0</v>
      </c>
      <c r="J62" s="412">
        <f>'1. RD2021'!J27-'2. RD rozdiel'!J124</f>
        <v>0</v>
      </c>
      <c r="K62" s="413">
        <f>'1. RD2021'!K27-'2. RD rozdiel'!K124</f>
        <v>0</v>
      </c>
      <c r="L62" s="412">
        <f>'1. RD2021'!L27-'2. RD rozdiel'!L124</f>
        <v>0</v>
      </c>
      <c r="M62" s="413">
        <f>'1. RD2021'!M27-'2. RD rozdiel'!M124</f>
        <v>-23918.817867545062</v>
      </c>
      <c r="N62" s="412">
        <f>'1. RD2021'!N27-'2. RD rozdiel'!N124</f>
        <v>0</v>
      </c>
      <c r="O62" s="413">
        <f>'1. RD2021'!O27-'2. RD rozdiel'!O124</f>
        <v>-294281.16003244219</v>
      </c>
      <c r="P62" s="412">
        <f>'1. RD2021'!P27-'2. RD rozdiel'!P124</f>
        <v>0</v>
      </c>
      <c r="Q62" s="1104">
        <f>'1. RD2021'!Q27-'2. RD rozdiel'!Q124</f>
        <v>0</v>
      </c>
      <c r="R62" s="413">
        <f>'1. RD2021'!R27-'2. RD rozdiel'!R124</f>
        <v>-318199.97789998725</v>
      </c>
    </row>
    <row r="63" spans="1:24" ht="20.100000000000001" customHeight="1" thickBot="1" x14ac:dyDescent="0.25">
      <c r="B63" s="415" t="s">
        <v>228</v>
      </c>
      <c r="C63" s="455">
        <f>'1. RD2021'!C28-'2. RD rozdiel'!C125</f>
        <v>27646</v>
      </c>
      <c r="D63" s="416">
        <f>'1. RD2021'!D28-'2. RD rozdiel'!D125</f>
        <v>0</v>
      </c>
      <c r="E63" s="417">
        <f>'1. RD2021'!E28-'2. RD rozdiel'!E125</f>
        <v>0</v>
      </c>
      <c r="F63" s="416">
        <f>'1. RD2021'!F28-'2. RD rozdiel'!F125</f>
        <v>0</v>
      </c>
      <c r="G63" s="417">
        <f>'1. RD2021'!G28-'2. RD rozdiel'!G125</f>
        <v>0</v>
      </c>
      <c r="H63" s="416">
        <f>'1. RD2021'!H28-'2. RD rozdiel'!H125</f>
        <v>0</v>
      </c>
      <c r="I63" s="417">
        <f>'1. RD2021'!I28-'2. RD rozdiel'!I125</f>
        <v>0</v>
      </c>
      <c r="J63" s="418">
        <f>'1. RD2021'!J28-'2. RD rozdiel'!J125</f>
        <v>0</v>
      </c>
      <c r="K63" s="417">
        <f>'1. RD2021'!K28-'2. RD rozdiel'!K125</f>
        <v>0</v>
      </c>
      <c r="L63" s="416">
        <f>'1. RD2021'!L28-'2. RD rozdiel'!L125</f>
        <v>0</v>
      </c>
      <c r="M63" s="417">
        <f>'1. RD2021'!M28-'2. RD rozdiel'!M125</f>
        <v>0</v>
      </c>
      <c r="N63" s="416">
        <f>'1. RD2021'!N28-'2. RD rozdiel'!N125</f>
        <v>0</v>
      </c>
      <c r="O63" s="417">
        <f>'1. RD2021'!O28-'2. RD rozdiel'!O125</f>
        <v>0</v>
      </c>
      <c r="P63" s="416">
        <f>'1. RD2021'!P28-'2. RD rozdiel'!P125</f>
        <v>7646</v>
      </c>
      <c r="Q63" s="417">
        <f>'1. RD2021'!Q28-'2. RD rozdiel'!Q125</f>
        <v>20000</v>
      </c>
      <c r="R63" s="417">
        <f>'1. RD2021'!R28-'2. RD rozdiel'!R125</f>
        <v>27646</v>
      </c>
    </row>
    <row r="64" spans="1:24" ht="12.95" customHeight="1" x14ac:dyDescent="0.2"/>
    <row r="65" spans="1:18" ht="12.95" customHeight="1" x14ac:dyDescent="0.2"/>
    <row r="66" spans="1:18" ht="12.95" customHeight="1" thickBot="1" x14ac:dyDescent="0.25"/>
    <row r="67" spans="1:18" ht="47.85" customHeight="1" thickBot="1" x14ac:dyDescent="0.25">
      <c r="B67" s="1288" t="s">
        <v>473</v>
      </c>
      <c r="C67" s="1289"/>
      <c r="D67" s="1289"/>
      <c r="E67" s="1289"/>
      <c r="F67" s="1289"/>
      <c r="G67" s="1289"/>
      <c r="H67" s="1289"/>
      <c r="I67" s="1289"/>
      <c r="J67" s="1289"/>
      <c r="K67" s="1289"/>
      <c r="L67" s="1289"/>
      <c r="M67" s="1289"/>
      <c r="N67" s="1289"/>
      <c r="O67" s="1289"/>
      <c r="P67" s="1289"/>
      <c r="Q67" s="1289"/>
      <c r="R67" s="1290"/>
    </row>
    <row r="68" spans="1:18" ht="12.95" customHeight="1" thickBot="1" x14ac:dyDescent="0.25">
      <c r="A68" s="361"/>
      <c r="B68" s="362"/>
      <c r="C68" s="363"/>
      <c r="D68" s="364"/>
      <c r="E68" s="364"/>
      <c r="F68" s="364"/>
      <c r="G68" s="364"/>
      <c r="H68" s="364"/>
      <c r="I68" s="364"/>
      <c r="J68" s="364"/>
      <c r="K68" s="364"/>
      <c r="L68" s="364"/>
      <c r="M68" s="365"/>
      <c r="N68" s="364"/>
      <c r="O68" s="364"/>
      <c r="P68" s="366"/>
      <c r="Q68" s="366"/>
      <c r="R68" s="366"/>
    </row>
    <row r="69" spans="1:18" ht="38.25" thickBot="1" x14ac:dyDescent="0.25">
      <c r="B69" s="375" t="s">
        <v>206</v>
      </c>
      <c r="C69" s="444" t="s">
        <v>207</v>
      </c>
      <c r="D69" s="376" t="s">
        <v>56</v>
      </c>
      <c r="E69" s="376" t="s">
        <v>57</v>
      </c>
      <c r="F69" s="376" t="s">
        <v>58</v>
      </c>
      <c r="G69" s="376" t="s">
        <v>59</v>
      </c>
      <c r="H69" s="377" t="s">
        <v>62</v>
      </c>
      <c r="I69" s="376" t="s">
        <v>60</v>
      </c>
      <c r="J69" s="376" t="s">
        <v>61</v>
      </c>
      <c r="K69" s="378" t="s">
        <v>208</v>
      </c>
      <c r="L69" s="376" t="s">
        <v>205</v>
      </c>
      <c r="M69" s="1022" t="s">
        <v>246</v>
      </c>
      <c r="N69" s="378" t="s">
        <v>360</v>
      </c>
      <c r="O69" s="379" t="s">
        <v>209</v>
      </c>
      <c r="P69" s="380" t="s">
        <v>415</v>
      </c>
      <c r="Q69" s="380" t="s">
        <v>452</v>
      </c>
      <c r="R69" s="380" t="s">
        <v>16</v>
      </c>
    </row>
    <row r="70" spans="1:18" ht="12.95" customHeight="1" thickBot="1" x14ac:dyDescent="0.25">
      <c r="B70" s="369"/>
      <c r="C70" s="445"/>
      <c r="D70" s="370"/>
      <c r="E70" s="371"/>
      <c r="F70" s="371"/>
      <c r="G70" s="371"/>
      <c r="H70" s="371"/>
      <c r="I70" s="371"/>
      <c r="J70" s="371"/>
      <c r="K70" s="371"/>
      <c r="L70" s="371"/>
      <c r="M70" s="372"/>
      <c r="N70" s="371"/>
      <c r="O70" s="371"/>
      <c r="P70" s="373"/>
      <c r="Q70" s="373"/>
      <c r="R70" s="373"/>
    </row>
    <row r="71" spans="1:18" ht="30" customHeight="1" thickBot="1" x14ac:dyDescent="0.25">
      <c r="B71" s="381" t="s">
        <v>214</v>
      </c>
      <c r="C71" s="446">
        <v>68916709</v>
      </c>
      <c r="D71" s="383">
        <f t="shared" ref="D71" si="3">D72+D80+D84+D85</f>
        <v>4408264.4789705202</v>
      </c>
      <c r="E71" s="382">
        <f t="shared" ref="E71" si="4">E72+E80+E84+E85</f>
        <v>11343538.797162173</v>
      </c>
      <c r="F71" s="383">
        <f t="shared" ref="F71" si="5">F72+F80+F84+F85</f>
        <v>12248676.249257583</v>
      </c>
      <c r="G71" s="382">
        <f t="shared" ref="G71" si="6">G72+G80+G84+G85</f>
        <v>3741290.8316733385</v>
      </c>
      <c r="H71" s="383">
        <f t="shared" ref="H71" si="7">H72+H80+H84+H85</f>
        <v>9381790.0128501169</v>
      </c>
      <c r="I71" s="382">
        <f t="shared" ref="I71" si="8">I72+I80+I84+I85</f>
        <v>12223257.986321762</v>
      </c>
      <c r="J71" s="383">
        <f t="shared" ref="J71" si="9">J72+J80+J84+J85</f>
        <v>5027682.8012895649</v>
      </c>
      <c r="K71" s="382">
        <f t="shared" ref="K71" si="10">K72+K80+K84+K85</f>
        <v>996632.29998796934</v>
      </c>
      <c r="L71" s="383">
        <f t="shared" ref="L71" si="11">L72+L80+L84+L85</f>
        <v>269003.21100335883</v>
      </c>
      <c r="M71" s="382">
        <f>M72+M80+M84+M85</f>
        <v>59640136.668516397</v>
      </c>
      <c r="N71" s="383">
        <f t="shared" ref="N71:P71" si="12">N72+N80+N84+N85</f>
        <v>3219472</v>
      </c>
      <c r="O71" s="382">
        <f t="shared" ref="O71" si="13">O72+O80+O84+O85</f>
        <v>3086859</v>
      </c>
      <c r="P71" s="383">
        <f t="shared" si="12"/>
        <v>2970242</v>
      </c>
      <c r="Q71" s="382"/>
      <c r="R71" s="382">
        <f t="shared" ref="R71" si="14">R72+R80+R84+R85</f>
        <v>68916709.668516397</v>
      </c>
    </row>
    <row r="72" spans="1:18" ht="30" customHeight="1" x14ac:dyDescent="0.2">
      <c r="B72" s="384" t="s">
        <v>215</v>
      </c>
      <c r="C72" s="447">
        <v>37953044</v>
      </c>
      <c r="D72" s="386">
        <f>SUM(D74:D79)</f>
        <v>3147453.84629711</v>
      </c>
      <c r="E72" s="385">
        <f t="shared" ref="E72:L72" si="15">SUM(E74:E79)</f>
        <v>5794207.5887269014</v>
      </c>
      <c r="F72" s="386">
        <f t="shared" si="15"/>
        <v>6443212.7320835628</v>
      </c>
      <c r="G72" s="385">
        <f t="shared" si="15"/>
        <v>2674698.4882596522</v>
      </c>
      <c r="H72" s="386">
        <f t="shared" si="15"/>
        <v>5659837.0681415712</v>
      </c>
      <c r="I72" s="385">
        <f t="shared" si="15"/>
        <v>7094525.077366746</v>
      </c>
      <c r="J72" s="386">
        <f t="shared" si="15"/>
        <v>2927147.4857650176</v>
      </c>
      <c r="K72" s="385">
        <f t="shared" si="15"/>
        <v>619430.65512377</v>
      </c>
      <c r="L72" s="386">
        <f t="shared" si="15"/>
        <v>94811.194377924054</v>
      </c>
      <c r="M72" s="385">
        <f>SUM(M74:M79)</f>
        <v>34455324.136142261</v>
      </c>
      <c r="N72" s="386">
        <f t="shared" ref="N72:P72" si="16">SUM(N74:N79)</f>
        <v>2334676</v>
      </c>
      <c r="O72" s="385">
        <f t="shared" si="16"/>
        <v>0</v>
      </c>
      <c r="P72" s="386">
        <f t="shared" si="16"/>
        <v>1163045</v>
      </c>
      <c r="Q72" s="385"/>
      <c r="R72" s="385">
        <f>SUM(R74:R79)</f>
        <v>37953045.136142261</v>
      </c>
    </row>
    <row r="73" spans="1:18" ht="20.100000000000001" customHeight="1" x14ac:dyDescent="0.2">
      <c r="B73" s="387" t="s">
        <v>216</v>
      </c>
      <c r="C73" s="448">
        <v>23571233</v>
      </c>
      <c r="D73" s="388">
        <f>D74+D75</f>
        <v>2021534.5448223029</v>
      </c>
      <c r="E73" s="389">
        <f t="shared" ref="E73:L73" si="17">E74+E75</f>
        <v>3679778.7930352916</v>
      </c>
      <c r="F73" s="388">
        <f t="shared" si="17"/>
        <v>4239039.6729277801</v>
      </c>
      <c r="G73" s="389">
        <f t="shared" si="17"/>
        <v>1615342.9058015756</v>
      </c>
      <c r="H73" s="388">
        <f t="shared" si="17"/>
        <v>3602837.8796057375</v>
      </c>
      <c r="I73" s="389">
        <f t="shared" si="17"/>
        <v>4546069.3458427815</v>
      </c>
      <c r="J73" s="388">
        <f t="shared" si="17"/>
        <v>1814601.6906545989</v>
      </c>
      <c r="K73" s="389">
        <f t="shared" si="17"/>
        <v>403561.41942038666</v>
      </c>
      <c r="L73" s="388">
        <f t="shared" si="17"/>
        <v>69244.226610890575</v>
      </c>
      <c r="M73" s="389">
        <f>SUM(D73:L73)</f>
        <v>21992010.478721347</v>
      </c>
      <c r="N73" s="388">
        <f t="shared" ref="N73:P73" si="18">N74+N75</f>
        <v>1437363</v>
      </c>
      <c r="O73" s="389">
        <f t="shared" si="18"/>
        <v>0</v>
      </c>
      <c r="P73" s="388">
        <f t="shared" si="18"/>
        <v>141860</v>
      </c>
      <c r="Q73" s="1102"/>
      <c r="R73" s="389">
        <f t="shared" ref="R73:R79" si="19">SUM(M73:P73)</f>
        <v>23571233.478721347</v>
      </c>
    </row>
    <row r="74" spans="1:18" ht="20.100000000000001" customHeight="1" x14ac:dyDescent="0.2">
      <c r="B74" s="854" t="s">
        <v>354</v>
      </c>
      <c r="C74" s="448">
        <v>23571233</v>
      </c>
      <c r="D74" s="388">
        <v>2021534.5448223029</v>
      </c>
      <c r="E74" s="389">
        <v>3665378.7930352916</v>
      </c>
      <c r="F74" s="851">
        <v>4239039.6729277801</v>
      </c>
      <c r="G74" s="389">
        <v>1600942.9058015756</v>
      </c>
      <c r="H74" s="851">
        <v>3588437.8796057375</v>
      </c>
      <c r="I74" s="389">
        <v>4531669.3458427815</v>
      </c>
      <c r="J74" s="388">
        <v>1814601.6906545989</v>
      </c>
      <c r="K74" s="389">
        <v>403561.41942038666</v>
      </c>
      <c r="L74" s="388">
        <v>69244.226610890575</v>
      </c>
      <c r="M74" s="389">
        <f t="shared" ref="M74:M75" si="20">SUM(D74:L74)</f>
        <v>21934410.478721347</v>
      </c>
      <c r="N74" s="851"/>
      <c r="O74" s="389"/>
      <c r="P74" s="851"/>
      <c r="Q74" s="1102"/>
      <c r="R74" s="389">
        <f t="shared" si="19"/>
        <v>21934410.478721347</v>
      </c>
    </row>
    <row r="75" spans="1:18" ht="20.100000000000001" customHeight="1" x14ac:dyDescent="0.2">
      <c r="B75" s="855" t="s">
        <v>210</v>
      </c>
      <c r="C75" s="448"/>
      <c r="D75" s="851"/>
      <c r="E75" s="389">
        <v>14400</v>
      </c>
      <c r="F75" s="851"/>
      <c r="G75" s="389">
        <v>14400</v>
      </c>
      <c r="H75" s="851">
        <v>14400</v>
      </c>
      <c r="I75" s="389">
        <v>14400</v>
      </c>
      <c r="J75" s="851"/>
      <c r="K75" s="389"/>
      <c r="L75" s="851"/>
      <c r="M75" s="389">
        <f t="shared" si="20"/>
        <v>57600</v>
      </c>
      <c r="N75" s="388">
        <v>1437363</v>
      </c>
      <c r="O75" s="389"/>
      <c r="P75" s="851">
        <v>141860</v>
      </c>
      <c r="Q75" s="1102"/>
      <c r="R75" s="389">
        <f t="shared" si="19"/>
        <v>1636823</v>
      </c>
    </row>
    <row r="76" spans="1:18" ht="20.100000000000001" customHeight="1" x14ac:dyDescent="0.2">
      <c r="B76" s="390" t="s">
        <v>232</v>
      </c>
      <c r="C76" s="448">
        <v>8297074</v>
      </c>
      <c r="D76" s="388">
        <v>711580.15977745061</v>
      </c>
      <c r="E76" s="389">
        <v>1295282.1351484226</v>
      </c>
      <c r="F76" s="388">
        <v>1492141.9648705786</v>
      </c>
      <c r="G76" s="389">
        <v>568600.70284215454</v>
      </c>
      <c r="H76" s="388">
        <v>1268198.9336212196</v>
      </c>
      <c r="I76" s="389">
        <v>1600216.4097366589</v>
      </c>
      <c r="J76" s="388">
        <v>638739.79511041881</v>
      </c>
      <c r="K76" s="389">
        <v>142053.61963597609</v>
      </c>
      <c r="L76" s="388">
        <v>24373.967767033482</v>
      </c>
      <c r="M76" s="389">
        <f t="shared" ref="M76" si="21">M73*0.352</f>
        <v>7741187.6885099132</v>
      </c>
      <c r="N76" s="388">
        <v>505952</v>
      </c>
      <c r="O76" s="389"/>
      <c r="P76" s="388">
        <v>49935</v>
      </c>
      <c r="Q76" s="1102"/>
      <c r="R76" s="389">
        <f t="shared" si="19"/>
        <v>8297074.6885099132</v>
      </c>
    </row>
    <row r="77" spans="1:18" ht="20.100000000000001" customHeight="1" x14ac:dyDescent="0.2">
      <c r="B77" s="391" t="s">
        <v>231</v>
      </c>
      <c r="C77" s="448">
        <v>5991171</v>
      </c>
      <c r="D77" s="388">
        <v>414339.1416973563</v>
      </c>
      <c r="E77" s="389">
        <v>819146.66054318729</v>
      </c>
      <c r="F77" s="388">
        <v>712031.09428520408</v>
      </c>
      <c r="G77" s="389">
        <v>490754.87961592205</v>
      </c>
      <c r="H77" s="388">
        <v>788800.25491461414</v>
      </c>
      <c r="I77" s="389">
        <v>948239.32178730587</v>
      </c>
      <c r="J77" s="388">
        <v>385806</v>
      </c>
      <c r="K77" s="389">
        <v>73815.616067407187</v>
      </c>
      <c r="L77" s="388">
        <v>1193</v>
      </c>
      <c r="M77" s="389">
        <f t="shared" ref="M77:M79" si="22">SUM(D77:L77)</f>
        <v>4634125.9689109977</v>
      </c>
      <c r="N77" s="388"/>
      <c r="O77" s="389"/>
      <c r="P77" s="388"/>
      <c r="Q77" s="1102"/>
      <c r="R77" s="389">
        <f t="shared" si="19"/>
        <v>4634125.9689109977</v>
      </c>
    </row>
    <row r="78" spans="1:18" ht="20.100000000000001" customHeight="1" x14ac:dyDescent="0.2">
      <c r="B78" s="390" t="s">
        <v>230</v>
      </c>
      <c r="C78" s="448">
        <v>93566</v>
      </c>
      <c r="D78" s="388"/>
      <c r="E78" s="389"/>
      <c r="F78" s="388"/>
      <c r="G78" s="389"/>
      <c r="H78" s="388"/>
      <c r="I78" s="389"/>
      <c r="J78" s="388">
        <v>59000</v>
      </c>
      <c r="K78" s="389"/>
      <c r="L78" s="388"/>
      <c r="M78" s="389">
        <f t="shared" si="22"/>
        <v>59000</v>
      </c>
      <c r="N78" s="388"/>
      <c r="O78" s="389"/>
      <c r="P78" s="388">
        <v>34566</v>
      </c>
      <c r="Q78" s="1102"/>
      <c r="R78" s="389">
        <f t="shared" si="19"/>
        <v>93566</v>
      </c>
    </row>
    <row r="79" spans="1:18" ht="20.100000000000001" customHeight="1" thickBot="1" x14ac:dyDescent="0.25">
      <c r="B79" s="392" t="s">
        <v>210</v>
      </c>
      <c r="C79" s="449"/>
      <c r="D79" s="393"/>
      <c r="E79" s="394"/>
      <c r="F79" s="393"/>
      <c r="G79" s="394"/>
      <c r="H79" s="393"/>
      <c r="I79" s="394"/>
      <c r="J79" s="393">
        <v>29000</v>
      </c>
      <c r="K79" s="394"/>
      <c r="L79" s="393"/>
      <c r="M79" s="394">
        <f t="shared" si="22"/>
        <v>29000</v>
      </c>
      <c r="N79" s="393">
        <v>391361</v>
      </c>
      <c r="O79" s="394"/>
      <c r="P79" s="393">
        <v>936684</v>
      </c>
      <c r="Q79" s="394"/>
      <c r="R79" s="394">
        <f t="shared" si="19"/>
        <v>1357045</v>
      </c>
    </row>
    <row r="80" spans="1:18" ht="30" customHeight="1" x14ac:dyDescent="0.2">
      <c r="B80" s="395" t="s">
        <v>217</v>
      </c>
      <c r="C80" s="450">
        <v>24327966</v>
      </c>
      <c r="D80" s="397">
        <f t="shared" ref="D80:L80" si="23">SUM(D81:D83)</f>
        <v>1153003.3772218274</v>
      </c>
      <c r="E80" s="396">
        <f t="shared" si="23"/>
        <v>4959016.5929392176</v>
      </c>
      <c r="F80" s="397">
        <f t="shared" si="23"/>
        <v>5392857.3098664992</v>
      </c>
      <c r="G80" s="396">
        <f t="shared" si="23"/>
        <v>718320.63309505652</v>
      </c>
      <c r="H80" s="397">
        <f t="shared" si="23"/>
        <v>2549054.2243584977</v>
      </c>
      <c r="I80" s="396">
        <f t="shared" si="23"/>
        <v>4560038.3023364712</v>
      </c>
      <c r="J80" s="397">
        <f t="shared" si="23"/>
        <v>1891180.3796211726</v>
      </c>
      <c r="K80" s="396">
        <f t="shared" si="23"/>
        <v>366935.69630995294</v>
      </c>
      <c r="L80" s="397">
        <f t="shared" si="23"/>
        <v>174192.01662543474</v>
      </c>
      <c r="M80" s="396">
        <f t="shared" ref="M80:R80" si="24">SUM(M81:M83)</f>
        <v>21764598.532374132</v>
      </c>
      <c r="N80" s="397">
        <f t="shared" si="24"/>
        <v>884796</v>
      </c>
      <c r="O80" s="396">
        <f t="shared" si="24"/>
        <v>0</v>
      </c>
      <c r="P80" s="397">
        <f t="shared" si="24"/>
        <v>1678571</v>
      </c>
      <c r="Q80" s="396"/>
      <c r="R80" s="396">
        <f t="shared" si="24"/>
        <v>24327965.532374132</v>
      </c>
    </row>
    <row r="81" spans="1:18" ht="20.100000000000001" customHeight="1" x14ac:dyDescent="0.2">
      <c r="B81" s="398" t="s">
        <v>218</v>
      </c>
      <c r="C81" s="451">
        <v>24175966</v>
      </c>
      <c r="D81" s="400">
        <v>1131256.1169286105</v>
      </c>
      <c r="E81" s="399">
        <v>4810058.5221400298</v>
      </c>
      <c r="F81" s="400">
        <v>5099877.6371788708</v>
      </c>
      <c r="G81" s="399">
        <v>693659.40816099907</v>
      </c>
      <c r="H81" s="400">
        <v>2422745.2243584977</v>
      </c>
      <c r="I81" s="399">
        <v>4371395.926584648</v>
      </c>
      <c r="J81" s="400">
        <v>1819668.0677135836</v>
      </c>
      <c r="K81" s="399">
        <v>348615.69630995294</v>
      </c>
      <c r="L81" s="400">
        <v>173718.93299893721</v>
      </c>
      <c r="M81" s="399">
        <f t="shared" ref="M81:M83" si="25">SUM(D81:L81)</f>
        <v>20870995.532374132</v>
      </c>
      <c r="N81" s="400">
        <v>884796</v>
      </c>
      <c r="O81" s="399"/>
      <c r="P81" s="400"/>
      <c r="Q81" s="1103"/>
      <c r="R81" s="399">
        <f t="shared" ref="R81:R83" si="26">SUM(M81:P81)</f>
        <v>21755791.532374132</v>
      </c>
    </row>
    <row r="82" spans="1:18" ht="20.100000000000001" customHeight="1" x14ac:dyDescent="0.2">
      <c r="B82" s="398" t="s">
        <v>230</v>
      </c>
      <c r="C82" s="452">
        <v>152000</v>
      </c>
      <c r="D82" s="400">
        <v>0</v>
      </c>
      <c r="E82" s="399">
        <v>20000</v>
      </c>
      <c r="F82" s="400">
        <v>80000</v>
      </c>
      <c r="G82" s="399">
        <v>0</v>
      </c>
      <c r="H82" s="400">
        <v>0</v>
      </c>
      <c r="I82" s="399">
        <v>52000</v>
      </c>
      <c r="J82" s="400">
        <v>0</v>
      </c>
      <c r="K82" s="399">
        <v>0</v>
      </c>
      <c r="L82" s="400">
        <v>0</v>
      </c>
      <c r="M82" s="399">
        <f t="shared" si="25"/>
        <v>152000</v>
      </c>
      <c r="N82" s="400"/>
      <c r="O82" s="399"/>
      <c r="P82" s="400"/>
      <c r="Q82" s="1103"/>
      <c r="R82" s="399">
        <f t="shared" si="26"/>
        <v>152000</v>
      </c>
    </row>
    <row r="83" spans="1:18" ht="20.100000000000001" customHeight="1" thickBot="1" x14ac:dyDescent="0.25">
      <c r="A83" s="360"/>
      <c r="B83" s="401" t="s">
        <v>210</v>
      </c>
      <c r="C83" s="456"/>
      <c r="D83" s="402">
        <v>21747.260293216881</v>
      </c>
      <c r="E83" s="403">
        <v>128958.07079918802</v>
      </c>
      <c r="F83" s="402">
        <v>212979.67268762813</v>
      </c>
      <c r="G83" s="403">
        <v>24661.224934057464</v>
      </c>
      <c r="H83" s="402">
        <v>126309</v>
      </c>
      <c r="I83" s="403">
        <v>136642.37575182307</v>
      </c>
      <c r="J83" s="402">
        <v>71512.311907588883</v>
      </c>
      <c r="K83" s="403">
        <v>18320</v>
      </c>
      <c r="L83" s="402">
        <v>473.08362649752297</v>
      </c>
      <c r="M83" s="457">
        <f t="shared" si="25"/>
        <v>741602.99999999988</v>
      </c>
      <c r="N83" s="402"/>
      <c r="O83" s="403"/>
      <c r="P83" s="402">
        <v>1678571</v>
      </c>
      <c r="Q83" s="403"/>
      <c r="R83" s="403">
        <f t="shared" si="26"/>
        <v>2420174</v>
      </c>
    </row>
    <row r="84" spans="1:18" ht="30" customHeight="1" thickBot="1" x14ac:dyDescent="0.25">
      <c r="B84" s="404" t="s">
        <v>219</v>
      </c>
      <c r="C84" s="491">
        <v>0</v>
      </c>
      <c r="D84" s="405"/>
      <c r="E84" s="406"/>
      <c r="F84" s="405"/>
      <c r="G84" s="406"/>
      <c r="H84" s="405"/>
      <c r="I84" s="406"/>
      <c r="J84" s="405"/>
      <c r="K84" s="406"/>
      <c r="L84" s="405"/>
      <c r="M84" s="407"/>
      <c r="N84" s="405"/>
      <c r="O84" s="406"/>
      <c r="P84" s="405"/>
      <c r="Q84" s="406"/>
      <c r="R84" s="407"/>
    </row>
    <row r="85" spans="1:18" ht="30" customHeight="1" x14ac:dyDescent="0.2">
      <c r="B85" s="408" t="s">
        <v>220</v>
      </c>
      <c r="C85" s="453">
        <v>6635699</v>
      </c>
      <c r="D85" s="410">
        <f>SUM(D86:D89)</f>
        <v>107807.2554515822</v>
      </c>
      <c r="E85" s="409">
        <f t="shared" ref="E85:R85" si="27">SUM(E86:E89)</f>
        <v>590314.61549605394</v>
      </c>
      <c r="F85" s="410">
        <f t="shared" si="27"/>
        <v>412606.20730752061</v>
      </c>
      <c r="G85" s="409">
        <f t="shared" si="27"/>
        <v>348271.71031863015</v>
      </c>
      <c r="H85" s="410">
        <f t="shared" si="27"/>
        <v>1172898.7203500466</v>
      </c>
      <c r="I85" s="409">
        <f t="shared" si="27"/>
        <v>568694.60661854502</v>
      </c>
      <c r="J85" s="410">
        <f t="shared" si="27"/>
        <v>209354.93590337498</v>
      </c>
      <c r="K85" s="409">
        <f t="shared" si="27"/>
        <v>10265.948554246295</v>
      </c>
      <c r="L85" s="410">
        <f t="shared" si="27"/>
        <v>0</v>
      </c>
      <c r="M85" s="409">
        <f>SUM(M86:M89)</f>
        <v>3420214</v>
      </c>
      <c r="N85" s="410">
        <f t="shared" si="27"/>
        <v>0</v>
      </c>
      <c r="O85" s="409">
        <f t="shared" si="27"/>
        <v>3086859</v>
      </c>
      <c r="P85" s="410">
        <f t="shared" si="27"/>
        <v>128626</v>
      </c>
      <c r="Q85" s="409"/>
      <c r="R85" s="409">
        <f t="shared" si="27"/>
        <v>6635699</v>
      </c>
    </row>
    <row r="86" spans="1:18" ht="20.100000000000001" customHeight="1" x14ac:dyDescent="0.2">
      <c r="B86" s="411" t="s">
        <v>221</v>
      </c>
      <c r="C86" s="454">
        <v>550770</v>
      </c>
      <c r="D86" s="412">
        <v>65873.255451582198</v>
      </c>
      <c r="E86" s="413">
        <v>97682.615496053972</v>
      </c>
      <c r="F86" s="412">
        <v>94681.207307520614</v>
      </c>
      <c r="G86" s="413">
        <v>68308.710318630139</v>
      </c>
      <c r="H86" s="412">
        <v>45925.720350046751</v>
      </c>
      <c r="I86" s="413">
        <v>148474.60661854508</v>
      </c>
      <c r="J86" s="412">
        <v>26019.935903374968</v>
      </c>
      <c r="K86" s="413">
        <v>3803.9485542462958</v>
      </c>
      <c r="L86" s="412">
        <v>0</v>
      </c>
      <c r="M86" s="413">
        <f t="shared" ref="M86:M88" si="28">SUM(D86:L86)</f>
        <v>550770</v>
      </c>
      <c r="N86" s="412"/>
      <c r="O86" s="413"/>
      <c r="P86" s="412"/>
      <c r="Q86" s="1104"/>
      <c r="R86" s="413">
        <f>SUM(M86:P86)</f>
        <v>550770</v>
      </c>
    </row>
    <row r="87" spans="1:18" ht="20.100000000000001" customHeight="1" x14ac:dyDescent="0.2">
      <c r="B87" s="411" t="s">
        <v>222</v>
      </c>
      <c r="C87" s="454">
        <v>1621980</v>
      </c>
      <c r="D87" s="412">
        <v>0</v>
      </c>
      <c r="E87" s="413">
        <v>387957</v>
      </c>
      <c r="F87" s="412">
        <v>250372</v>
      </c>
      <c r="G87" s="413">
        <v>220476</v>
      </c>
      <c r="H87" s="412">
        <v>296743</v>
      </c>
      <c r="I87" s="413">
        <v>322052</v>
      </c>
      <c r="J87" s="412">
        <v>144380</v>
      </c>
      <c r="K87" s="413">
        <v>0</v>
      </c>
      <c r="L87" s="412">
        <v>0</v>
      </c>
      <c r="M87" s="413">
        <f t="shared" si="28"/>
        <v>1621980</v>
      </c>
      <c r="N87" s="412"/>
      <c r="O87" s="413"/>
      <c r="P87" s="412"/>
      <c r="Q87" s="1104"/>
      <c r="R87" s="413">
        <f t="shared" ref="R87:R94" si="29">SUM(M87:P87)</f>
        <v>1621980</v>
      </c>
    </row>
    <row r="88" spans="1:18" ht="20.100000000000001" customHeight="1" x14ac:dyDescent="0.2">
      <c r="B88" s="411" t="s">
        <v>223</v>
      </c>
      <c r="C88" s="454">
        <v>517400</v>
      </c>
      <c r="D88" s="412">
        <v>41934</v>
      </c>
      <c r="E88" s="413">
        <v>104675</v>
      </c>
      <c r="F88" s="412">
        <v>67553</v>
      </c>
      <c r="G88" s="413">
        <v>59487</v>
      </c>
      <c r="H88" s="412">
        <v>85794</v>
      </c>
      <c r="I88" s="413">
        <v>98168</v>
      </c>
      <c r="J88" s="412">
        <v>38955</v>
      </c>
      <c r="K88" s="413">
        <v>6462</v>
      </c>
      <c r="L88" s="412">
        <v>0</v>
      </c>
      <c r="M88" s="413">
        <f t="shared" si="28"/>
        <v>503028</v>
      </c>
      <c r="N88" s="412"/>
      <c r="O88" s="413"/>
      <c r="P88" s="412">
        <v>14372</v>
      </c>
      <c r="Q88" s="1104"/>
      <c r="R88" s="413">
        <f t="shared" si="29"/>
        <v>517400</v>
      </c>
    </row>
    <row r="89" spans="1:18" ht="30" customHeight="1" x14ac:dyDescent="0.2">
      <c r="B89" s="414" t="s">
        <v>224</v>
      </c>
      <c r="C89" s="454">
        <v>3945549</v>
      </c>
      <c r="D89" s="412"/>
      <c r="E89" s="413"/>
      <c r="F89" s="412"/>
      <c r="G89" s="413"/>
      <c r="H89" s="412">
        <f>SUM(H90:H94)</f>
        <v>744436</v>
      </c>
      <c r="I89" s="413"/>
      <c r="J89" s="412"/>
      <c r="K89" s="413"/>
      <c r="L89" s="412"/>
      <c r="M89" s="413">
        <f>SUM(M90:M94)</f>
        <v>744436</v>
      </c>
      <c r="N89" s="412"/>
      <c r="O89" s="413">
        <f>SUM(O90:O94)</f>
        <v>3086859</v>
      </c>
      <c r="P89" s="412">
        <f>SUM(P90:P94)</f>
        <v>114254</v>
      </c>
      <c r="Q89" s="1104"/>
      <c r="R89" s="413">
        <f t="shared" si="29"/>
        <v>3945549</v>
      </c>
    </row>
    <row r="90" spans="1:18" ht="20.100000000000001" customHeight="1" x14ac:dyDescent="0.2">
      <c r="B90" s="411" t="s">
        <v>225</v>
      </c>
      <c r="C90" s="454">
        <v>1921734</v>
      </c>
      <c r="D90" s="412"/>
      <c r="E90" s="413"/>
      <c r="F90" s="412"/>
      <c r="G90" s="413"/>
      <c r="H90" s="412">
        <v>373312</v>
      </c>
      <c r="I90" s="413"/>
      <c r="J90" s="412"/>
      <c r="K90" s="413"/>
      <c r="L90" s="412"/>
      <c r="M90" s="413">
        <f t="shared" ref="M90:M94" si="30">SUM(D90:L90)</f>
        <v>373312</v>
      </c>
      <c r="N90" s="412"/>
      <c r="O90" s="413">
        <v>1548422</v>
      </c>
      <c r="P90" s="412"/>
      <c r="Q90" s="1104"/>
      <c r="R90" s="413">
        <f t="shared" si="29"/>
        <v>1921734</v>
      </c>
    </row>
    <row r="91" spans="1:18" ht="20.100000000000001" customHeight="1" x14ac:dyDescent="0.2">
      <c r="B91" s="411" t="s">
        <v>226</v>
      </c>
      <c r="C91" s="454">
        <v>676450</v>
      </c>
      <c r="D91" s="412"/>
      <c r="E91" s="413"/>
      <c r="F91" s="412"/>
      <c r="G91" s="413"/>
      <c r="H91" s="412">
        <v>131406</v>
      </c>
      <c r="I91" s="413"/>
      <c r="J91" s="412"/>
      <c r="K91" s="413"/>
      <c r="L91" s="412"/>
      <c r="M91" s="413">
        <f t="shared" si="30"/>
        <v>131406</v>
      </c>
      <c r="N91" s="412"/>
      <c r="O91" s="413">
        <v>545045</v>
      </c>
      <c r="P91" s="412"/>
      <c r="Q91" s="1104"/>
      <c r="R91" s="413">
        <f t="shared" si="29"/>
        <v>676451</v>
      </c>
    </row>
    <row r="92" spans="1:18" ht="20.100000000000001" customHeight="1" x14ac:dyDescent="0.2">
      <c r="B92" s="411" t="s">
        <v>268</v>
      </c>
      <c r="C92" s="454">
        <v>961462</v>
      </c>
      <c r="D92" s="412"/>
      <c r="E92" s="413"/>
      <c r="F92" s="412"/>
      <c r="G92" s="413"/>
      <c r="H92" s="412">
        <v>188282</v>
      </c>
      <c r="I92" s="413"/>
      <c r="J92" s="412"/>
      <c r="K92" s="413"/>
      <c r="L92" s="412"/>
      <c r="M92" s="413">
        <f t="shared" si="30"/>
        <v>188282</v>
      </c>
      <c r="N92" s="412"/>
      <c r="O92" s="413">
        <v>773180</v>
      </c>
      <c r="P92" s="412"/>
      <c r="Q92" s="1104"/>
      <c r="R92" s="413">
        <f t="shared" si="29"/>
        <v>961462</v>
      </c>
    </row>
    <row r="93" spans="1:18" ht="20.100000000000001" customHeight="1" x14ac:dyDescent="0.2">
      <c r="B93" s="411" t="s">
        <v>227</v>
      </c>
      <c r="C93" s="454">
        <v>271648</v>
      </c>
      <c r="D93" s="412"/>
      <c r="E93" s="413"/>
      <c r="F93" s="412"/>
      <c r="G93" s="413"/>
      <c r="H93" s="412">
        <v>51436</v>
      </c>
      <c r="I93" s="413"/>
      <c r="J93" s="412"/>
      <c r="K93" s="413"/>
      <c r="L93" s="412"/>
      <c r="M93" s="413">
        <f t="shared" si="30"/>
        <v>51436</v>
      </c>
      <c r="N93" s="412"/>
      <c r="O93" s="413">
        <v>220212</v>
      </c>
      <c r="P93" s="412"/>
      <c r="Q93" s="1104"/>
      <c r="R93" s="413">
        <f t="shared" si="29"/>
        <v>271648</v>
      </c>
    </row>
    <row r="94" spans="1:18" ht="20.100000000000001" customHeight="1" thickBot="1" x14ac:dyDescent="0.25">
      <c r="B94" s="415" t="s">
        <v>228</v>
      </c>
      <c r="C94" s="455">
        <v>114254</v>
      </c>
      <c r="D94" s="416"/>
      <c r="E94" s="417"/>
      <c r="F94" s="416"/>
      <c r="G94" s="417"/>
      <c r="H94" s="416"/>
      <c r="I94" s="417"/>
      <c r="J94" s="418"/>
      <c r="K94" s="417"/>
      <c r="L94" s="416"/>
      <c r="M94" s="417">
        <f t="shared" si="30"/>
        <v>0</v>
      </c>
      <c r="N94" s="416"/>
      <c r="O94" s="417"/>
      <c r="P94" s="416">
        <v>114254</v>
      </c>
      <c r="Q94" s="417"/>
      <c r="R94" s="417">
        <f t="shared" si="29"/>
        <v>114254</v>
      </c>
    </row>
    <row r="95" spans="1:18" ht="12.95" customHeight="1" x14ac:dyDescent="0.2"/>
    <row r="96" spans="1:18" ht="12.95" customHeight="1" x14ac:dyDescent="0.2"/>
    <row r="97" spans="2:24" ht="12.95" customHeight="1" thickBot="1" x14ac:dyDescent="0.25"/>
    <row r="98" spans="2:24" ht="47.65" customHeight="1" thickBot="1" x14ac:dyDescent="0.25">
      <c r="B98" s="1288" t="s">
        <v>474</v>
      </c>
      <c r="C98" s="1289"/>
      <c r="D98" s="1289"/>
      <c r="E98" s="1289"/>
      <c r="F98" s="1289"/>
      <c r="G98" s="1289"/>
      <c r="H98" s="1289"/>
      <c r="I98" s="1289"/>
      <c r="J98" s="1289"/>
      <c r="K98" s="1289"/>
      <c r="L98" s="1289"/>
      <c r="M98" s="1289"/>
      <c r="N98" s="1289"/>
      <c r="O98" s="1289"/>
      <c r="P98" s="1289"/>
      <c r="Q98" s="1289"/>
      <c r="R98" s="1290"/>
    </row>
    <row r="99" spans="2:24" ht="13.5" thickBot="1" x14ac:dyDescent="0.25">
      <c r="B99" s="356"/>
      <c r="C99" s="357"/>
      <c r="D99" s="358"/>
      <c r="E99" s="358"/>
      <c r="F99" s="358"/>
      <c r="G99" s="358"/>
      <c r="H99" s="358"/>
      <c r="I99" s="358"/>
      <c r="J99" s="358"/>
      <c r="K99" s="358"/>
      <c r="L99" s="358"/>
      <c r="M99" s="359"/>
      <c r="N99" s="358"/>
      <c r="O99" s="358"/>
      <c r="P99" s="359"/>
      <c r="Q99" s="359"/>
      <c r="R99" s="359"/>
    </row>
    <row r="100" spans="2:24" ht="38.25" customHeight="1" thickBot="1" x14ac:dyDescent="0.25">
      <c r="B100" s="1105" t="s">
        <v>206</v>
      </c>
      <c r="C100" s="1106" t="s">
        <v>207</v>
      </c>
      <c r="D100" s="378" t="s">
        <v>56</v>
      </c>
      <c r="E100" s="378" t="s">
        <v>57</v>
      </c>
      <c r="F100" s="378" t="s">
        <v>58</v>
      </c>
      <c r="G100" s="378" t="s">
        <v>59</v>
      </c>
      <c r="H100" s="1107" t="s">
        <v>62</v>
      </c>
      <c r="I100" s="378" t="s">
        <v>60</v>
      </c>
      <c r="J100" s="378" t="s">
        <v>61</v>
      </c>
      <c r="K100" s="378" t="s">
        <v>208</v>
      </c>
      <c r="L100" s="378" t="s">
        <v>205</v>
      </c>
      <c r="M100" s="1108" t="s">
        <v>246</v>
      </c>
      <c r="N100" s="378" t="s">
        <v>360</v>
      </c>
      <c r="O100" s="379" t="s">
        <v>209</v>
      </c>
      <c r="P100" s="380" t="s">
        <v>415</v>
      </c>
      <c r="Q100" s="380" t="s">
        <v>452</v>
      </c>
      <c r="R100" s="380" t="s">
        <v>16</v>
      </c>
      <c r="S100" s="368" t="s">
        <v>211</v>
      </c>
      <c r="T100" s="368" t="s">
        <v>212</v>
      </c>
      <c r="U100" s="368" t="s">
        <v>213</v>
      </c>
    </row>
    <row r="101" spans="2:24" ht="12.95" customHeight="1" thickBot="1" x14ac:dyDescent="0.25">
      <c r="B101" s="369"/>
      <c r="C101" s="445"/>
      <c r="D101" s="370"/>
      <c r="E101" s="371"/>
      <c r="F101" s="371"/>
      <c r="G101" s="371"/>
      <c r="H101" s="371"/>
      <c r="I101" s="371"/>
      <c r="J101" s="371"/>
      <c r="K101" s="371"/>
      <c r="L101" s="371"/>
      <c r="M101" s="372"/>
      <c r="N101" s="371"/>
      <c r="O101" s="371"/>
      <c r="P101" s="373"/>
      <c r="Q101" s="373"/>
      <c r="R101" s="373"/>
    </row>
    <row r="102" spans="2:24" ht="29.65" customHeight="1" thickBot="1" x14ac:dyDescent="0.25">
      <c r="B102" s="381" t="s">
        <v>214</v>
      </c>
      <c r="C102" s="446">
        <v>59095995</v>
      </c>
      <c r="D102" s="383">
        <f t="shared" ref="D102:P102" si="31">D103+D111+D115+D116</f>
        <v>3580540.8576646405</v>
      </c>
      <c r="E102" s="382">
        <f t="shared" si="31"/>
        <v>9210602.095273532</v>
      </c>
      <c r="F102" s="383">
        <f t="shared" si="31"/>
        <v>9929625.0291082785</v>
      </c>
      <c r="G102" s="382">
        <f t="shared" si="31"/>
        <v>3004355.2051729895</v>
      </c>
      <c r="H102" s="383">
        <f t="shared" si="31"/>
        <v>7863350.6230248278</v>
      </c>
      <c r="I102" s="382">
        <f t="shared" si="31"/>
        <v>10119907.570067858</v>
      </c>
      <c r="J102" s="383">
        <f t="shared" si="31"/>
        <v>4234409.2013999205</v>
      </c>
      <c r="K102" s="382">
        <f t="shared" si="31"/>
        <v>753284.87309182633</v>
      </c>
      <c r="L102" s="383">
        <f t="shared" si="31"/>
        <v>248311.13503834137</v>
      </c>
      <c r="M102" s="382">
        <f t="shared" si="31"/>
        <v>48944386.589842208</v>
      </c>
      <c r="N102" s="383">
        <f t="shared" si="31"/>
        <v>2819862.2989722025</v>
      </c>
      <c r="O102" s="382">
        <f t="shared" si="31"/>
        <v>2675571.5377636179</v>
      </c>
      <c r="P102" s="383">
        <f t="shared" si="31"/>
        <v>4656174.32</v>
      </c>
      <c r="Q102" s="382"/>
      <c r="R102" s="382">
        <f>R103+R111+R115+R116</f>
        <v>59095994.746578038</v>
      </c>
    </row>
    <row r="103" spans="2:24" ht="30" customHeight="1" x14ac:dyDescent="0.2">
      <c r="B103" s="384" t="s">
        <v>215</v>
      </c>
      <c r="C103" s="447">
        <v>31392890</v>
      </c>
      <c r="D103" s="386">
        <f t="shared" ref="D103:P103" si="32">SUM(D105:D110)</f>
        <v>2537986.8534844043</v>
      </c>
      <c r="E103" s="385">
        <f t="shared" si="32"/>
        <v>4400390.8575400505</v>
      </c>
      <c r="F103" s="385">
        <f t="shared" si="32"/>
        <v>5036519.8669604901</v>
      </c>
      <c r="G103" s="385">
        <f t="shared" si="32"/>
        <v>2115130.5367535204</v>
      </c>
      <c r="H103" s="386">
        <f t="shared" si="32"/>
        <v>4789990.8877617465</v>
      </c>
      <c r="I103" s="385">
        <f t="shared" si="32"/>
        <v>5839580.0537090451</v>
      </c>
      <c r="J103" s="386">
        <f t="shared" si="32"/>
        <v>2402905.1986668045</v>
      </c>
      <c r="K103" s="385">
        <f t="shared" si="32"/>
        <v>489972.18724087806</v>
      </c>
      <c r="L103" s="386">
        <f t="shared" si="32"/>
        <v>84072.754908193281</v>
      </c>
      <c r="M103" s="385">
        <f t="shared" si="32"/>
        <v>27696549.197025128</v>
      </c>
      <c r="N103" s="386">
        <f t="shared" si="32"/>
        <v>1896056.2989722025</v>
      </c>
      <c r="O103" s="385">
        <f t="shared" si="32"/>
        <v>0</v>
      </c>
      <c r="P103" s="386">
        <f t="shared" si="32"/>
        <v>1800284.32</v>
      </c>
      <c r="Q103" s="385"/>
      <c r="R103" s="385">
        <f>SUM(R105:R110)</f>
        <v>31392889.815997332</v>
      </c>
      <c r="X103" s="949"/>
    </row>
    <row r="104" spans="2:24" ht="20.100000000000001" customHeight="1" x14ac:dyDescent="0.2">
      <c r="B104" s="387" t="s">
        <v>216</v>
      </c>
      <c r="C104" s="448">
        <f t="shared" ref="C104:L104" si="33">C105+C106</f>
        <v>18579883</v>
      </c>
      <c r="D104" s="388">
        <f t="shared" si="33"/>
        <v>1604665</v>
      </c>
      <c r="E104" s="389">
        <f t="shared" si="33"/>
        <v>2740159</v>
      </c>
      <c r="F104" s="388">
        <f t="shared" si="33"/>
        <v>3237284</v>
      </c>
      <c r="G104" s="389">
        <f t="shared" si="33"/>
        <v>1267592</v>
      </c>
      <c r="H104" s="388">
        <f t="shared" si="33"/>
        <v>2988408</v>
      </c>
      <c r="I104" s="389">
        <f t="shared" si="33"/>
        <v>3664810</v>
      </c>
      <c r="J104" s="388">
        <f t="shared" si="33"/>
        <v>1448190</v>
      </c>
      <c r="K104" s="389">
        <f t="shared" si="33"/>
        <v>306973</v>
      </c>
      <c r="L104" s="388">
        <f t="shared" si="33"/>
        <v>62088</v>
      </c>
      <c r="M104" s="389">
        <f>SUM(D104:L104)</f>
        <v>17320169</v>
      </c>
      <c r="N104" s="388">
        <f>N105+N106</f>
        <v>1121679</v>
      </c>
      <c r="O104" s="389">
        <f>O105+O106</f>
        <v>0</v>
      </c>
      <c r="P104" s="388">
        <f>P105+P106</f>
        <v>138035</v>
      </c>
      <c r="Q104" s="1102"/>
      <c r="R104" s="389">
        <f t="shared" ref="R104:R110" si="34">SUM(M104:P104)</f>
        <v>18579883</v>
      </c>
      <c r="X104" s="949"/>
    </row>
    <row r="105" spans="2:24" ht="20.100000000000001" customHeight="1" x14ac:dyDescent="0.2">
      <c r="B105" s="854" t="s">
        <v>354</v>
      </c>
      <c r="C105" s="448">
        <v>18579883</v>
      </c>
      <c r="D105" s="388">
        <v>1604665</v>
      </c>
      <c r="E105" s="389">
        <v>2725759</v>
      </c>
      <c r="F105" s="851">
        <v>3237284</v>
      </c>
      <c r="G105" s="389">
        <v>1253192</v>
      </c>
      <c r="H105" s="851">
        <v>2974008</v>
      </c>
      <c r="I105" s="389">
        <v>3650410</v>
      </c>
      <c r="J105" s="388">
        <v>1448190</v>
      </c>
      <c r="K105" s="389">
        <v>306973</v>
      </c>
      <c r="L105" s="388">
        <v>62088</v>
      </c>
      <c r="M105" s="389">
        <f>SUM(D105:L105)</f>
        <v>17262569</v>
      </c>
      <c r="N105" s="851"/>
      <c r="O105" s="389"/>
      <c r="P105" s="851"/>
      <c r="Q105" s="1102"/>
      <c r="R105" s="389">
        <f t="shared" si="34"/>
        <v>17262569</v>
      </c>
      <c r="X105" s="949"/>
    </row>
    <row r="106" spans="2:24" ht="20.100000000000001" customHeight="1" x14ac:dyDescent="0.2">
      <c r="B106" s="855" t="s">
        <v>210</v>
      </c>
      <c r="C106" s="448"/>
      <c r="D106" s="851"/>
      <c r="E106" s="389">
        <v>14400</v>
      </c>
      <c r="F106" s="851"/>
      <c r="G106" s="389">
        <v>14400</v>
      </c>
      <c r="H106" s="851">
        <v>14400</v>
      </c>
      <c r="I106" s="389">
        <v>14400</v>
      </c>
      <c r="J106" s="851"/>
      <c r="K106" s="389"/>
      <c r="L106" s="851"/>
      <c r="M106" s="389">
        <f>SUM(D106:L106)</f>
        <v>57600</v>
      </c>
      <c r="N106" s="388">
        <v>1121679</v>
      </c>
      <c r="O106" s="389"/>
      <c r="P106" s="851">
        <v>138035</v>
      </c>
      <c r="Q106" s="1102"/>
      <c r="R106" s="389">
        <f t="shared" si="34"/>
        <v>1317314</v>
      </c>
      <c r="X106" s="949"/>
    </row>
    <row r="107" spans="2:24" ht="20.100000000000001" customHeight="1" x14ac:dyDescent="0.2">
      <c r="B107" s="390" t="s">
        <v>232</v>
      </c>
      <c r="C107" s="448">
        <v>6540119</v>
      </c>
      <c r="D107" s="388">
        <v>564842.07999999996</v>
      </c>
      <c r="E107" s="389">
        <v>964535.96799999999</v>
      </c>
      <c r="F107" s="388">
        <v>1139523.9679999999</v>
      </c>
      <c r="G107" s="389">
        <v>446192.38399999996</v>
      </c>
      <c r="H107" s="388">
        <v>1051919.6159999999</v>
      </c>
      <c r="I107" s="389">
        <v>1290013.1199999999</v>
      </c>
      <c r="J107" s="388">
        <v>509762.87999999995</v>
      </c>
      <c r="K107" s="389">
        <v>108054.496</v>
      </c>
      <c r="L107" s="388">
        <v>21854.975999999999</v>
      </c>
      <c r="M107" s="389">
        <f>M104*0.352</f>
        <v>6096699.4879999999</v>
      </c>
      <c r="N107" s="388">
        <v>394831.00799999997</v>
      </c>
      <c r="O107" s="389"/>
      <c r="P107" s="388">
        <v>48588.32</v>
      </c>
      <c r="Q107" s="1102"/>
      <c r="R107" s="389">
        <f t="shared" si="34"/>
        <v>6540118.8160000006</v>
      </c>
      <c r="X107" s="949"/>
    </row>
    <row r="108" spans="2:24" ht="20.100000000000001" customHeight="1" x14ac:dyDescent="0.2">
      <c r="B108" s="391" t="s">
        <v>231</v>
      </c>
      <c r="C108" s="448">
        <v>6182622</v>
      </c>
      <c r="D108" s="388">
        <v>368479.77348440432</v>
      </c>
      <c r="E108" s="389">
        <v>695695.88954005041</v>
      </c>
      <c r="F108" s="388">
        <v>659711.89896048955</v>
      </c>
      <c r="G108" s="389">
        <v>401346.15275352006</v>
      </c>
      <c r="H108" s="388">
        <v>749663.27176174661</v>
      </c>
      <c r="I108" s="389">
        <v>884756.93370904482</v>
      </c>
      <c r="J108" s="388">
        <v>356952.31866680441</v>
      </c>
      <c r="K108" s="389">
        <v>74944.691240878063</v>
      </c>
      <c r="L108" s="388">
        <v>129.77890819328215</v>
      </c>
      <c r="M108" s="389">
        <f>SUM(D108:L108)</f>
        <v>4191680.7090251315</v>
      </c>
      <c r="N108" s="388">
        <v>379546.29097220261</v>
      </c>
      <c r="O108" s="389"/>
      <c r="P108" s="388"/>
      <c r="Q108" s="1102"/>
      <c r="R108" s="389">
        <f t="shared" si="34"/>
        <v>4571226.9999973346</v>
      </c>
    </row>
    <row r="109" spans="2:24" ht="20.100000000000001" customHeight="1" x14ac:dyDescent="0.2">
      <c r="B109" s="390" t="s">
        <v>230</v>
      </c>
      <c r="C109" s="448">
        <v>90266</v>
      </c>
      <c r="D109" s="388"/>
      <c r="E109" s="389"/>
      <c r="F109" s="388"/>
      <c r="G109" s="389"/>
      <c r="H109" s="388"/>
      <c r="I109" s="389"/>
      <c r="J109" s="388">
        <v>59000</v>
      </c>
      <c r="K109" s="389"/>
      <c r="L109" s="388"/>
      <c r="M109" s="389">
        <f>SUM(D109:L109)</f>
        <v>59000</v>
      </c>
      <c r="N109" s="388"/>
      <c r="O109" s="389"/>
      <c r="P109" s="388">
        <v>31266</v>
      </c>
      <c r="Q109" s="1102"/>
      <c r="R109" s="389">
        <f t="shared" si="34"/>
        <v>90266</v>
      </c>
    </row>
    <row r="110" spans="2:24" ht="20.100000000000001" customHeight="1" thickBot="1" x14ac:dyDescent="0.25">
      <c r="B110" s="392" t="s">
        <v>210</v>
      </c>
      <c r="C110" s="449"/>
      <c r="D110" s="393"/>
      <c r="E110" s="394"/>
      <c r="F110" s="393"/>
      <c r="G110" s="394"/>
      <c r="H110" s="393"/>
      <c r="I110" s="394"/>
      <c r="J110" s="393">
        <v>29000</v>
      </c>
      <c r="K110" s="394"/>
      <c r="L110" s="393"/>
      <c r="M110" s="394">
        <f>SUM(D110:L110)</f>
        <v>29000</v>
      </c>
      <c r="N110" s="393"/>
      <c r="O110" s="394"/>
      <c r="P110" s="393">
        <v>1582395</v>
      </c>
      <c r="Q110" s="394"/>
      <c r="R110" s="394">
        <f t="shared" si="34"/>
        <v>1611395</v>
      </c>
    </row>
    <row r="111" spans="2:24" ht="30" customHeight="1" x14ac:dyDescent="0.2">
      <c r="B111" s="395" t="s">
        <v>217</v>
      </c>
      <c r="C111" s="450">
        <f>C112+C113</f>
        <v>21734854</v>
      </c>
      <c r="D111" s="397">
        <f t="shared" ref="D111:P111" si="35">SUM(D112:D114)</f>
        <v>905851.00418023625</v>
      </c>
      <c r="E111" s="396">
        <f t="shared" si="35"/>
        <v>4261990.2377334824</v>
      </c>
      <c r="F111" s="397">
        <f t="shared" si="35"/>
        <v>4482263.1621477883</v>
      </c>
      <c r="G111" s="396">
        <f t="shared" si="35"/>
        <v>558484.66841946892</v>
      </c>
      <c r="H111" s="397">
        <f t="shared" si="35"/>
        <v>2045886.8580746704</v>
      </c>
      <c r="I111" s="396">
        <f t="shared" si="35"/>
        <v>3848535.5163588133</v>
      </c>
      <c r="J111" s="397">
        <f t="shared" si="35"/>
        <v>1620366.0027331165</v>
      </c>
      <c r="K111" s="396">
        <f t="shared" si="35"/>
        <v>248079.68585094824</v>
      </c>
      <c r="L111" s="397">
        <f t="shared" si="35"/>
        <v>164238.38013014809</v>
      </c>
      <c r="M111" s="396">
        <f t="shared" si="35"/>
        <v>18135695.515628673</v>
      </c>
      <c r="N111" s="397">
        <f t="shared" si="35"/>
        <v>923806</v>
      </c>
      <c r="O111" s="396">
        <f t="shared" si="35"/>
        <v>0</v>
      </c>
      <c r="P111" s="397">
        <f t="shared" si="35"/>
        <v>2675352</v>
      </c>
      <c r="Q111" s="396"/>
      <c r="R111" s="396">
        <f>SUM(R112:R114)</f>
        <v>21734853.515628673</v>
      </c>
    </row>
    <row r="112" spans="2:24" ht="20.100000000000001" customHeight="1" x14ac:dyDescent="0.2">
      <c r="B112" s="398" t="s">
        <v>218</v>
      </c>
      <c r="C112" s="451">
        <v>21582854</v>
      </c>
      <c r="D112" s="400">
        <v>905851.00418023625</v>
      </c>
      <c r="E112" s="399">
        <v>4178828.2377334824</v>
      </c>
      <c r="F112" s="400">
        <v>4270679.1621477883</v>
      </c>
      <c r="G112" s="399">
        <v>548484.66841946892</v>
      </c>
      <c r="H112" s="400">
        <v>2010621.8580746704</v>
      </c>
      <c r="I112" s="399">
        <v>3744733.5163588133</v>
      </c>
      <c r="J112" s="400">
        <v>1591287.0027331165</v>
      </c>
      <c r="K112" s="399">
        <v>248079.68585094824</v>
      </c>
      <c r="L112" s="400">
        <v>164238.38013014809</v>
      </c>
      <c r="M112" s="399">
        <f>SUM(D112:L112)</f>
        <v>17662803.515628673</v>
      </c>
      <c r="N112" s="400">
        <v>79506</v>
      </c>
      <c r="O112" s="399"/>
      <c r="P112" s="400"/>
      <c r="Q112" s="1103"/>
      <c r="R112" s="399">
        <f>SUM(M112:P112)</f>
        <v>17742309.515628673</v>
      </c>
      <c r="X112" s="949"/>
    </row>
    <row r="113" spans="1:18" s="360" customFormat="1" ht="20.100000000000001" customHeight="1" x14ac:dyDescent="0.2">
      <c r="A113" s="355"/>
      <c r="B113" s="398" t="s">
        <v>230</v>
      </c>
      <c r="C113" s="452">
        <v>152000</v>
      </c>
      <c r="D113" s="400"/>
      <c r="E113" s="399">
        <v>20000</v>
      </c>
      <c r="F113" s="400">
        <v>80000</v>
      </c>
      <c r="G113" s="399"/>
      <c r="H113" s="400"/>
      <c r="I113" s="399">
        <v>52000</v>
      </c>
      <c r="J113" s="400"/>
      <c r="K113" s="399"/>
      <c r="L113" s="400"/>
      <c r="M113" s="399">
        <f>SUM(D113:L113)</f>
        <v>152000</v>
      </c>
      <c r="N113" s="400"/>
      <c r="O113" s="399"/>
      <c r="P113" s="400"/>
      <c r="Q113" s="1103"/>
      <c r="R113" s="399">
        <f>SUM(M113:P113)</f>
        <v>152000</v>
      </c>
    </row>
    <row r="114" spans="1:18" s="360" customFormat="1" ht="20.100000000000001" customHeight="1" thickBot="1" x14ac:dyDescent="0.25">
      <c r="B114" s="401" t="s">
        <v>210</v>
      </c>
      <c r="C114" s="456"/>
      <c r="D114" s="402"/>
      <c r="E114" s="403">
        <v>63162</v>
      </c>
      <c r="F114" s="402">
        <v>131584</v>
      </c>
      <c r="G114" s="403">
        <v>10000</v>
      </c>
      <c r="H114" s="402">
        <v>35265</v>
      </c>
      <c r="I114" s="403">
        <v>51802</v>
      </c>
      <c r="J114" s="402">
        <v>29079</v>
      </c>
      <c r="K114" s="403"/>
      <c r="L114" s="402"/>
      <c r="M114" s="457">
        <f>SUM(D114:L114)</f>
        <v>320892</v>
      </c>
      <c r="N114" s="402">
        <v>844300</v>
      </c>
      <c r="O114" s="403"/>
      <c r="P114" s="402">
        <v>2675352</v>
      </c>
      <c r="Q114" s="403"/>
      <c r="R114" s="403">
        <f>SUM(M114:P114)</f>
        <v>3840544</v>
      </c>
    </row>
    <row r="115" spans="1:18" ht="37.5" customHeight="1" thickBot="1" x14ac:dyDescent="0.25">
      <c r="B115" s="404" t="s">
        <v>219</v>
      </c>
      <c r="C115" s="491">
        <v>68699</v>
      </c>
      <c r="D115" s="405"/>
      <c r="E115" s="406"/>
      <c r="F115" s="405"/>
      <c r="G115" s="406"/>
      <c r="H115" s="405"/>
      <c r="I115" s="406"/>
      <c r="J115" s="405"/>
      <c r="K115" s="406"/>
      <c r="L115" s="405"/>
      <c r="M115" s="407"/>
      <c r="N115" s="405"/>
      <c r="O115" s="406"/>
      <c r="P115" s="496">
        <v>68699</v>
      </c>
      <c r="Q115" s="407"/>
      <c r="R115" s="407">
        <f>SUM(M115:P115)</f>
        <v>68699</v>
      </c>
    </row>
    <row r="116" spans="1:18" ht="30" customHeight="1" x14ac:dyDescent="0.2">
      <c r="B116" s="408" t="s">
        <v>220</v>
      </c>
      <c r="C116" s="453">
        <f t="shared" ref="C116:P116" si="36">SUM(C117:C120)</f>
        <v>5899552</v>
      </c>
      <c r="D116" s="410">
        <f t="shared" si="36"/>
        <v>136703</v>
      </c>
      <c r="E116" s="409">
        <f t="shared" si="36"/>
        <v>548221</v>
      </c>
      <c r="F116" s="410">
        <f t="shared" si="36"/>
        <v>410842</v>
      </c>
      <c r="G116" s="409">
        <f t="shared" si="36"/>
        <v>330740</v>
      </c>
      <c r="H116" s="410">
        <f t="shared" si="36"/>
        <v>1027472.8771884103</v>
      </c>
      <c r="I116" s="409">
        <f t="shared" si="36"/>
        <v>431792</v>
      </c>
      <c r="J116" s="410">
        <f t="shared" si="36"/>
        <v>211138</v>
      </c>
      <c r="K116" s="409">
        <f t="shared" si="36"/>
        <v>15233</v>
      </c>
      <c r="L116" s="410">
        <f t="shared" si="36"/>
        <v>0</v>
      </c>
      <c r="M116" s="409">
        <f t="shared" si="36"/>
        <v>3112141.8771884101</v>
      </c>
      <c r="N116" s="410">
        <f t="shared" si="36"/>
        <v>0</v>
      </c>
      <c r="O116" s="409">
        <f t="shared" si="36"/>
        <v>2675571.5377636179</v>
      </c>
      <c r="P116" s="410">
        <f t="shared" si="36"/>
        <v>111839</v>
      </c>
      <c r="Q116" s="409"/>
      <c r="R116" s="409">
        <f>SUM(R117:R120)</f>
        <v>5899552.4149520285</v>
      </c>
    </row>
    <row r="117" spans="1:18" ht="20.100000000000001" customHeight="1" x14ac:dyDescent="0.2">
      <c r="B117" s="411" t="s">
        <v>221</v>
      </c>
      <c r="C117" s="454">
        <v>730978</v>
      </c>
      <c r="D117" s="412">
        <v>91892</v>
      </c>
      <c r="E117" s="413">
        <v>95460</v>
      </c>
      <c r="F117" s="412">
        <v>135693</v>
      </c>
      <c r="G117" s="413">
        <v>77566</v>
      </c>
      <c r="H117" s="412">
        <v>66771</v>
      </c>
      <c r="I117" s="413">
        <v>218963</v>
      </c>
      <c r="J117" s="412">
        <v>37086</v>
      </c>
      <c r="K117" s="413">
        <v>7547</v>
      </c>
      <c r="L117" s="412"/>
      <c r="M117" s="413">
        <f>SUM(D117:L117)</f>
        <v>730978</v>
      </c>
      <c r="N117" s="412"/>
      <c r="O117" s="413"/>
      <c r="P117" s="412"/>
      <c r="Q117" s="1104"/>
      <c r="R117" s="413">
        <f t="shared" ref="R117:R125" si="37">SUM(M117:P117)</f>
        <v>730978</v>
      </c>
    </row>
    <row r="118" spans="1:18" ht="20.100000000000001" customHeight="1" x14ac:dyDescent="0.2">
      <c r="B118" s="411" t="s">
        <v>222</v>
      </c>
      <c r="C118" s="454">
        <v>1238250</v>
      </c>
      <c r="D118" s="412">
        <v>0</v>
      </c>
      <c r="E118" s="413">
        <v>342883</v>
      </c>
      <c r="F118" s="412">
        <v>204379</v>
      </c>
      <c r="G118" s="413">
        <v>192555</v>
      </c>
      <c r="H118" s="412">
        <v>262422</v>
      </c>
      <c r="I118" s="413">
        <v>105030</v>
      </c>
      <c r="J118" s="412">
        <v>130981</v>
      </c>
      <c r="K118" s="413">
        <v>0</v>
      </c>
      <c r="L118" s="412"/>
      <c r="M118" s="413">
        <f>SUM(D118:L118)</f>
        <v>1238250</v>
      </c>
      <c r="N118" s="412"/>
      <c r="O118" s="413"/>
      <c r="P118" s="412"/>
      <c r="Q118" s="1104"/>
      <c r="R118" s="413">
        <f t="shared" si="37"/>
        <v>1238250</v>
      </c>
    </row>
    <row r="119" spans="1:18" ht="20.100000000000001" customHeight="1" x14ac:dyDescent="0.2">
      <c r="B119" s="411" t="s">
        <v>223</v>
      </c>
      <c r="C119" s="454">
        <v>553400</v>
      </c>
      <c r="D119" s="412">
        <v>44811</v>
      </c>
      <c r="E119" s="413">
        <v>109878</v>
      </c>
      <c r="F119" s="412">
        <v>70770</v>
      </c>
      <c r="G119" s="413">
        <v>60619</v>
      </c>
      <c r="H119" s="412">
        <v>93394</v>
      </c>
      <c r="I119" s="413">
        <v>107799</v>
      </c>
      <c r="J119" s="412">
        <v>43071</v>
      </c>
      <c r="K119" s="413">
        <v>7686</v>
      </c>
      <c r="L119" s="412"/>
      <c r="M119" s="413">
        <f>SUM(D119:L119)</f>
        <v>538028</v>
      </c>
      <c r="N119" s="412"/>
      <c r="O119" s="413"/>
      <c r="P119" s="412">
        <v>15372</v>
      </c>
      <c r="Q119" s="1104"/>
      <c r="R119" s="413">
        <f t="shared" si="37"/>
        <v>553400</v>
      </c>
    </row>
    <row r="120" spans="1:18" ht="29.65" customHeight="1" x14ac:dyDescent="0.2">
      <c r="B120" s="414" t="s">
        <v>224</v>
      </c>
      <c r="C120" s="454">
        <f>SUM(C121:C125)</f>
        <v>3376924</v>
      </c>
      <c r="D120" s="412"/>
      <c r="E120" s="413"/>
      <c r="F120" s="412"/>
      <c r="G120" s="413"/>
      <c r="H120" s="412">
        <f>SUM(H121:H125)</f>
        <v>604885.87718841026</v>
      </c>
      <c r="I120" s="413"/>
      <c r="J120" s="412"/>
      <c r="K120" s="413"/>
      <c r="L120" s="412"/>
      <c r="M120" s="413">
        <f>SUM(M121:M125)</f>
        <v>604885.87718841026</v>
      </c>
      <c r="N120" s="412"/>
      <c r="O120" s="413">
        <f>SUM(O121:O125)</f>
        <v>2675571.5377636179</v>
      </c>
      <c r="P120" s="412">
        <f>SUM(P121:P125)</f>
        <v>96467</v>
      </c>
      <c r="Q120" s="1104"/>
      <c r="R120" s="413">
        <f t="shared" si="37"/>
        <v>3376924.4149520281</v>
      </c>
    </row>
    <row r="121" spans="1:18" ht="20.100000000000001" customHeight="1" x14ac:dyDescent="0.2">
      <c r="B121" s="411" t="s">
        <v>225</v>
      </c>
      <c r="C121" s="454">
        <v>1421917</v>
      </c>
      <c r="D121" s="412"/>
      <c r="E121" s="413"/>
      <c r="F121" s="412"/>
      <c r="G121" s="413"/>
      <c r="H121" s="412">
        <v>279165.7243497523</v>
      </c>
      <c r="I121" s="413"/>
      <c r="J121" s="412"/>
      <c r="K121" s="413"/>
      <c r="L121" s="412"/>
      <c r="M121" s="413">
        <f>SUM(D121:L121)</f>
        <v>279165.7243497523</v>
      </c>
      <c r="N121" s="412"/>
      <c r="O121" s="413">
        <v>1142751.758676905</v>
      </c>
      <c r="P121" s="412"/>
      <c r="Q121" s="1104"/>
      <c r="R121" s="413">
        <f t="shared" si="37"/>
        <v>1421917.4830266573</v>
      </c>
    </row>
    <row r="122" spans="1:18" ht="20.100000000000001" customHeight="1" x14ac:dyDescent="0.2">
      <c r="B122" s="411" t="s">
        <v>226</v>
      </c>
      <c r="C122" s="454">
        <v>500515</v>
      </c>
      <c r="D122" s="412"/>
      <c r="E122" s="413"/>
      <c r="F122" s="412"/>
      <c r="G122" s="413"/>
      <c r="H122" s="412">
        <v>98266.334971112825</v>
      </c>
      <c r="I122" s="413"/>
      <c r="J122" s="412"/>
      <c r="K122" s="413"/>
      <c r="L122" s="412"/>
      <c r="M122" s="413">
        <f>SUM(D122:L122)</f>
        <v>98266.334971112825</v>
      </c>
      <c r="N122" s="412"/>
      <c r="O122" s="413">
        <v>402248.61905427056</v>
      </c>
      <c r="P122" s="412"/>
      <c r="Q122" s="1104"/>
      <c r="R122" s="413">
        <f t="shared" si="37"/>
        <v>500514.9540253834</v>
      </c>
    </row>
    <row r="123" spans="1:18" ht="20.100000000000001" customHeight="1" x14ac:dyDescent="0.2">
      <c r="B123" s="411" t="s">
        <v>268</v>
      </c>
      <c r="C123" s="454">
        <v>958154</v>
      </c>
      <c r="D123" s="412"/>
      <c r="E123" s="413"/>
      <c r="F123" s="412"/>
      <c r="G123" s="413"/>
      <c r="H123" s="412">
        <v>187697</v>
      </c>
      <c r="I123" s="413"/>
      <c r="J123" s="412"/>
      <c r="K123" s="413"/>
      <c r="L123" s="412"/>
      <c r="M123" s="413">
        <f>SUM(D123:L123)</f>
        <v>187697</v>
      </c>
      <c r="N123" s="412"/>
      <c r="O123" s="413">
        <v>770457</v>
      </c>
      <c r="P123" s="412"/>
      <c r="Q123" s="1104"/>
      <c r="R123" s="413">
        <f t="shared" si="37"/>
        <v>958154</v>
      </c>
    </row>
    <row r="124" spans="1:18" ht="20.100000000000001" customHeight="1" x14ac:dyDescent="0.2">
      <c r="B124" s="411" t="s">
        <v>227</v>
      </c>
      <c r="C124" s="454">
        <v>399871</v>
      </c>
      <c r="D124" s="412"/>
      <c r="E124" s="413"/>
      <c r="F124" s="412"/>
      <c r="G124" s="413"/>
      <c r="H124" s="412">
        <v>39756.817867545062</v>
      </c>
      <c r="I124" s="413"/>
      <c r="J124" s="412"/>
      <c r="K124" s="413"/>
      <c r="L124" s="412"/>
      <c r="M124" s="413">
        <f>SUM(D124:L124)</f>
        <v>39756.817867545062</v>
      </c>
      <c r="N124" s="412"/>
      <c r="O124" s="413">
        <v>360114.16003244219</v>
      </c>
      <c r="P124" s="412"/>
      <c r="Q124" s="1104"/>
      <c r="R124" s="413">
        <f t="shared" si="37"/>
        <v>399870.97789998725</v>
      </c>
    </row>
    <row r="125" spans="1:18" ht="20.100000000000001" customHeight="1" thickBot="1" x14ac:dyDescent="0.25">
      <c r="B125" s="415" t="s">
        <v>228</v>
      </c>
      <c r="C125" s="455">
        <v>96467</v>
      </c>
      <c r="D125" s="416"/>
      <c r="E125" s="417"/>
      <c r="F125" s="416"/>
      <c r="G125" s="417"/>
      <c r="H125" s="416"/>
      <c r="I125" s="417"/>
      <c r="J125" s="418"/>
      <c r="K125" s="417"/>
      <c r="L125" s="416"/>
      <c r="M125" s="417">
        <f>SUM(D125:L125)</f>
        <v>0</v>
      </c>
      <c r="N125" s="416"/>
      <c r="O125" s="417"/>
      <c r="P125" s="416">
        <v>96467</v>
      </c>
      <c r="Q125" s="417"/>
      <c r="R125" s="417">
        <f t="shared" si="37"/>
        <v>96467</v>
      </c>
    </row>
  </sheetData>
  <sheetProtection algorithmName="SHA-512" hashValue="25HGn5z9UaCVvsQGOCij3RRHdG/4uPCZZ+/wgiiJy8dGYUSpPghnzvvZLHh47ki2C6MMRnWf8XQPESNNUyE4Ug==" saltValue="UMq5Uf7zu31hCDuK7VoL3A==" spinCount="100000" sheet="1" objects="1" scenarios="1"/>
  <mergeCells count="4">
    <mergeCell ref="B1:R1"/>
    <mergeCell ref="B67:R67"/>
    <mergeCell ref="B35:R35"/>
    <mergeCell ref="B98:R98"/>
  </mergeCells>
  <conditionalFormatting sqref="D45:R63 D13:R31 D5:R7 D9:R10">
    <cfRule type="cellIs" dxfId="32" priority="14" operator="lessThan">
      <formula>0</formula>
    </cfRule>
  </conditionalFormatting>
  <conditionalFormatting sqref="D11:P12 R11:R12">
    <cfRule type="cellIs" dxfId="31" priority="13" operator="lessThan">
      <formula>0</formula>
    </cfRule>
  </conditionalFormatting>
  <conditionalFormatting sqref="Q11:Q12">
    <cfRule type="cellIs" dxfId="30" priority="11" operator="lessThan">
      <formula>0</formula>
    </cfRule>
  </conditionalFormatting>
  <conditionalFormatting sqref="D38:P38 R38 R41:R42 D41:P42">
    <cfRule type="cellIs" dxfId="29" priority="10" operator="lessThan">
      <formula>0</formula>
    </cfRule>
  </conditionalFormatting>
  <conditionalFormatting sqref="D43:P44 R43:R44">
    <cfRule type="cellIs" dxfId="28" priority="9" operator="lessThan">
      <formula>0</formula>
    </cfRule>
  </conditionalFormatting>
  <conditionalFormatting sqref="Q38 Q41:Q42">
    <cfRule type="cellIs" dxfId="27" priority="8" operator="lessThan">
      <formula>0</formula>
    </cfRule>
  </conditionalFormatting>
  <conditionalFormatting sqref="Q43:Q44">
    <cfRule type="cellIs" dxfId="26" priority="7" operator="lessThan">
      <formula>0</formula>
    </cfRule>
  </conditionalFormatting>
  <conditionalFormatting sqref="D39:P40 R39:R40">
    <cfRule type="cellIs" dxfId="25" priority="6" operator="lessThan">
      <formula>0</formula>
    </cfRule>
  </conditionalFormatting>
  <conditionalFormatting sqref="Q39:Q40">
    <cfRule type="cellIs" dxfId="24" priority="5" operator="lessThan">
      <formula>0</formula>
    </cfRule>
  </conditionalFormatting>
  <conditionalFormatting sqref="E8:L8 N8:R8">
    <cfRule type="cellIs" dxfId="23" priority="4" operator="lessThan">
      <formula>0</formula>
    </cfRule>
  </conditionalFormatting>
  <conditionalFormatting sqref="M8">
    <cfRule type="cellIs" dxfId="22" priority="2" operator="lessThan">
      <formula>0</formula>
    </cfRule>
  </conditionalFormatting>
  <conditionalFormatting sqref="D8">
    <cfRule type="cellIs" dxfId="21" priority="3" operator="lessThan">
      <formula>0</formula>
    </cfRule>
  </conditionalFormatting>
  <conditionalFormatting sqref="D8:M8">
    <cfRule type="cellIs" dxfId="2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J62"/>
  <sheetViews>
    <sheetView zoomScale="115" zoomScaleNormal="115" workbookViewId="0">
      <selection activeCell="C11" sqref="C11"/>
    </sheetView>
  </sheetViews>
  <sheetFormatPr defaultRowHeight="15" x14ac:dyDescent="0.25"/>
  <cols>
    <col min="1" max="1" width="5.7109375" customWidth="1"/>
    <col min="2" max="2" width="27" customWidth="1"/>
    <col min="3" max="3" width="21" customWidth="1"/>
    <col min="4" max="4" width="13.5703125" customWidth="1"/>
    <col min="5" max="5" width="11.7109375" customWidth="1"/>
    <col min="6" max="6" width="17" style="528" customWidth="1"/>
    <col min="7" max="7" width="23.28515625" style="791" customWidth="1"/>
    <col min="8" max="8" width="19.28515625" customWidth="1"/>
    <col min="9" max="9" width="19.140625" customWidth="1"/>
    <col min="10" max="10" width="46.7109375" customWidth="1"/>
  </cols>
  <sheetData>
    <row r="1" spans="1:10" s="950" customFormat="1" ht="18.75" x14ac:dyDescent="0.3">
      <c r="B1" s="1301" t="s">
        <v>438</v>
      </c>
      <c r="C1" s="1301"/>
      <c r="D1" s="1301"/>
      <c r="E1" s="1301"/>
      <c r="F1" s="1301"/>
      <c r="G1" s="1301"/>
    </row>
    <row r="2" spans="1:10" ht="15.75" thickBot="1" x14ac:dyDescent="0.3">
      <c r="A2" s="950"/>
      <c r="B2" s="950"/>
      <c r="C2" s="950"/>
      <c r="D2" s="950"/>
      <c r="E2" s="950"/>
      <c r="F2" s="950"/>
      <c r="G2" s="945"/>
    </row>
    <row r="3" spans="1:10" ht="15.75" thickBot="1" x14ac:dyDescent="0.3">
      <c r="A3" s="429" t="s">
        <v>242</v>
      </c>
      <c r="B3" s="430" t="s">
        <v>243</v>
      </c>
      <c r="C3" s="430" t="s">
        <v>389</v>
      </c>
      <c r="D3" s="430" t="s">
        <v>244</v>
      </c>
      <c r="E3" s="430" t="s">
        <v>245</v>
      </c>
      <c r="F3" s="527" t="s">
        <v>273</v>
      </c>
      <c r="G3" s="970" t="s">
        <v>390</v>
      </c>
      <c r="H3" s="431" t="s">
        <v>391</v>
      </c>
    </row>
    <row r="4" spans="1:10" s="950" customFormat="1" ht="19.5" thickTop="1" x14ac:dyDescent="0.3">
      <c r="A4" s="965"/>
      <c r="B4" s="966" t="s">
        <v>396</v>
      </c>
      <c r="C4" s="967"/>
      <c r="D4" s="967"/>
      <c r="E4" s="967"/>
      <c r="F4" s="968"/>
      <c r="G4" s="969"/>
      <c r="H4" s="971"/>
    </row>
    <row r="5" spans="1:10" x14ac:dyDescent="0.25">
      <c r="A5" s="1307" t="s">
        <v>465</v>
      </c>
      <c r="B5" s="1151" t="s">
        <v>466</v>
      </c>
      <c r="C5" s="954">
        <v>1350000</v>
      </c>
      <c r="D5" s="955" t="s">
        <v>238</v>
      </c>
      <c r="E5" s="955" t="s">
        <v>256</v>
      </c>
      <c r="F5" s="956">
        <v>1437363</v>
      </c>
      <c r="G5" s="957">
        <f>C5-F5</f>
        <v>-87363</v>
      </c>
      <c r="H5" s="972"/>
    </row>
    <row r="6" spans="1:10" s="950" customFormat="1" x14ac:dyDescent="0.25">
      <c r="A6" s="1308"/>
      <c r="B6" s="1151" t="s">
        <v>467</v>
      </c>
      <c r="C6" s="954">
        <f>C5*0.352</f>
        <v>475200</v>
      </c>
      <c r="D6" s="955"/>
      <c r="E6" s="955"/>
      <c r="F6" s="956">
        <v>505952</v>
      </c>
      <c r="G6" s="957">
        <f>C6-F6</f>
        <v>-30752</v>
      </c>
      <c r="H6" s="972"/>
      <c r="J6" s="998"/>
    </row>
    <row r="7" spans="1:10" x14ac:dyDescent="0.25">
      <c r="A7" s="1308"/>
      <c r="B7" s="1152" t="s">
        <v>468</v>
      </c>
      <c r="C7" s="959">
        <v>1150000</v>
      </c>
      <c r="D7" s="958" t="s">
        <v>240</v>
      </c>
      <c r="E7" s="955" t="s">
        <v>256</v>
      </c>
      <c r="F7" s="960">
        <v>834300</v>
      </c>
      <c r="G7" s="957">
        <f t="shared" ref="G7:G10" si="0">C7-F7</f>
        <v>315700</v>
      </c>
      <c r="H7" s="972"/>
    </row>
    <row r="8" spans="1:10" x14ac:dyDescent="0.25">
      <c r="A8" s="1308"/>
      <c r="B8" s="1152" t="s">
        <v>469</v>
      </c>
      <c r="C8" s="959">
        <f>C7*0.352</f>
        <v>404800</v>
      </c>
      <c r="D8" s="958" t="s">
        <v>240</v>
      </c>
      <c r="E8" s="955" t="s">
        <v>256</v>
      </c>
      <c r="F8" s="956">
        <v>0</v>
      </c>
      <c r="G8" s="957">
        <f t="shared" si="0"/>
        <v>404800</v>
      </c>
      <c r="H8" s="972"/>
    </row>
    <row r="9" spans="1:10" s="1065" customFormat="1" x14ac:dyDescent="0.25">
      <c r="A9" s="1308"/>
      <c r="B9" s="1153" t="s">
        <v>392</v>
      </c>
      <c r="C9" s="1154">
        <f>SUM(C5:C8)</f>
        <v>3380000</v>
      </c>
      <c r="D9" s="1155"/>
      <c r="E9" s="1155"/>
      <c r="F9" s="1156">
        <f>SUM(F5:F8)</f>
        <v>2777615</v>
      </c>
      <c r="G9" s="1157">
        <f>SUM(G5:G8)</f>
        <v>602385</v>
      </c>
      <c r="H9" s="1158"/>
    </row>
    <row r="10" spans="1:10" x14ac:dyDescent="0.25">
      <c r="A10" s="1308"/>
      <c r="B10" s="1151" t="s">
        <v>372</v>
      </c>
      <c r="C10" s="954">
        <v>880000</v>
      </c>
      <c r="D10" s="955" t="s">
        <v>239</v>
      </c>
      <c r="E10" s="955" t="s">
        <v>256</v>
      </c>
      <c r="F10" s="956">
        <v>391361</v>
      </c>
      <c r="G10" s="957">
        <f t="shared" si="0"/>
        <v>488639</v>
      </c>
      <c r="H10" s="972"/>
    </row>
    <row r="11" spans="1:10" x14ac:dyDescent="0.25">
      <c r="A11" s="1308"/>
      <c r="B11" s="961"/>
      <c r="C11" s="961"/>
      <c r="D11" s="961"/>
      <c r="E11" s="961"/>
      <c r="F11" s="984"/>
      <c r="G11" s="985"/>
      <c r="H11" s="962"/>
    </row>
    <row r="12" spans="1:10" x14ac:dyDescent="0.25">
      <c r="A12" s="1308"/>
      <c r="B12" s="961"/>
      <c r="C12" s="961"/>
      <c r="D12" s="961"/>
      <c r="E12" s="961"/>
      <c r="F12" s="984"/>
      <c r="G12" s="985"/>
      <c r="H12" s="962"/>
    </row>
    <row r="13" spans="1:10" x14ac:dyDescent="0.25">
      <c r="A13" s="1308"/>
      <c r="B13" s="961"/>
      <c r="C13" s="961"/>
      <c r="D13" s="961"/>
      <c r="E13" s="961"/>
      <c r="F13" s="984"/>
      <c r="G13" s="985"/>
      <c r="H13" s="962"/>
    </row>
    <row r="14" spans="1:10" ht="15.75" thickBot="1" x14ac:dyDescent="0.3">
      <c r="A14" s="1309"/>
      <c r="B14" s="963"/>
      <c r="C14" s="963"/>
      <c r="D14" s="963"/>
      <c r="E14" s="963"/>
      <c r="F14" s="986"/>
      <c r="G14" s="987"/>
      <c r="H14" s="964"/>
    </row>
    <row r="16" spans="1:10" s="950" customFormat="1" x14ac:dyDescent="0.25">
      <c r="F16" s="528"/>
      <c r="G16" s="953"/>
    </row>
    <row r="17" spans="1:7" ht="15.75" thickBot="1" x14ac:dyDescent="0.3">
      <c r="A17" s="1302" t="s">
        <v>416</v>
      </c>
      <c r="B17" s="1302"/>
      <c r="C17" s="1302"/>
      <c r="D17" s="1302"/>
      <c r="E17" s="1302"/>
      <c r="F17" s="1302"/>
    </row>
    <row r="18" spans="1:7" ht="15.75" thickBot="1" x14ac:dyDescent="0.3">
      <c r="A18" s="419" t="s">
        <v>237</v>
      </c>
      <c r="B18" s="420" t="s">
        <v>274</v>
      </c>
      <c r="C18" s="420" t="s">
        <v>236</v>
      </c>
      <c r="D18" s="420" t="s">
        <v>243</v>
      </c>
      <c r="E18" s="951" t="s">
        <v>384</v>
      </c>
      <c r="F18" s="421" t="s">
        <v>258</v>
      </c>
    </row>
    <row r="19" spans="1:7" ht="15.75" thickTop="1" x14ac:dyDescent="0.25">
      <c r="A19" s="422" t="s">
        <v>238</v>
      </c>
      <c r="B19" s="423" t="s">
        <v>202</v>
      </c>
      <c r="C19" s="974">
        <f>'1. RD2021'!C7</f>
        <v>23429936</v>
      </c>
      <c r="D19" s="974">
        <f>SUMIFS($C$5:$C$14,$D$5:$D$14,"M",$E$5:$E$14,"&lt;&gt;")+SUMIFS('4. Aktivity'!$B$4:$B$114,'4. Aktivity'!$C$4:$C$114,"M",'4. Aktivity'!$D$4:$D$114,"&lt;&gt;")</f>
        <v>1553824</v>
      </c>
      <c r="E19" s="948">
        <f>D19/C19</f>
        <v>6.6317893484642898E-2</v>
      </c>
      <c r="F19" s="978">
        <f>C19-D19</f>
        <v>21876112</v>
      </c>
    </row>
    <row r="20" spans="1:7" x14ac:dyDescent="0.25">
      <c r="A20" s="424" t="s">
        <v>239</v>
      </c>
      <c r="B20" s="425" t="s">
        <v>204</v>
      </c>
      <c r="C20" s="975">
        <f>'1. RD2021'!C11</f>
        <v>6152772</v>
      </c>
      <c r="D20" s="974">
        <f>SUMIFS($C$5:$C$14,$D$5:$D$14,"T",$E$5:$E$14,"&lt;&gt;")+SUMIFS('4. Aktivity'!$B$4:$B$114,'4. Aktivity'!$C$4:$C$114,"T",'4. Aktivity'!$D$4:$D$114,"&lt;&gt;")</f>
        <v>1888252</v>
      </c>
      <c r="E20" s="948">
        <f t="shared" ref="E20:E23" si="1">D20/C20</f>
        <v>0.30689451843819338</v>
      </c>
      <c r="F20" s="979">
        <f>C20-D20</f>
        <v>4264520</v>
      </c>
    </row>
    <row r="21" spans="1:7" x14ac:dyDescent="0.25">
      <c r="A21" s="424" t="s">
        <v>240</v>
      </c>
      <c r="B21" s="425" t="s">
        <v>233</v>
      </c>
      <c r="C21" s="975">
        <f>'1. RD2021'!C15</f>
        <v>25131702</v>
      </c>
      <c r="D21" s="974">
        <f>SUMIFS($C$5:$C$14,$D$5:$D$14,"V",$E$5:$E$14,"&lt;&gt;")+SUMIFS('4. Aktivity'!$B$4:$B$114,'4. Aktivity'!$C$4:$C$114,"V",'4. Aktivity'!$D$4:$D$114,"&lt;&gt;")</f>
        <v>4717977</v>
      </c>
      <c r="E21" s="948">
        <f t="shared" si="1"/>
        <v>0.18773010280004115</v>
      </c>
      <c r="F21" s="979">
        <f>C21-D21</f>
        <v>20413725</v>
      </c>
    </row>
    <row r="22" spans="1:7" x14ac:dyDescent="0.25">
      <c r="A22" s="424" t="s">
        <v>63</v>
      </c>
      <c r="B22" s="426" t="s">
        <v>234</v>
      </c>
      <c r="C22" s="975">
        <v>0</v>
      </c>
      <c r="D22" s="974">
        <f>SUMIFS($C$5:$C$14,$D$5:$D$14,"R",$E$5:$E$14,"&lt;&gt;")+SUMIFS('4. Aktivity'!$B$4:$B$114,'4. Aktivity'!$C$4:$C$114,"R",'4. Aktivity'!$D$4:$D$114,"&lt;&gt;")</f>
        <v>0</v>
      </c>
      <c r="E22" s="948"/>
      <c r="F22" s="979">
        <f>C22-D22</f>
        <v>0</v>
      </c>
    </row>
    <row r="23" spans="1:7" ht="15.75" thickBot="1" x14ac:dyDescent="0.3">
      <c r="A23" s="427" t="s">
        <v>241</v>
      </c>
      <c r="B23" s="428" t="s">
        <v>235</v>
      </c>
      <c r="C23" s="976">
        <f>'1. RD2021'!C19</f>
        <v>5908557</v>
      </c>
      <c r="D23" s="977">
        <f>SUMIFS($C$5:$C$14,$D$5:$D$14,"S",$E$5:$E$14,"&lt;&gt;")+SUMIFS('4. Aktivity'!$B$4:$B$114,'4. Aktivity'!$C$4:$C$114,"S",'4. Aktivity'!$D$4:$D$114,"&lt;&gt;")</f>
        <v>124113</v>
      </c>
      <c r="E23" s="946">
        <f t="shared" si="1"/>
        <v>2.1005636401578254E-2</v>
      </c>
      <c r="F23" s="980">
        <f>C23-D23</f>
        <v>5784444</v>
      </c>
    </row>
    <row r="25" spans="1:7" s="1004" customFormat="1" x14ac:dyDescent="0.25">
      <c r="F25" s="528"/>
      <c r="G25" s="953"/>
    </row>
    <row r="26" spans="1:7" s="1004" customFormat="1" ht="15.75" thickBot="1" x14ac:dyDescent="0.3">
      <c r="A26" s="1303" t="s">
        <v>441</v>
      </c>
      <c r="B26" s="1303"/>
      <c r="C26" s="1303"/>
      <c r="D26" s="1303"/>
      <c r="E26" s="1303"/>
      <c r="F26" s="528"/>
      <c r="G26" s="953"/>
    </row>
    <row r="27" spans="1:7" s="1004" customFormat="1" ht="15.75" thickBot="1" x14ac:dyDescent="0.3">
      <c r="A27" s="1304" t="s">
        <v>465</v>
      </c>
      <c r="B27" s="1257" t="s">
        <v>429</v>
      </c>
      <c r="C27" s="1257" t="s">
        <v>430</v>
      </c>
      <c r="D27" s="1257" t="s">
        <v>431</v>
      </c>
      <c r="E27" s="1257" t="s">
        <v>384</v>
      </c>
      <c r="F27" s="1258" t="s">
        <v>498</v>
      </c>
      <c r="G27" s="953"/>
    </row>
    <row r="28" spans="1:7" s="1004" customFormat="1" x14ac:dyDescent="0.25">
      <c r="A28" s="1305"/>
      <c r="B28" s="1259" t="s">
        <v>427</v>
      </c>
      <c r="C28" s="1260">
        <f>C5+C7</f>
        <v>2500000</v>
      </c>
      <c r="D28" s="1319">
        <f>'1. RD2021'!C5</f>
        <v>69123752.502000004</v>
      </c>
      <c r="E28" s="1261">
        <f>C28/D$28</f>
        <v>3.6167017986005114E-2</v>
      </c>
      <c r="F28" s="1310">
        <v>2021</v>
      </c>
      <c r="G28" s="953"/>
    </row>
    <row r="29" spans="1:7" s="1004" customFormat="1" x14ac:dyDescent="0.25">
      <c r="A29" s="1305"/>
      <c r="B29" s="1262" t="s">
        <v>432</v>
      </c>
      <c r="C29" s="1263">
        <f>C6+C8</f>
        <v>880000</v>
      </c>
      <c r="D29" s="1320"/>
      <c r="E29" s="1264">
        <f t="shared" ref="E29:E31" si="2">C29/D$28</f>
        <v>1.2730790331073799E-2</v>
      </c>
      <c r="F29" s="1311"/>
      <c r="G29" s="953"/>
    </row>
    <row r="30" spans="1:7" s="1004" customFormat="1" x14ac:dyDescent="0.25">
      <c r="A30" s="1305"/>
      <c r="B30" s="1262" t="s">
        <v>428</v>
      </c>
      <c r="C30" s="1263">
        <f>C10</f>
        <v>880000</v>
      </c>
      <c r="D30" s="1320"/>
      <c r="E30" s="1264">
        <f t="shared" si="2"/>
        <v>1.2730790331073799E-2</v>
      </c>
      <c r="F30" s="1311"/>
      <c r="G30" s="953"/>
    </row>
    <row r="31" spans="1:7" s="1004" customFormat="1" x14ac:dyDescent="0.25">
      <c r="A31" s="1305"/>
      <c r="B31" s="1262" t="s">
        <v>448</v>
      </c>
      <c r="C31" s="1263">
        <f>'4. Aktivity'!B8+'4. Aktivity'!B13+'4. Aktivity'!B29+'4. Aktivity'!B45</f>
        <v>1814489</v>
      </c>
      <c r="D31" s="1320"/>
      <c r="E31" s="1264">
        <f t="shared" si="2"/>
        <v>2.6249862519363371E-2</v>
      </c>
      <c r="F31" s="1311"/>
      <c r="G31" s="953"/>
    </row>
    <row r="32" spans="1:7" s="1004" customFormat="1" x14ac:dyDescent="0.25">
      <c r="A32" s="1305"/>
      <c r="B32" s="1262" t="s">
        <v>449</v>
      </c>
      <c r="C32" s="1263">
        <f>'1. RD2021'!Q5</f>
        <v>2684877.03</v>
      </c>
      <c r="D32" s="1320"/>
      <c r="E32" s="1264">
        <f>C32/D$28</f>
        <v>3.884159833368879E-2</v>
      </c>
      <c r="F32" s="1311"/>
      <c r="G32" s="953"/>
    </row>
    <row r="33" spans="1:7" s="1004" customFormat="1" x14ac:dyDescent="0.25">
      <c r="A33" s="1305"/>
      <c r="B33" s="1262" t="s">
        <v>496</v>
      </c>
      <c r="C33" s="1263">
        <f>C32-'4. Aktivity'!B61</f>
        <v>1239500.0299999998</v>
      </c>
      <c r="D33" s="1320"/>
      <c r="E33" s="1264">
        <f t="shared" ref="E33:E34" si="3">C33/D$28</f>
        <v>1.7931607951465547E-2</v>
      </c>
      <c r="F33" s="1311"/>
      <c r="G33" s="953"/>
    </row>
    <row r="34" spans="1:7" s="1004" customFormat="1" x14ac:dyDescent="0.25">
      <c r="A34" s="1305"/>
      <c r="B34" s="1262" t="s">
        <v>500</v>
      </c>
      <c r="C34" s="1263">
        <f>C35-'4. Aktivity'!B61</f>
        <v>7486247.0096034463</v>
      </c>
      <c r="D34" s="1320"/>
      <c r="E34" s="1264">
        <f t="shared" si="3"/>
        <v>0.10830209209760193</v>
      </c>
      <c r="F34" s="1311"/>
      <c r="G34" s="953"/>
    </row>
    <row r="35" spans="1:7" s="1004" customFormat="1" x14ac:dyDescent="0.25">
      <c r="A35" s="1305"/>
      <c r="B35" s="1262" t="s">
        <v>501</v>
      </c>
      <c r="C35" s="1263">
        <f>'1. RD2021'!N5+'1. RD2021'!P5+'1. RD2021'!Q5</f>
        <v>8931624.0096034463</v>
      </c>
      <c r="D35" s="1320"/>
      <c r="E35" s="1264">
        <f>C35/D$28</f>
        <v>0.12921208247982519</v>
      </c>
      <c r="F35" s="1311"/>
      <c r="G35" s="953"/>
    </row>
    <row r="36" spans="1:7" s="1004" customFormat="1" x14ac:dyDescent="0.25">
      <c r="A36" s="1305"/>
      <c r="B36" s="1262" t="s">
        <v>497</v>
      </c>
      <c r="C36" s="1263">
        <f>'1. RD2021'!M5</f>
        <v>57215551.670396566</v>
      </c>
      <c r="D36" s="1321"/>
      <c r="E36" s="1264">
        <f>C36/D$28</f>
        <v>0.82772635453697496</v>
      </c>
      <c r="F36" s="1311"/>
      <c r="G36" s="953"/>
    </row>
    <row r="37" spans="1:7" s="1004" customFormat="1" ht="15.75" thickBot="1" x14ac:dyDescent="0.3">
      <c r="A37" s="1305"/>
      <c r="B37" s="1265" t="s">
        <v>499</v>
      </c>
      <c r="C37" s="1266">
        <f>'1. RD2021'!M6+'1. RD2021'!M14</f>
        <v>54421866.766841009</v>
      </c>
      <c r="D37" s="1267">
        <f>'1. RD2021'!R6+'1. RD2021'!R14</f>
        <v>63215195.862000003</v>
      </c>
      <c r="E37" s="1268">
        <f>C37/D37</f>
        <v>0.86089849164819476</v>
      </c>
      <c r="F37" s="1312"/>
      <c r="G37" s="953"/>
    </row>
    <row r="38" spans="1:7" s="1004" customFormat="1" x14ac:dyDescent="0.25">
      <c r="A38" s="1305"/>
      <c r="B38" s="1269" t="s">
        <v>501</v>
      </c>
      <c r="C38" s="1270">
        <f>'2. RD rozdiel'!C71-'2. RD rozdiel'!M71-'2. RD rozdiel'!O71</f>
        <v>6189713.3314836025</v>
      </c>
      <c r="D38" s="1322">
        <f>'2. RD rozdiel'!C71</f>
        <v>68916709</v>
      </c>
      <c r="E38" s="1271">
        <f>C38/D$38</f>
        <v>8.9814406713524322E-2</v>
      </c>
      <c r="F38" s="1313">
        <v>2020</v>
      </c>
      <c r="G38" s="953"/>
    </row>
    <row r="39" spans="1:7" s="1004" customFormat="1" x14ac:dyDescent="0.25">
      <c r="A39" s="1305"/>
      <c r="B39" s="1269" t="s">
        <v>497</v>
      </c>
      <c r="C39" s="1272">
        <f>'2. RD rozdiel'!M71</f>
        <v>59640136.668516397</v>
      </c>
      <c r="D39" s="1323"/>
      <c r="E39" s="1273">
        <f>C39/D$38</f>
        <v>0.86539443821260231</v>
      </c>
      <c r="F39" s="1314"/>
      <c r="G39" s="953"/>
    </row>
    <row r="40" spans="1:7" s="1004" customFormat="1" ht="15.75" thickBot="1" x14ac:dyDescent="0.3">
      <c r="A40" s="1305"/>
      <c r="B40" s="1274" t="s">
        <v>499</v>
      </c>
      <c r="C40" s="1275">
        <f>'2. RD rozdiel'!M72+'2. RD rozdiel'!M80</f>
        <v>56219922.668516397</v>
      </c>
      <c r="D40" s="1276">
        <f>'2. RD rozdiel'!R72+'2. RD rozdiel'!R80</f>
        <v>62281010.668516397</v>
      </c>
      <c r="E40" s="1277">
        <f>C40/D40</f>
        <v>0.90268160495565086</v>
      </c>
      <c r="F40" s="1315"/>
      <c r="G40" s="953"/>
    </row>
    <row r="41" spans="1:7" s="1004" customFormat="1" x14ac:dyDescent="0.25">
      <c r="A41" s="1305"/>
      <c r="B41" s="1278" t="s">
        <v>501</v>
      </c>
      <c r="C41" s="1279">
        <f>'2. RD rozdiel'!C102-'2. RD rozdiel'!M102-'2. RD rozdiel'!O102</f>
        <v>7476036.8723941743</v>
      </c>
      <c r="D41" s="1324">
        <f>'2. RD rozdiel'!C102</f>
        <v>59095995</v>
      </c>
      <c r="E41" s="1280">
        <f>C41/D$41</f>
        <v>0.12650665874048106</v>
      </c>
      <c r="F41" s="1316">
        <v>2019</v>
      </c>
      <c r="G41" s="953"/>
    </row>
    <row r="42" spans="1:7" s="1004" customFormat="1" x14ac:dyDescent="0.25">
      <c r="A42" s="1305"/>
      <c r="B42" s="1278" t="s">
        <v>497</v>
      </c>
      <c r="C42" s="1281">
        <f>'2. RD rozdiel'!M102</f>
        <v>48944386.589842208</v>
      </c>
      <c r="D42" s="1325"/>
      <c r="E42" s="1282">
        <f>C42/D$41</f>
        <v>0.82821833509770348</v>
      </c>
      <c r="F42" s="1317"/>
      <c r="G42" s="953"/>
    </row>
    <row r="43" spans="1:7" s="1004" customFormat="1" ht="15.75" thickBot="1" x14ac:dyDescent="0.3">
      <c r="A43" s="1306"/>
      <c r="B43" s="1283" t="s">
        <v>499</v>
      </c>
      <c r="C43" s="1284">
        <f>'2. RD rozdiel'!M103+'2. RD rozdiel'!M111</f>
        <v>45832244.712653801</v>
      </c>
      <c r="D43" s="1285">
        <f>'2. RD rozdiel'!R103+'2. RD rozdiel'!R111</f>
        <v>53127743.331626005</v>
      </c>
      <c r="E43" s="1286">
        <f>C43/D43</f>
        <v>0.86268005826196414</v>
      </c>
      <c r="F43" s="1318"/>
      <c r="G43" s="953"/>
    </row>
    <row r="44" spans="1:7" s="1004" customFormat="1" x14ac:dyDescent="0.25">
      <c r="A44" s="1254"/>
      <c r="B44" s="1255"/>
      <c r="C44" s="1256"/>
      <c r="D44" s="1020"/>
      <c r="E44" s="1021"/>
      <c r="F44" s="528"/>
      <c r="G44" s="953"/>
    </row>
    <row r="45" spans="1:7" s="1004" customFormat="1" x14ac:dyDescent="0.25">
      <c r="B45" s="1018"/>
      <c r="C45" s="1019"/>
      <c r="D45" s="1020"/>
      <c r="E45" s="1021"/>
      <c r="F45" s="528"/>
      <c r="G45" s="953"/>
    </row>
    <row r="46" spans="1:7" s="1004" customFormat="1" x14ac:dyDescent="0.25">
      <c r="F46" s="528"/>
      <c r="G46" s="953"/>
    </row>
    <row r="47" spans="1:7" s="950" customFormat="1" x14ac:dyDescent="0.25">
      <c r="F47" s="528"/>
      <c r="G47" s="953"/>
    </row>
    <row r="48" spans="1:7" ht="15.75" thickBot="1" x14ac:dyDescent="0.3">
      <c r="A48" s="1302" t="s">
        <v>416</v>
      </c>
      <c r="B48" s="1302"/>
      <c r="C48" s="1302"/>
    </row>
    <row r="49" spans="1:7" ht="15.75" thickBot="1" x14ac:dyDescent="0.3">
      <c r="A49" s="989" t="s">
        <v>237</v>
      </c>
      <c r="B49" s="1297" t="s">
        <v>245</v>
      </c>
      <c r="C49" s="1298"/>
    </row>
    <row r="50" spans="1:7" ht="15.75" thickTop="1" x14ac:dyDescent="0.25">
      <c r="A50" s="952" t="s">
        <v>247</v>
      </c>
      <c r="B50" s="1299" t="s">
        <v>6</v>
      </c>
      <c r="C50" s="1300"/>
    </row>
    <row r="51" spans="1:7" x14ac:dyDescent="0.25">
      <c r="A51" s="988" t="s">
        <v>248</v>
      </c>
      <c r="B51" s="1291" t="s">
        <v>3</v>
      </c>
      <c r="C51" s="1292"/>
    </row>
    <row r="52" spans="1:7" x14ac:dyDescent="0.25">
      <c r="A52" s="988" t="s">
        <v>249</v>
      </c>
      <c r="B52" s="1291" t="s">
        <v>5</v>
      </c>
      <c r="C52" s="1292"/>
    </row>
    <row r="53" spans="1:7" x14ac:dyDescent="0.25">
      <c r="A53" s="988" t="s">
        <v>250</v>
      </c>
      <c r="B53" s="1291" t="s">
        <v>7</v>
      </c>
      <c r="C53" s="1292"/>
    </row>
    <row r="54" spans="1:7" x14ac:dyDescent="0.25">
      <c r="A54" s="988" t="s">
        <v>251</v>
      </c>
      <c r="B54" s="1291" t="s">
        <v>0</v>
      </c>
      <c r="C54" s="1292"/>
    </row>
    <row r="55" spans="1:7" x14ac:dyDescent="0.25">
      <c r="A55" s="988" t="s">
        <v>252</v>
      </c>
      <c r="B55" s="1291" t="s">
        <v>1</v>
      </c>
      <c r="C55" s="1292"/>
    </row>
    <row r="56" spans="1:7" x14ac:dyDescent="0.25">
      <c r="A56" s="988" t="s">
        <v>253</v>
      </c>
      <c r="B56" s="1291" t="s">
        <v>4</v>
      </c>
      <c r="C56" s="1292"/>
    </row>
    <row r="57" spans="1:7" x14ac:dyDescent="0.25">
      <c r="A57" s="988" t="s">
        <v>254</v>
      </c>
      <c r="B57" s="1291" t="s">
        <v>17</v>
      </c>
      <c r="C57" s="1292"/>
    </row>
    <row r="58" spans="1:7" x14ac:dyDescent="0.25">
      <c r="A58" s="988" t="s">
        <v>255</v>
      </c>
      <c r="B58" s="1291" t="s">
        <v>205</v>
      </c>
      <c r="C58" s="1292"/>
    </row>
    <row r="59" spans="1:7" x14ac:dyDescent="0.25">
      <c r="A59" s="988" t="s">
        <v>256</v>
      </c>
      <c r="B59" s="1291" t="s">
        <v>64</v>
      </c>
      <c r="C59" s="1292"/>
    </row>
    <row r="60" spans="1:7" x14ac:dyDescent="0.25">
      <c r="A60" s="988" t="s">
        <v>257</v>
      </c>
      <c r="B60" s="1291" t="s">
        <v>209</v>
      </c>
      <c r="C60" s="1292"/>
    </row>
    <row r="61" spans="1:7" s="1004" customFormat="1" x14ac:dyDescent="0.25">
      <c r="A61" s="988" t="s">
        <v>414</v>
      </c>
      <c r="B61" s="1295" t="s">
        <v>448</v>
      </c>
      <c r="C61" s="1296"/>
      <c r="F61" s="528"/>
      <c r="G61" s="953"/>
    </row>
    <row r="62" spans="1:7" ht="15.75" thickBot="1" x14ac:dyDescent="0.3">
      <c r="A62" s="1101" t="s">
        <v>451</v>
      </c>
      <c r="B62" s="1293" t="s">
        <v>449</v>
      </c>
      <c r="C62" s="1294"/>
    </row>
  </sheetData>
  <sheetProtection algorithmName="SHA-512" hashValue="Anh5bDNoYXLHXYTcTeqslUFkpZ3BSmynja2cC8vci1Pm3p5A9HdSeJX1hDBY7pO57Zdfj+l/ppfGQo1AKSVGKQ==" saltValue="tkgb/c46ZM38yh7ymMRfZw==" spinCount="100000" sheet="1" objects="1" scenarios="1"/>
  <mergeCells count="26">
    <mergeCell ref="B1:G1"/>
    <mergeCell ref="A17:F17"/>
    <mergeCell ref="A48:C48"/>
    <mergeCell ref="B54:C54"/>
    <mergeCell ref="A26:E26"/>
    <mergeCell ref="A27:A43"/>
    <mergeCell ref="A5:A14"/>
    <mergeCell ref="F28:F37"/>
    <mergeCell ref="F38:F40"/>
    <mergeCell ref="F41:F43"/>
    <mergeCell ref="D28:D36"/>
    <mergeCell ref="D38:D39"/>
    <mergeCell ref="D41:D42"/>
    <mergeCell ref="B55:C55"/>
    <mergeCell ref="B49:C49"/>
    <mergeCell ref="B50:C50"/>
    <mergeCell ref="B51:C51"/>
    <mergeCell ref="B52:C52"/>
    <mergeCell ref="B53:C53"/>
    <mergeCell ref="B59:C59"/>
    <mergeCell ref="B60:C60"/>
    <mergeCell ref="B62:C62"/>
    <mergeCell ref="B56:C56"/>
    <mergeCell ref="B57:C57"/>
    <mergeCell ref="B58:C58"/>
    <mergeCell ref="B61:C61"/>
  </mergeCells>
  <conditionalFormatting sqref="G5:G10">
    <cfRule type="cellIs" dxfId="19" priority="4" operator="greaterThan">
      <formula>0</formula>
    </cfRule>
  </conditionalFormatting>
  <conditionalFormatting sqref="G4:G10">
    <cfRule type="cellIs" dxfId="18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H114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40" sqref="B40"/>
    </sheetView>
  </sheetViews>
  <sheetFormatPr defaultRowHeight="15" x14ac:dyDescent="0.25"/>
  <cols>
    <col min="1" max="1" width="39.140625" customWidth="1"/>
    <col min="2" max="2" width="16.42578125" customWidth="1"/>
    <col min="3" max="3" width="12.42578125" customWidth="1"/>
    <col min="4" max="4" width="11.140625" customWidth="1"/>
    <col min="5" max="5" width="13.28515625" customWidth="1"/>
    <col min="6" max="7" width="17.85546875" customWidth="1"/>
    <col min="8" max="8" width="85.140625" style="983" customWidth="1"/>
  </cols>
  <sheetData>
    <row r="1" spans="1:8" s="950" customFormat="1" ht="25.5" customHeight="1" x14ac:dyDescent="0.35">
      <c r="A1" s="1332" t="s">
        <v>471</v>
      </c>
      <c r="B1" s="1332"/>
      <c r="C1" s="1332"/>
      <c r="D1" s="1332"/>
      <c r="E1" s="1332"/>
      <c r="F1" s="1332"/>
      <c r="G1" s="1332"/>
      <c r="H1" s="983"/>
    </row>
    <row r="2" spans="1:8" s="950" customFormat="1" ht="15.75" thickBot="1" x14ac:dyDescent="0.3">
      <c r="H2" s="983"/>
    </row>
    <row r="3" spans="1:8" ht="15.75" thickBot="1" x14ac:dyDescent="0.3">
      <c r="A3" s="1023" t="s">
        <v>243</v>
      </c>
      <c r="B3" s="1037" t="s">
        <v>389</v>
      </c>
      <c r="C3" s="1030" t="s">
        <v>244</v>
      </c>
      <c r="D3" s="991" t="s">
        <v>245</v>
      </c>
      <c r="E3" s="1044" t="s">
        <v>273</v>
      </c>
      <c r="F3" s="1057" t="s">
        <v>390</v>
      </c>
      <c r="G3" s="1030" t="s">
        <v>391</v>
      </c>
      <c r="H3" s="991" t="s">
        <v>399</v>
      </c>
    </row>
    <row r="4" spans="1:8" ht="19.5" thickTop="1" x14ac:dyDescent="0.25">
      <c r="A4" s="1326" t="s">
        <v>472</v>
      </c>
      <c r="B4" s="1327"/>
      <c r="C4" s="1327"/>
      <c r="D4" s="1327"/>
      <c r="E4" s="1327"/>
      <c r="F4" s="1327"/>
      <c r="G4" s="1328"/>
      <c r="H4" s="990"/>
    </row>
    <row r="5" spans="1:8" x14ac:dyDescent="0.25">
      <c r="A5" s="1139" t="s">
        <v>402</v>
      </c>
      <c r="B5" s="1038">
        <v>59226</v>
      </c>
      <c r="C5" s="1031" t="s">
        <v>241</v>
      </c>
      <c r="D5" s="955" t="s">
        <v>414</v>
      </c>
      <c r="E5" s="1045">
        <v>55424</v>
      </c>
      <c r="F5" s="1058">
        <f>B5-E5</f>
        <v>3802</v>
      </c>
      <c r="G5" s="1051"/>
      <c r="H5" s="981"/>
    </row>
    <row r="6" spans="1:8" s="1004" customFormat="1" x14ac:dyDescent="0.25">
      <c r="A6" s="1140" t="s">
        <v>443</v>
      </c>
      <c r="B6" s="1039">
        <v>44887</v>
      </c>
      <c r="C6" s="1032" t="s">
        <v>241</v>
      </c>
      <c r="D6" s="996" t="s">
        <v>414</v>
      </c>
      <c r="E6" s="1045">
        <v>68830</v>
      </c>
      <c r="F6" s="1058">
        <f>B6-E6</f>
        <v>-23943</v>
      </c>
      <c r="G6" s="1052"/>
      <c r="H6" s="1084"/>
    </row>
    <row r="7" spans="1:8" s="950" customFormat="1" x14ac:dyDescent="0.25">
      <c r="A7" s="1024"/>
      <c r="B7" s="1039"/>
      <c r="C7" s="1032"/>
      <c r="D7" s="996"/>
      <c r="E7" s="1046"/>
      <c r="F7" s="1058">
        <f>B7-E7</f>
        <v>0</v>
      </c>
      <c r="G7" s="1052"/>
      <c r="H7" s="997"/>
    </row>
    <row r="8" spans="1:8" ht="15.75" thickBot="1" x14ac:dyDescent="0.3">
      <c r="A8" s="1143" t="s">
        <v>457</v>
      </c>
      <c r="B8" s="1040">
        <f>SUM(B5:B7)</f>
        <v>104113</v>
      </c>
      <c r="C8" s="1033"/>
      <c r="D8" s="992"/>
      <c r="E8" s="1047">
        <f t="shared" ref="E8:F8" si="0">SUM(E5:E7)</f>
        <v>124254</v>
      </c>
      <c r="F8" s="1059">
        <f t="shared" si="0"/>
        <v>-20141</v>
      </c>
      <c r="G8" s="1053"/>
      <c r="H8" s="995"/>
    </row>
    <row r="9" spans="1:8" ht="19.5" thickTop="1" x14ac:dyDescent="0.25">
      <c r="A9" s="1326" t="s">
        <v>393</v>
      </c>
      <c r="B9" s="1327"/>
      <c r="C9" s="1327"/>
      <c r="D9" s="1327"/>
      <c r="E9" s="1327"/>
      <c r="F9" s="1327"/>
      <c r="G9" s="1328"/>
      <c r="H9" s="990"/>
    </row>
    <row r="10" spans="1:8" ht="24" customHeight="1" x14ac:dyDescent="0.25">
      <c r="A10" s="1141" t="s">
        <v>417</v>
      </c>
      <c r="B10" s="1038">
        <v>38000</v>
      </c>
      <c r="C10" s="1163" t="s">
        <v>239</v>
      </c>
      <c r="D10" s="1164" t="s">
        <v>414</v>
      </c>
      <c r="E10" s="1132">
        <v>25000</v>
      </c>
      <c r="F10" s="1133">
        <f t="shared" ref="F10:F79" si="1">B10-E10</f>
        <v>13000</v>
      </c>
      <c r="G10" s="1162">
        <v>41150</v>
      </c>
      <c r="H10" s="981"/>
    </row>
    <row r="11" spans="1:8" s="950" customFormat="1" x14ac:dyDescent="0.25">
      <c r="A11" s="1141" t="s">
        <v>405</v>
      </c>
      <c r="B11" s="1038">
        <v>150000</v>
      </c>
      <c r="C11" s="1031" t="s">
        <v>239</v>
      </c>
      <c r="D11" s="955" t="s">
        <v>414</v>
      </c>
      <c r="E11" s="1045">
        <v>0</v>
      </c>
      <c r="F11" s="1058">
        <f t="shared" ref="F11:F12" si="2">B11-E11</f>
        <v>150000</v>
      </c>
      <c r="G11" s="1054">
        <v>150000</v>
      </c>
      <c r="H11" s="981"/>
    </row>
    <row r="12" spans="1:8" s="950" customFormat="1" x14ac:dyDescent="0.25">
      <c r="A12" s="1025"/>
      <c r="B12" s="1038"/>
      <c r="C12" s="1031"/>
      <c r="D12" s="955"/>
      <c r="E12" s="1045"/>
      <c r="F12" s="1058">
        <f t="shared" si="2"/>
        <v>0</v>
      </c>
      <c r="G12" s="1054"/>
      <c r="H12" s="981"/>
    </row>
    <row r="13" spans="1:8" s="1096" customFormat="1" ht="15.75" thickBot="1" x14ac:dyDescent="0.3">
      <c r="A13" s="1144" t="s">
        <v>458</v>
      </c>
      <c r="B13" s="1040">
        <f>SUM(B10:B12)</f>
        <v>188000</v>
      </c>
      <c r="C13" s="1033"/>
      <c r="D13" s="992"/>
      <c r="E13" s="1047">
        <f t="shared" ref="E13:G13" si="3">SUM(E10:E12)</f>
        <v>25000</v>
      </c>
      <c r="F13" s="1059">
        <f t="shared" si="3"/>
        <v>163000</v>
      </c>
      <c r="G13" s="1055">
        <f t="shared" si="3"/>
        <v>191150</v>
      </c>
      <c r="H13" s="995"/>
    </row>
    <row r="14" spans="1:8" ht="19.5" thickTop="1" x14ac:dyDescent="0.25">
      <c r="A14" s="1326" t="s">
        <v>394</v>
      </c>
      <c r="B14" s="1327"/>
      <c r="C14" s="1327"/>
      <c r="D14" s="1327"/>
      <c r="E14" s="1327"/>
      <c r="F14" s="1327"/>
      <c r="G14" s="1328"/>
      <c r="H14" s="990"/>
    </row>
    <row r="15" spans="1:8" x14ac:dyDescent="0.25">
      <c r="A15" s="1139" t="s">
        <v>373</v>
      </c>
      <c r="B15" s="1038">
        <v>494252</v>
      </c>
      <c r="C15" s="1031" t="s">
        <v>239</v>
      </c>
      <c r="D15" s="955" t="s">
        <v>414</v>
      </c>
      <c r="E15" s="1045">
        <v>509684</v>
      </c>
      <c r="F15" s="1058">
        <f t="shared" si="1"/>
        <v>-15432</v>
      </c>
      <c r="G15" s="1054">
        <v>494252</v>
      </c>
      <c r="H15" s="981"/>
    </row>
    <row r="16" spans="1:8" x14ac:dyDescent="0.25">
      <c r="A16" s="1139" t="s">
        <v>386</v>
      </c>
      <c r="B16" s="1038">
        <v>113460</v>
      </c>
      <c r="C16" s="1031" t="s">
        <v>240</v>
      </c>
      <c r="D16" s="955" t="s">
        <v>414</v>
      </c>
      <c r="E16" s="1045">
        <v>105000</v>
      </c>
      <c r="F16" s="1058">
        <f t="shared" si="1"/>
        <v>8460</v>
      </c>
      <c r="G16" s="1054">
        <v>113460</v>
      </c>
      <c r="H16" s="981"/>
    </row>
    <row r="17" spans="1:8" x14ac:dyDescent="0.25">
      <c r="A17" s="1139" t="s">
        <v>374</v>
      </c>
      <c r="B17" s="1038">
        <v>150000</v>
      </c>
      <c r="C17" s="1031" t="s">
        <v>240</v>
      </c>
      <c r="D17" s="955" t="s">
        <v>414</v>
      </c>
      <c r="E17" s="1045">
        <v>100000</v>
      </c>
      <c r="F17" s="1058">
        <f t="shared" si="1"/>
        <v>50000</v>
      </c>
      <c r="G17" s="1054">
        <v>193700</v>
      </c>
      <c r="H17" s="981"/>
    </row>
    <row r="18" spans="1:8" x14ac:dyDescent="0.25">
      <c r="A18" s="1139" t="s">
        <v>375</v>
      </c>
      <c r="B18" s="1038">
        <v>25000</v>
      </c>
      <c r="C18" s="1031" t="s">
        <v>240</v>
      </c>
      <c r="D18" s="955" t="s">
        <v>414</v>
      </c>
      <c r="E18" s="1045">
        <v>10000</v>
      </c>
      <c r="F18" s="1058">
        <f t="shared" si="1"/>
        <v>15000</v>
      </c>
      <c r="G18" s="1054">
        <v>25000</v>
      </c>
      <c r="H18" s="981"/>
    </row>
    <row r="19" spans="1:8" x14ac:dyDescent="0.25">
      <c r="A19" s="1139" t="s">
        <v>406</v>
      </c>
      <c r="B19" s="1041">
        <v>60000</v>
      </c>
      <c r="C19" s="1031" t="s">
        <v>238</v>
      </c>
      <c r="D19" s="955" t="s">
        <v>414</v>
      </c>
      <c r="E19" s="1333">
        <v>117600</v>
      </c>
      <c r="F19" s="1334">
        <f t="shared" si="1"/>
        <v>-57600</v>
      </c>
      <c r="G19" s="1335">
        <v>150000</v>
      </c>
      <c r="H19" s="981"/>
    </row>
    <row r="20" spans="1:8" x14ac:dyDescent="0.25">
      <c r="A20" s="1139" t="s">
        <v>406</v>
      </c>
      <c r="B20" s="1041">
        <v>14400</v>
      </c>
      <c r="C20" s="1031" t="s">
        <v>238</v>
      </c>
      <c r="D20" s="955" t="s">
        <v>248</v>
      </c>
      <c r="E20" s="1333"/>
      <c r="F20" s="1334"/>
      <c r="G20" s="1335"/>
      <c r="H20" s="981"/>
    </row>
    <row r="21" spans="1:8" x14ac:dyDescent="0.25">
      <c r="A21" s="1139" t="s">
        <v>406</v>
      </c>
      <c r="B21" s="1041">
        <v>14400</v>
      </c>
      <c r="C21" s="1031" t="s">
        <v>238</v>
      </c>
      <c r="D21" s="955" t="s">
        <v>250</v>
      </c>
      <c r="E21" s="1333"/>
      <c r="F21" s="1334"/>
      <c r="G21" s="1335"/>
      <c r="H21" s="981"/>
    </row>
    <row r="22" spans="1:8" x14ac:dyDescent="0.25">
      <c r="A22" s="1139" t="s">
        <v>406</v>
      </c>
      <c r="B22" s="1041">
        <v>14400</v>
      </c>
      <c r="C22" s="1031" t="s">
        <v>238</v>
      </c>
      <c r="D22" s="955" t="s">
        <v>253</v>
      </c>
      <c r="E22" s="1333"/>
      <c r="F22" s="1334"/>
      <c r="G22" s="1335"/>
      <c r="H22" s="981"/>
    </row>
    <row r="23" spans="1:8" x14ac:dyDescent="0.25">
      <c r="A23" s="1139" t="s">
        <v>406</v>
      </c>
      <c r="B23" s="1041">
        <v>14400</v>
      </c>
      <c r="C23" s="1031" t="s">
        <v>238</v>
      </c>
      <c r="D23" s="955" t="s">
        <v>251</v>
      </c>
      <c r="E23" s="1333"/>
      <c r="F23" s="1334"/>
      <c r="G23" s="1335"/>
      <c r="H23" s="981"/>
    </row>
    <row r="24" spans="1:8" x14ac:dyDescent="0.25">
      <c r="A24" s="1139" t="s">
        <v>407</v>
      </c>
      <c r="B24" s="1041">
        <v>16224</v>
      </c>
      <c r="C24" s="1031" t="s">
        <v>238</v>
      </c>
      <c r="D24" s="955" t="s">
        <v>414</v>
      </c>
      <c r="E24" s="1045">
        <v>14602</v>
      </c>
      <c r="F24" s="1058">
        <f t="shared" si="1"/>
        <v>1622</v>
      </c>
      <c r="G24" s="1054">
        <v>16224</v>
      </c>
      <c r="H24" s="981"/>
    </row>
    <row r="25" spans="1:8" x14ac:dyDescent="0.25">
      <c r="A25" s="1139" t="s">
        <v>376</v>
      </c>
      <c r="B25" s="1038">
        <v>4000</v>
      </c>
      <c r="C25" s="1031" t="s">
        <v>239</v>
      </c>
      <c r="D25" s="955" t="s">
        <v>414</v>
      </c>
      <c r="E25" s="1045">
        <v>35000</v>
      </c>
      <c r="F25" s="1058">
        <f t="shared" si="1"/>
        <v>-31000</v>
      </c>
      <c r="G25" s="1054">
        <v>4000</v>
      </c>
      <c r="H25" s="981"/>
    </row>
    <row r="26" spans="1:8" ht="24" customHeight="1" x14ac:dyDescent="0.25">
      <c r="A26" s="1139" t="s">
        <v>398</v>
      </c>
      <c r="B26" s="1038">
        <v>150020</v>
      </c>
      <c r="C26" s="1163" t="s">
        <v>240</v>
      </c>
      <c r="D26" s="1164" t="s">
        <v>414</v>
      </c>
      <c r="E26" s="1132">
        <v>247174</v>
      </c>
      <c r="F26" s="1133">
        <f t="shared" si="1"/>
        <v>-97154</v>
      </c>
      <c r="G26" s="1162">
        <v>150020</v>
      </c>
      <c r="H26" s="982" t="s">
        <v>400</v>
      </c>
    </row>
    <row r="27" spans="1:8" ht="24" customHeight="1" x14ac:dyDescent="0.25">
      <c r="A27" s="1139" t="s">
        <v>377</v>
      </c>
      <c r="B27" s="1042">
        <v>23820</v>
      </c>
      <c r="C27" s="1163" t="s">
        <v>240</v>
      </c>
      <c r="D27" s="1164" t="s">
        <v>414</v>
      </c>
      <c r="E27" s="1132">
        <v>0</v>
      </c>
      <c r="F27" s="1133">
        <f t="shared" si="1"/>
        <v>23820</v>
      </c>
      <c r="G27" s="1162">
        <v>23820</v>
      </c>
      <c r="H27" s="982" t="s">
        <v>400</v>
      </c>
    </row>
    <row r="28" spans="1:8" s="950" customFormat="1" x14ac:dyDescent="0.25">
      <c r="A28" s="1027"/>
      <c r="B28" s="1042"/>
      <c r="C28" s="1031"/>
      <c r="D28" s="955"/>
      <c r="E28" s="1045"/>
      <c r="F28" s="1058">
        <f t="shared" si="1"/>
        <v>0</v>
      </c>
      <c r="G28" s="1054"/>
      <c r="H28" s="981"/>
    </row>
    <row r="29" spans="1:8" ht="15.75" thickBot="1" x14ac:dyDescent="0.3">
      <c r="A29" s="1145" t="s">
        <v>470</v>
      </c>
      <c r="B29" s="1040">
        <f>SUM(B15:B28)</f>
        <v>1094376</v>
      </c>
      <c r="C29" s="1033"/>
      <c r="D29" s="992"/>
      <c r="E29" s="1047">
        <f t="shared" ref="E29:G29" si="4">SUM(E15:E28)</f>
        <v>1139060</v>
      </c>
      <c r="F29" s="1099">
        <f t="shared" si="4"/>
        <v>-102284</v>
      </c>
      <c r="G29" s="1055">
        <f t="shared" si="4"/>
        <v>1170476</v>
      </c>
      <c r="H29" s="995"/>
    </row>
    <row r="30" spans="1:8" ht="20.25" thickTop="1" thickBot="1" x14ac:dyDescent="0.3">
      <c r="A30" s="1329" t="s">
        <v>446</v>
      </c>
      <c r="B30" s="1330"/>
      <c r="C30" s="1330"/>
      <c r="D30" s="1330"/>
      <c r="E30" s="1330"/>
      <c r="F30" s="1330"/>
      <c r="G30" s="1331"/>
      <c r="H30" s="990"/>
    </row>
    <row r="31" spans="1:8" x14ac:dyDescent="0.25">
      <c r="A31" s="1139" t="s">
        <v>378</v>
      </c>
      <c r="B31" s="1042">
        <v>70000</v>
      </c>
      <c r="C31" s="1031" t="s">
        <v>238</v>
      </c>
      <c r="D31" s="955" t="s">
        <v>414</v>
      </c>
      <c r="E31" s="1045">
        <v>131600</v>
      </c>
      <c r="F31" s="1064">
        <f t="shared" si="1"/>
        <v>-61600</v>
      </c>
      <c r="G31" s="1054">
        <v>126000</v>
      </c>
      <c r="H31" s="981" t="s">
        <v>401</v>
      </c>
    </row>
    <row r="32" spans="1:8" x14ac:dyDescent="0.25">
      <c r="A32" s="1139" t="s">
        <v>418</v>
      </c>
      <c r="B32" s="1038">
        <v>5000</v>
      </c>
      <c r="C32" s="1031" t="s">
        <v>239</v>
      </c>
      <c r="D32" s="955" t="s">
        <v>414</v>
      </c>
      <c r="E32" s="1045">
        <v>5000</v>
      </c>
      <c r="F32" s="1058">
        <f t="shared" si="1"/>
        <v>0</v>
      </c>
      <c r="G32" s="1054">
        <v>5000</v>
      </c>
      <c r="H32" s="981"/>
    </row>
    <row r="33" spans="1:8" s="1004" customFormat="1" x14ac:dyDescent="0.25">
      <c r="A33" s="1139" t="s">
        <v>455</v>
      </c>
      <c r="B33" s="1038">
        <v>16000</v>
      </c>
      <c r="C33" s="1031" t="s">
        <v>239</v>
      </c>
      <c r="D33" s="1015" t="s">
        <v>414</v>
      </c>
      <c r="E33" s="1045">
        <v>0</v>
      </c>
      <c r="F33" s="1058">
        <f t="shared" si="1"/>
        <v>16000</v>
      </c>
      <c r="G33" s="1054">
        <v>16000</v>
      </c>
      <c r="H33" s="1134"/>
    </row>
    <row r="34" spans="1:8" s="950" customFormat="1" x14ac:dyDescent="0.25">
      <c r="A34" s="1139" t="s">
        <v>419</v>
      </c>
      <c r="B34" s="1038">
        <v>12000</v>
      </c>
      <c r="C34" s="1031" t="s">
        <v>240</v>
      </c>
      <c r="D34" s="955" t="s">
        <v>414</v>
      </c>
      <c r="E34" s="1045">
        <v>0</v>
      </c>
      <c r="F34" s="1058">
        <f t="shared" si="1"/>
        <v>12000</v>
      </c>
      <c r="G34" s="1054">
        <v>20000</v>
      </c>
      <c r="H34" s="981" t="s">
        <v>433</v>
      </c>
    </row>
    <row r="35" spans="1:8" s="950" customFormat="1" x14ac:dyDescent="0.25">
      <c r="A35" s="1139" t="s">
        <v>420</v>
      </c>
      <c r="B35" s="1038">
        <v>9000</v>
      </c>
      <c r="C35" s="1031" t="s">
        <v>240</v>
      </c>
      <c r="D35" s="955" t="s">
        <v>414</v>
      </c>
      <c r="E35" s="1045">
        <v>0</v>
      </c>
      <c r="F35" s="1058">
        <f t="shared" si="1"/>
        <v>9000</v>
      </c>
      <c r="G35" s="1054">
        <v>15000</v>
      </c>
      <c r="H35" s="981" t="s">
        <v>445</v>
      </c>
    </row>
    <row r="36" spans="1:8" x14ac:dyDescent="0.25">
      <c r="A36" s="1139" t="s">
        <v>421</v>
      </c>
      <c r="B36" s="1038">
        <v>40000</v>
      </c>
      <c r="C36" s="1031" t="s">
        <v>239</v>
      </c>
      <c r="D36" s="955" t="s">
        <v>414</v>
      </c>
      <c r="E36" s="1045">
        <v>80000</v>
      </c>
      <c r="F36" s="1058">
        <f t="shared" si="1"/>
        <v>-40000</v>
      </c>
      <c r="G36" s="1054">
        <v>80000</v>
      </c>
      <c r="H36" s="981"/>
    </row>
    <row r="37" spans="1:8" x14ac:dyDescent="0.25">
      <c r="A37" s="1139" t="s">
        <v>422</v>
      </c>
      <c r="B37" s="1038">
        <v>140000</v>
      </c>
      <c r="C37" s="1031" t="s">
        <v>239</v>
      </c>
      <c r="D37" s="955" t="s">
        <v>414</v>
      </c>
      <c r="E37" s="1045">
        <v>110000</v>
      </c>
      <c r="F37" s="1058">
        <f t="shared" si="1"/>
        <v>30000</v>
      </c>
      <c r="G37" s="1054">
        <v>183700</v>
      </c>
      <c r="H37" s="981"/>
    </row>
    <row r="38" spans="1:8" x14ac:dyDescent="0.25">
      <c r="A38" s="1139" t="s">
        <v>423</v>
      </c>
      <c r="B38" s="1038">
        <v>26000</v>
      </c>
      <c r="C38" s="1031" t="s">
        <v>239</v>
      </c>
      <c r="D38" s="955" t="s">
        <v>414</v>
      </c>
      <c r="E38" s="1045">
        <v>27000</v>
      </c>
      <c r="F38" s="1058">
        <f t="shared" si="1"/>
        <v>-1000</v>
      </c>
      <c r="G38" s="1054">
        <v>50000</v>
      </c>
      <c r="H38" s="981"/>
    </row>
    <row r="39" spans="1:8" x14ac:dyDescent="0.25">
      <c r="A39" s="1139" t="s">
        <v>380</v>
      </c>
      <c r="B39" s="1038">
        <v>0</v>
      </c>
      <c r="C39" s="1034" t="s">
        <v>238</v>
      </c>
      <c r="D39" s="955" t="s">
        <v>414</v>
      </c>
      <c r="E39" s="1045">
        <v>68830</v>
      </c>
      <c r="F39" s="1058">
        <f t="shared" si="1"/>
        <v>-68830</v>
      </c>
      <c r="G39" s="1054">
        <v>10000</v>
      </c>
      <c r="H39" s="981"/>
    </row>
    <row r="40" spans="1:8" s="1004" customFormat="1" x14ac:dyDescent="0.25">
      <c r="A40" s="1139" t="s">
        <v>379</v>
      </c>
      <c r="B40" s="1038">
        <v>15000</v>
      </c>
      <c r="C40" s="1031" t="s">
        <v>239</v>
      </c>
      <c r="D40" s="955" t="s">
        <v>414</v>
      </c>
      <c r="E40" s="1045">
        <v>29000</v>
      </c>
      <c r="F40" s="1058">
        <f t="shared" si="1"/>
        <v>-14000</v>
      </c>
      <c r="G40" s="1054">
        <v>30000</v>
      </c>
      <c r="H40" s="1134"/>
    </row>
    <row r="41" spans="1:8" x14ac:dyDescent="0.25">
      <c r="A41" s="1139" t="s">
        <v>381</v>
      </c>
      <c r="B41" s="1038">
        <v>85500</v>
      </c>
      <c r="C41" s="1034" t="s">
        <v>240</v>
      </c>
      <c r="D41" s="955" t="s">
        <v>414</v>
      </c>
      <c r="E41" s="1045">
        <v>126000</v>
      </c>
      <c r="F41" s="1058">
        <f t="shared" si="1"/>
        <v>-40500</v>
      </c>
      <c r="G41" s="1054">
        <v>85500</v>
      </c>
      <c r="H41" s="981"/>
    </row>
    <row r="42" spans="1:8" x14ac:dyDescent="0.25">
      <c r="A42" s="1139" t="s">
        <v>382</v>
      </c>
      <c r="B42" s="1038">
        <v>9500</v>
      </c>
      <c r="C42" s="1034" t="s">
        <v>240</v>
      </c>
      <c r="D42" s="955" t="s">
        <v>414</v>
      </c>
      <c r="E42" s="1045">
        <v>80000</v>
      </c>
      <c r="F42" s="1058">
        <f t="shared" si="1"/>
        <v>-70500</v>
      </c>
      <c r="G42" s="1061">
        <v>9395.6</v>
      </c>
      <c r="H42" s="981"/>
    </row>
    <row r="43" spans="1:8" x14ac:dyDescent="0.25">
      <c r="A43" s="1150" t="s">
        <v>462</v>
      </c>
      <c r="B43" s="1146"/>
      <c r="C43" s="1147"/>
      <c r="D43" s="1148"/>
      <c r="E43" s="1048"/>
      <c r="F43" s="1149">
        <f t="shared" si="1"/>
        <v>0</v>
      </c>
      <c r="G43" s="1146">
        <v>36000</v>
      </c>
      <c r="H43" s="1060" t="s">
        <v>437</v>
      </c>
    </row>
    <row r="44" spans="1:8" s="950" customFormat="1" x14ac:dyDescent="0.25">
      <c r="A44" s="1028"/>
      <c r="B44" s="1038"/>
      <c r="C44" s="1034"/>
      <c r="D44" s="958"/>
      <c r="E44" s="1048"/>
      <c r="F44" s="1058">
        <f t="shared" si="1"/>
        <v>0</v>
      </c>
      <c r="G44" s="1063"/>
      <c r="H44" s="981"/>
    </row>
    <row r="45" spans="1:8" ht="15.75" thickBot="1" x14ac:dyDescent="0.3">
      <c r="A45" s="1029" t="s">
        <v>459</v>
      </c>
      <c r="B45" s="1040">
        <f>SUM(B31:B44)</f>
        <v>428000</v>
      </c>
      <c r="C45" s="1035"/>
      <c r="D45" s="993"/>
      <c r="E45" s="1049">
        <f>SUM(E31:E44)</f>
        <v>657430</v>
      </c>
      <c r="F45" s="1098">
        <f>SUM(F31:F44)</f>
        <v>-229430</v>
      </c>
      <c r="G45" s="1055">
        <f>SUM(G31:G44)</f>
        <v>666595.6</v>
      </c>
      <c r="H45" s="995"/>
    </row>
    <row r="46" spans="1:8" ht="19.5" thickTop="1" x14ac:dyDescent="0.25">
      <c r="A46" s="1326" t="s">
        <v>444</v>
      </c>
      <c r="B46" s="1327"/>
      <c r="C46" s="1327"/>
      <c r="D46" s="1327"/>
      <c r="E46" s="1327"/>
      <c r="F46" s="1327"/>
      <c r="G46" s="1328"/>
      <c r="H46" s="990"/>
    </row>
    <row r="47" spans="1:8" x14ac:dyDescent="0.25">
      <c r="A47" s="1139" t="s">
        <v>397</v>
      </c>
      <c r="B47" s="1038">
        <v>0</v>
      </c>
      <c r="C47" s="1031" t="s">
        <v>240</v>
      </c>
      <c r="D47" s="1015" t="s">
        <v>451</v>
      </c>
      <c r="E47" s="1045">
        <v>0</v>
      </c>
      <c r="F47" s="1058">
        <f t="shared" si="1"/>
        <v>0</v>
      </c>
      <c r="G47" s="1051"/>
      <c r="H47" s="1060"/>
    </row>
    <row r="48" spans="1:8" s="1004" customFormat="1" x14ac:dyDescent="0.25">
      <c r="A48" s="1139" t="s">
        <v>383</v>
      </c>
      <c r="B48" s="1038">
        <v>0</v>
      </c>
      <c r="C48" s="1031" t="s">
        <v>240</v>
      </c>
      <c r="D48" s="1015" t="s">
        <v>451</v>
      </c>
      <c r="E48" s="1045">
        <v>220000</v>
      </c>
      <c r="F48" s="1058">
        <f t="shared" ref="F48" si="5">B48-E48</f>
        <v>-220000</v>
      </c>
      <c r="G48" s="1054">
        <v>102828</v>
      </c>
      <c r="H48" s="1060"/>
    </row>
    <row r="49" spans="1:8" x14ac:dyDescent="0.25">
      <c r="A49" s="1139" t="s">
        <v>436</v>
      </c>
      <c r="B49" s="1038">
        <v>69000</v>
      </c>
      <c r="C49" s="1031" t="s">
        <v>240</v>
      </c>
      <c r="D49" s="1015" t="s">
        <v>451</v>
      </c>
      <c r="E49" s="1045">
        <v>70000</v>
      </c>
      <c r="F49" s="1058">
        <f t="shared" si="1"/>
        <v>-1000</v>
      </c>
      <c r="G49" s="1054">
        <v>68500</v>
      </c>
      <c r="H49" s="1060"/>
    </row>
    <row r="50" spans="1:8" s="1004" customFormat="1" x14ac:dyDescent="0.25">
      <c r="A50" s="1139" t="s">
        <v>434</v>
      </c>
      <c r="B50" s="1038">
        <v>80000</v>
      </c>
      <c r="C50" s="1034" t="s">
        <v>239</v>
      </c>
      <c r="D50" s="955" t="s">
        <v>451</v>
      </c>
      <c r="E50" s="1045">
        <v>220000</v>
      </c>
      <c r="F50" s="1058">
        <f t="shared" ref="F50" si="6">B50-E50</f>
        <v>-140000</v>
      </c>
      <c r="G50" s="1061">
        <v>116360</v>
      </c>
      <c r="H50" s="1060"/>
    </row>
    <row r="51" spans="1:8" s="1004" customFormat="1" x14ac:dyDescent="0.25">
      <c r="A51" s="1139" t="s">
        <v>387</v>
      </c>
      <c r="B51" s="1038">
        <v>20000</v>
      </c>
      <c r="C51" s="1034" t="s">
        <v>241</v>
      </c>
      <c r="D51" s="955" t="s">
        <v>451</v>
      </c>
      <c r="E51" s="1045">
        <v>8000</v>
      </c>
      <c r="F51" s="1058">
        <f t="shared" ref="F51:F58" si="7">B51-E51</f>
        <v>12000</v>
      </c>
      <c r="G51" s="1054">
        <v>20000</v>
      </c>
      <c r="H51" s="1060"/>
    </row>
    <row r="52" spans="1:8" s="1004" customFormat="1" x14ac:dyDescent="0.25">
      <c r="A52" s="1139" t="s">
        <v>413</v>
      </c>
      <c r="B52" s="1038">
        <v>0</v>
      </c>
      <c r="C52" s="1034" t="s">
        <v>240</v>
      </c>
      <c r="D52" s="955" t="s">
        <v>451</v>
      </c>
      <c r="E52" s="1045"/>
      <c r="F52" s="1058">
        <f t="shared" si="7"/>
        <v>0</v>
      </c>
      <c r="G52" s="1054">
        <v>6760</v>
      </c>
      <c r="H52" s="981" t="s">
        <v>439</v>
      </c>
    </row>
    <row r="53" spans="1:8" s="1004" customFormat="1" ht="24" x14ac:dyDescent="0.25">
      <c r="A53" s="1139" t="s">
        <v>410</v>
      </c>
      <c r="B53" s="1038">
        <v>100000</v>
      </c>
      <c r="C53" s="1034" t="s">
        <v>240</v>
      </c>
      <c r="D53" s="955" t="s">
        <v>451</v>
      </c>
      <c r="E53" s="1045">
        <v>90000</v>
      </c>
      <c r="F53" s="1058">
        <f t="shared" si="7"/>
        <v>10000</v>
      </c>
      <c r="G53" s="1054">
        <v>102168</v>
      </c>
      <c r="H53" s="981" t="s">
        <v>439</v>
      </c>
    </row>
    <row r="54" spans="1:8" s="1004" customFormat="1" x14ac:dyDescent="0.25">
      <c r="A54" s="1139" t="s">
        <v>409</v>
      </c>
      <c r="B54" s="1038">
        <v>80000</v>
      </c>
      <c r="C54" s="1034" t="s">
        <v>240</v>
      </c>
      <c r="D54" s="955" t="s">
        <v>451</v>
      </c>
      <c r="E54" s="1045">
        <v>76000</v>
      </c>
      <c r="F54" s="1058">
        <f t="shared" si="7"/>
        <v>4000</v>
      </c>
      <c r="G54" s="1054">
        <v>100000</v>
      </c>
      <c r="H54" s="1060"/>
    </row>
    <row r="55" spans="1:8" s="1004" customFormat="1" x14ac:dyDescent="0.25">
      <c r="A55" s="1139" t="s">
        <v>425</v>
      </c>
      <c r="B55" s="1038">
        <v>100000</v>
      </c>
      <c r="C55" s="1034" t="s">
        <v>240</v>
      </c>
      <c r="D55" s="955" t="s">
        <v>451</v>
      </c>
      <c r="E55" s="1045">
        <v>150000</v>
      </c>
      <c r="F55" s="1058">
        <f t="shared" si="7"/>
        <v>-50000</v>
      </c>
      <c r="G55" s="1054">
        <v>160000</v>
      </c>
      <c r="H55" s="1060"/>
    </row>
    <row r="56" spans="1:8" s="1004" customFormat="1" x14ac:dyDescent="0.25">
      <c r="A56" s="1139" t="s">
        <v>411</v>
      </c>
      <c r="B56" s="1038">
        <v>250000</v>
      </c>
      <c r="C56" s="1034" t="s">
        <v>240</v>
      </c>
      <c r="D56" s="955" t="s">
        <v>451</v>
      </c>
      <c r="E56" s="1045">
        <v>300000</v>
      </c>
      <c r="F56" s="1058">
        <f t="shared" si="7"/>
        <v>-50000</v>
      </c>
      <c r="G56" s="1054">
        <v>300000</v>
      </c>
      <c r="H56" s="1060"/>
    </row>
    <row r="57" spans="1:8" s="1004" customFormat="1" x14ac:dyDescent="0.25">
      <c r="A57" s="1139" t="s">
        <v>412</v>
      </c>
      <c r="B57" s="1038">
        <v>275000</v>
      </c>
      <c r="C57" s="1034" t="s">
        <v>240</v>
      </c>
      <c r="D57" s="955" t="s">
        <v>451</v>
      </c>
      <c r="E57" s="1045">
        <v>305000</v>
      </c>
      <c r="F57" s="1058">
        <f t="shared" si="7"/>
        <v>-30000</v>
      </c>
      <c r="G57" s="1054">
        <v>275000</v>
      </c>
      <c r="H57" s="981" t="s">
        <v>435</v>
      </c>
    </row>
    <row r="58" spans="1:8" s="1004" customFormat="1" x14ac:dyDescent="0.25">
      <c r="A58" s="1139" t="s">
        <v>463</v>
      </c>
      <c r="B58" s="1038">
        <v>92000</v>
      </c>
      <c r="C58" s="1034" t="s">
        <v>240</v>
      </c>
      <c r="D58" s="955" t="s">
        <v>451</v>
      </c>
      <c r="E58" s="1045">
        <v>0</v>
      </c>
      <c r="F58" s="1058">
        <f t="shared" si="7"/>
        <v>92000</v>
      </c>
      <c r="G58" s="1054">
        <v>213100</v>
      </c>
      <c r="H58" s="981" t="s">
        <v>447</v>
      </c>
    </row>
    <row r="59" spans="1:8" s="1004" customFormat="1" ht="24" x14ac:dyDescent="0.25">
      <c r="A59" s="1139" t="s">
        <v>464</v>
      </c>
      <c r="B59" s="1159">
        <v>4000</v>
      </c>
      <c r="C59" s="1160" t="s">
        <v>240</v>
      </c>
      <c r="D59" s="1161" t="s">
        <v>451</v>
      </c>
      <c r="E59" s="1132"/>
      <c r="F59" s="1133">
        <f t="shared" ref="F59:F60" si="8">B59-E59</f>
        <v>4000</v>
      </c>
      <c r="G59" s="1162"/>
      <c r="H59" s="1060"/>
    </row>
    <row r="60" spans="1:8" x14ac:dyDescent="0.25">
      <c r="A60" s="1139" t="s">
        <v>424</v>
      </c>
      <c r="B60" s="1038">
        <v>132000</v>
      </c>
      <c r="C60" s="1034" t="s">
        <v>240</v>
      </c>
      <c r="D60" s="955" t="s">
        <v>451</v>
      </c>
      <c r="E60" s="1045">
        <v>130000</v>
      </c>
      <c r="F60" s="1058">
        <f t="shared" si="8"/>
        <v>2000</v>
      </c>
      <c r="G60" s="1054">
        <v>130000</v>
      </c>
      <c r="H60" s="1060"/>
    </row>
    <row r="61" spans="1:8" x14ac:dyDescent="0.25">
      <c r="A61" s="1139" t="s">
        <v>408</v>
      </c>
      <c r="B61" s="1042">
        <v>1445377</v>
      </c>
      <c r="C61" s="1087" t="s">
        <v>240</v>
      </c>
      <c r="D61" s="1015" t="s">
        <v>451</v>
      </c>
      <c r="E61" s="1091">
        <v>0</v>
      </c>
      <c r="F61" s="1095">
        <f t="shared" ref="F61" si="9">B61-E61</f>
        <v>1445377</v>
      </c>
      <c r="G61" s="1093">
        <v>1455377</v>
      </c>
      <c r="H61" s="1060"/>
    </row>
    <row r="62" spans="1:8" s="1004" customFormat="1" x14ac:dyDescent="0.25">
      <c r="A62" s="1139" t="s">
        <v>426</v>
      </c>
      <c r="B62" s="1038">
        <v>37500</v>
      </c>
      <c r="C62" s="1031" t="s">
        <v>240</v>
      </c>
      <c r="D62" s="1015" t="s">
        <v>451</v>
      </c>
      <c r="E62" s="1045">
        <v>0</v>
      </c>
      <c r="F62" s="1058">
        <f t="shared" si="1"/>
        <v>37500</v>
      </c>
      <c r="G62" s="1054">
        <v>37500</v>
      </c>
      <c r="H62" s="1060"/>
    </row>
    <row r="63" spans="1:8" s="950" customFormat="1" x14ac:dyDescent="0.25">
      <c r="A63" s="1026"/>
      <c r="B63" s="1038"/>
      <c r="C63" s="1031"/>
      <c r="D63" s="1015"/>
      <c r="E63" s="1045"/>
      <c r="F63" s="1058">
        <f t="shared" si="1"/>
        <v>0</v>
      </c>
      <c r="G63" s="1054"/>
      <c r="H63" s="1060"/>
    </row>
    <row r="64" spans="1:8" ht="15.75" thickBot="1" x14ac:dyDescent="0.3">
      <c r="A64" s="1142" t="s">
        <v>460</v>
      </c>
      <c r="B64" s="1040">
        <f>SUM(B47:B63)</f>
        <v>2684877</v>
      </c>
      <c r="C64" s="1033"/>
      <c r="D64" s="992"/>
      <c r="E64" s="1047">
        <f>SUM(E47:E63)</f>
        <v>1569000</v>
      </c>
      <c r="F64" s="1059">
        <f>SUM(F47:F63)</f>
        <v>1115877</v>
      </c>
      <c r="G64" s="1055">
        <f>SUM(G47:G63)</f>
        <v>3087593</v>
      </c>
      <c r="H64" s="995"/>
    </row>
    <row r="65" spans="1:8" ht="19.5" thickTop="1" x14ac:dyDescent="0.25">
      <c r="A65" s="1326" t="s">
        <v>395</v>
      </c>
      <c r="B65" s="1327"/>
      <c r="C65" s="1327"/>
      <c r="D65" s="1327"/>
      <c r="E65" s="1327"/>
      <c r="F65" s="1327"/>
      <c r="G65" s="1328"/>
      <c r="H65" s="990"/>
    </row>
    <row r="66" spans="1:8" x14ac:dyDescent="0.25">
      <c r="A66" s="1139" t="s">
        <v>385</v>
      </c>
      <c r="B66" s="1038">
        <v>0</v>
      </c>
      <c r="C66" s="1031"/>
      <c r="D66" s="955"/>
      <c r="E66" s="1045">
        <v>0</v>
      </c>
      <c r="F66" s="1058">
        <f t="shared" si="1"/>
        <v>0</v>
      </c>
      <c r="G66" s="1054">
        <v>0</v>
      </c>
      <c r="H66" s="981"/>
    </row>
    <row r="67" spans="1:8" s="950" customFormat="1" x14ac:dyDescent="0.25">
      <c r="A67" s="1026"/>
      <c r="B67" s="1038"/>
      <c r="C67" s="1031"/>
      <c r="D67" s="955"/>
      <c r="E67" s="1045"/>
      <c r="F67" s="1058">
        <f t="shared" si="1"/>
        <v>0</v>
      </c>
      <c r="G67" s="1054"/>
      <c r="H67" s="981"/>
    </row>
    <row r="68" spans="1:8" ht="15.75" thickBot="1" x14ac:dyDescent="0.3">
      <c r="A68" s="1029" t="s">
        <v>461</v>
      </c>
      <c r="B68" s="1043">
        <f>SUM(B66:B67)</f>
        <v>0</v>
      </c>
      <c r="C68" s="1036"/>
      <c r="D68" s="973"/>
      <c r="E68" s="1050">
        <f t="shared" ref="E68:G68" si="10">SUM(E66:E67)</f>
        <v>0</v>
      </c>
      <c r="F68" s="1097">
        <f t="shared" si="10"/>
        <v>0</v>
      </c>
      <c r="G68" s="1056">
        <f t="shared" si="10"/>
        <v>0</v>
      </c>
      <c r="H68" s="994"/>
    </row>
    <row r="69" spans="1:8" ht="15.75" thickTop="1" x14ac:dyDescent="0.25">
      <c r="A69" s="1085"/>
      <c r="B69" s="1088"/>
      <c r="C69" s="1031"/>
      <c r="D69" s="955"/>
      <c r="E69" s="1045"/>
      <c r="F69" s="1062">
        <f t="shared" si="1"/>
        <v>0</v>
      </c>
      <c r="G69" s="1094"/>
      <c r="H69" s="981"/>
    </row>
    <row r="70" spans="1:8" ht="14.45" customHeight="1" x14ac:dyDescent="0.25">
      <c r="A70" s="1086"/>
      <c r="B70" s="1089"/>
      <c r="C70" s="1031"/>
      <c r="D70" s="955"/>
      <c r="E70" s="1045"/>
      <c r="F70" s="1062">
        <f t="shared" si="1"/>
        <v>0</v>
      </c>
      <c r="G70" s="1094"/>
      <c r="H70" s="981"/>
    </row>
    <row r="71" spans="1:8" x14ac:dyDescent="0.25">
      <c r="A71" s="1085"/>
      <c r="B71" s="1089"/>
      <c r="C71" s="1031"/>
      <c r="D71" s="955"/>
      <c r="E71" s="1045"/>
      <c r="F71" s="1058">
        <f t="shared" si="1"/>
        <v>0</v>
      </c>
      <c r="G71" s="1094"/>
      <c r="H71" s="981"/>
    </row>
    <row r="72" spans="1:8" x14ac:dyDescent="0.25">
      <c r="A72" s="1085"/>
      <c r="B72" s="1089"/>
      <c r="C72" s="1031"/>
      <c r="D72" s="955"/>
      <c r="E72" s="1092"/>
      <c r="F72" s="1058">
        <f t="shared" si="1"/>
        <v>0</v>
      </c>
      <c r="G72" s="1094"/>
      <c r="H72" s="981"/>
    </row>
    <row r="73" spans="1:8" x14ac:dyDescent="0.25">
      <c r="A73" s="1085"/>
      <c r="B73" s="1089"/>
      <c r="C73" s="1031"/>
      <c r="D73" s="955"/>
      <c r="E73" s="1092"/>
      <c r="F73" s="1058">
        <f t="shared" si="1"/>
        <v>0</v>
      </c>
      <c r="G73" s="1094"/>
      <c r="H73" s="981"/>
    </row>
    <row r="74" spans="1:8" x14ac:dyDescent="0.25">
      <c r="A74" s="1085"/>
      <c r="B74" s="1089"/>
      <c r="C74" s="1031"/>
      <c r="D74" s="955"/>
      <c r="E74" s="1092"/>
      <c r="F74" s="1058">
        <f t="shared" si="1"/>
        <v>0</v>
      </c>
      <c r="G74" s="1094"/>
      <c r="H74" s="981"/>
    </row>
    <row r="75" spans="1:8" x14ac:dyDescent="0.25">
      <c r="A75" s="1085"/>
      <c r="B75" s="1089"/>
      <c r="C75" s="1031"/>
      <c r="D75" s="955"/>
      <c r="E75" s="1092"/>
      <c r="F75" s="1058">
        <f t="shared" si="1"/>
        <v>0</v>
      </c>
      <c r="G75" s="1094"/>
      <c r="H75" s="981"/>
    </row>
    <row r="76" spans="1:8" x14ac:dyDescent="0.25">
      <c r="A76" s="1085"/>
      <c r="B76" s="1089"/>
      <c r="C76" s="1031"/>
      <c r="D76" s="955"/>
      <c r="E76" s="1092"/>
      <c r="F76" s="1058">
        <f t="shared" si="1"/>
        <v>0</v>
      </c>
      <c r="G76" s="1094"/>
      <c r="H76" s="981"/>
    </row>
    <row r="77" spans="1:8" x14ac:dyDescent="0.25">
      <c r="A77" s="1085"/>
      <c r="B77" s="1089"/>
      <c r="C77" s="1031"/>
      <c r="D77" s="955"/>
      <c r="E77" s="1092"/>
      <c r="F77" s="1058">
        <f t="shared" si="1"/>
        <v>0</v>
      </c>
      <c r="G77" s="1094"/>
      <c r="H77" s="981"/>
    </row>
    <row r="78" spans="1:8" x14ac:dyDescent="0.25">
      <c r="A78" s="1085"/>
      <c r="B78" s="1089"/>
      <c r="C78" s="1031"/>
      <c r="D78" s="955"/>
      <c r="E78" s="1092"/>
      <c r="F78" s="1058">
        <f t="shared" si="1"/>
        <v>0</v>
      </c>
      <c r="G78" s="1094"/>
      <c r="H78" s="981"/>
    </row>
    <row r="79" spans="1:8" x14ac:dyDescent="0.25">
      <c r="A79" s="1085"/>
      <c r="B79" s="1089"/>
      <c r="C79" s="1031"/>
      <c r="D79" s="955"/>
      <c r="E79" s="1092"/>
      <c r="F79" s="1058">
        <f t="shared" si="1"/>
        <v>0</v>
      </c>
      <c r="G79" s="1094"/>
      <c r="H79" s="981"/>
    </row>
    <row r="80" spans="1:8" x14ac:dyDescent="0.25">
      <c r="A80" s="1085"/>
      <c r="B80" s="1089"/>
      <c r="C80" s="1031"/>
      <c r="D80" s="955"/>
      <c r="E80" s="1092"/>
      <c r="F80" s="1058">
        <f t="shared" ref="F80:F114" si="11">B80-E80</f>
        <v>0</v>
      </c>
      <c r="G80" s="1094"/>
      <c r="H80" s="981"/>
    </row>
    <row r="81" spans="1:8" x14ac:dyDescent="0.25">
      <c r="A81" s="1085"/>
      <c r="B81" s="1089"/>
      <c r="C81" s="1031"/>
      <c r="D81" s="955"/>
      <c r="E81" s="1092"/>
      <c r="F81" s="1058">
        <f t="shared" si="11"/>
        <v>0</v>
      </c>
      <c r="G81" s="1094"/>
      <c r="H81" s="981"/>
    </row>
    <row r="82" spans="1:8" x14ac:dyDescent="0.25">
      <c r="A82" s="1085"/>
      <c r="B82" s="1089"/>
      <c r="C82" s="1031"/>
      <c r="D82" s="955"/>
      <c r="E82" s="1092"/>
      <c r="F82" s="1058">
        <f t="shared" si="11"/>
        <v>0</v>
      </c>
      <c r="G82" s="1094"/>
      <c r="H82" s="981"/>
    </row>
    <row r="83" spans="1:8" x14ac:dyDescent="0.25">
      <c r="A83" s="1085"/>
      <c r="B83" s="1089"/>
      <c r="C83" s="1031"/>
      <c r="D83" s="955"/>
      <c r="E83" s="1092"/>
      <c r="F83" s="1058">
        <f t="shared" si="11"/>
        <v>0</v>
      </c>
      <c r="G83" s="1094"/>
      <c r="H83" s="981"/>
    </row>
    <row r="84" spans="1:8" x14ac:dyDescent="0.25">
      <c r="A84" s="1085"/>
      <c r="B84" s="1089"/>
      <c r="C84" s="1031"/>
      <c r="D84" s="955"/>
      <c r="E84" s="1092"/>
      <c r="F84" s="1058">
        <f t="shared" si="11"/>
        <v>0</v>
      </c>
      <c r="G84" s="1094"/>
      <c r="H84" s="981"/>
    </row>
    <row r="85" spans="1:8" x14ac:dyDescent="0.25">
      <c r="A85" s="1085"/>
      <c r="B85" s="1089"/>
      <c r="C85" s="1031"/>
      <c r="D85" s="955"/>
      <c r="E85" s="1092"/>
      <c r="F85" s="1058">
        <f t="shared" si="11"/>
        <v>0</v>
      </c>
      <c r="G85" s="1094"/>
      <c r="H85" s="981"/>
    </row>
    <row r="86" spans="1:8" x14ac:dyDescent="0.25">
      <c r="A86" s="1085"/>
      <c r="B86" s="1089"/>
      <c r="C86" s="1031"/>
      <c r="D86" s="955"/>
      <c r="E86" s="1092"/>
      <c r="F86" s="1058">
        <f t="shared" si="11"/>
        <v>0</v>
      </c>
      <c r="G86" s="1094"/>
      <c r="H86" s="981"/>
    </row>
    <row r="87" spans="1:8" x14ac:dyDescent="0.25">
      <c r="A87" s="1085"/>
      <c r="B87" s="1089"/>
      <c r="C87" s="1031"/>
      <c r="D87" s="955"/>
      <c r="E87" s="1092"/>
      <c r="F87" s="1058">
        <f t="shared" si="11"/>
        <v>0</v>
      </c>
      <c r="G87" s="1094"/>
      <c r="H87" s="981"/>
    </row>
    <row r="88" spans="1:8" x14ac:dyDescent="0.25">
      <c r="A88" s="1085"/>
      <c r="B88" s="1089"/>
      <c r="C88" s="1031"/>
      <c r="D88" s="955"/>
      <c r="E88" s="1092"/>
      <c r="F88" s="1058">
        <f t="shared" si="11"/>
        <v>0</v>
      </c>
      <c r="G88" s="1094"/>
      <c r="H88" s="981"/>
    </row>
    <row r="89" spans="1:8" x14ac:dyDescent="0.25">
      <c r="A89" s="1085"/>
      <c r="B89" s="1089"/>
      <c r="C89" s="1031"/>
      <c r="D89" s="955"/>
      <c r="E89" s="1092"/>
      <c r="F89" s="1058">
        <f t="shared" si="11"/>
        <v>0</v>
      </c>
      <c r="G89" s="1094"/>
      <c r="H89" s="981"/>
    </row>
    <row r="90" spans="1:8" x14ac:dyDescent="0.25">
      <c r="A90" s="1085"/>
      <c r="B90" s="1089"/>
      <c r="C90" s="1031"/>
      <c r="D90" s="955"/>
      <c r="E90" s="1092"/>
      <c r="F90" s="1058">
        <f t="shared" si="11"/>
        <v>0</v>
      </c>
      <c r="G90" s="1094"/>
      <c r="H90" s="981"/>
    </row>
    <row r="91" spans="1:8" x14ac:dyDescent="0.25">
      <c r="A91" s="1085"/>
      <c r="B91" s="1089"/>
      <c r="C91" s="1031"/>
      <c r="D91" s="955"/>
      <c r="E91" s="1092"/>
      <c r="F91" s="1058">
        <f t="shared" si="11"/>
        <v>0</v>
      </c>
      <c r="G91" s="1094"/>
      <c r="H91" s="981"/>
    </row>
    <row r="92" spans="1:8" x14ac:dyDescent="0.25">
      <c r="A92" s="1085"/>
      <c r="B92" s="1089"/>
      <c r="C92" s="1031"/>
      <c r="D92" s="955"/>
      <c r="E92" s="1092"/>
      <c r="F92" s="1058">
        <f t="shared" si="11"/>
        <v>0</v>
      </c>
      <c r="G92" s="1094"/>
      <c r="H92" s="981"/>
    </row>
    <row r="93" spans="1:8" x14ac:dyDescent="0.25">
      <c r="A93" s="1085"/>
      <c r="B93" s="1089"/>
      <c r="C93" s="1031"/>
      <c r="D93" s="955"/>
      <c r="E93" s="1092"/>
      <c r="F93" s="1058">
        <f t="shared" si="11"/>
        <v>0</v>
      </c>
      <c r="G93" s="1094"/>
      <c r="H93" s="981"/>
    </row>
    <row r="94" spans="1:8" x14ac:dyDescent="0.25">
      <c r="A94" s="1085"/>
      <c r="B94" s="1089"/>
      <c r="C94" s="1031"/>
      <c r="D94" s="955"/>
      <c r="E94" s="1092"/>
      <c r="F94" s="1058">
        <f t="shared" si="11"/>
        <v>0</v>
      </c>
      <c r="G94" s="1094"/>
      <c r="H94" s="981"/>
    </row>
    <row r="95" spans="1:8" x14ac:dyDescent="0.25">
      <c r="A95" s="1085"/>
      <c r="B95" s="1089"/>
      <c r="C95" s="1031"/>
      <c r="D95" s="955"/>
      <c r="E95" s="1092"/>
      <c r="F95" s="1058">
        <f t="shared" si="11"/>
        <v>0</v>
      </c>
      <c r="G95" s="1094"/>
      <c r="H95" s="981"/>
    </row>
    <row r="96" spans="1:8" x14ac:dyDescent="0.25">
      <c r="A96" s="1085"/>
      <c r="B96" s="1089"/>
      <c r="C96" s="1031"/>
      <c r="D96" s="955"/>
      <c r="E96" s="1092"/>
      <c r="F96" s="1058">
        <f t="shared" si="11"/>
        <v>0</v>
      </c>
      <c r="G96" s="1094"/>
      <c r="H96" s="981"/>
    </row>
    <row r="97" spans="1:8" x14ac:dyDescent="0.25">
      <c r="A97" s="1085"/>
      <c r="B97" s="1089"/>
      <c r="C97" s="1031"/>
      <c r="D97" s="955"/>
      <c r="E97" s="1092"/>
      <c r="F97" s="1058">
        <f t="shared" si="11"/>
        <v>0</v>
      </c>
      <c r="G97" s="1094"/>
      <c r="H97" s="981"/>
    </row>
    <row r="98" spans="1:8" x14ac:dyDescent="0.25">
      <c r="A98" s="1085"/>
      <c r="B98" s="1089"/>
      <c r="C98" s="1031"/>
      <c r="D98" s="955"/>
      <c r="E98" s="1092"/>
      <c r="F98" s="1058">
        <f t="shared" si="11"/>
        <v>0</v>
      </c>
      <c r="G98" s="1094"/>
      <c r="H98" s="981"/>
    </row>
    <row r="99" spans="1:8" x14ac:dyDescent="0.25">
      <c r="A99" s="1085"/>
      <c r="B99" s="1089"/>
      <c r="C99" s="1031"/>
      <c r="D99" s="955"/>
      <c r="E99" s="1092"/>
      <c r="F99" s="1058">
        <f t="shared" si="11"/>
        <v>0</v>
      </c>
      <c r="G99" s="1094"/>
      <c r="H99" s="981"/>
    </row>
    <row r="100" spans="1:8" x14ac:dyDescent="0.25">
      <c r="A100" s="1085"/>
      <c r="B100" s="1089"/>
      <c r="C100" s="1031"/>
      <c r="D100" s="955"/>
      <c r="E100" s="1092"/>
      <c r="F100" s="1058">
        <f t="shared" si="11"/>
        <v>0</v>
      </c>
      <c r="G100" s="1094"/>
      <c r="H100" s="981"/>
    </row>
    <row r="101" spans="1:8" x14ac:dyDescent="0.25">
      <c r="A101" s="1085"/>
      <c r="B101" s="1089"/>
      <c r="C101" s="1031"/>
      <c r="D101" s="955"/>
      <c r="E101" s="1092"/>
      <c r="F101" s="1058">
        <f t="shared" si="11"/>
        <v>0</v>
      </c>
      <c r="G101" s="1094"/>
      <c r="H101" s="981"/>
    </row>
    <row r="102" spans="1:8" x14ac:dyDescent="0.25">
      <c r="A102" s="1085"/>
      <c r="B102" s="1089"/>
      <c r="C102" s="1031"/>
      <c r="D102" s="955"/>
      <c r="E102" s="1092"/>
      <c r="F102" s="1058">
        <f t="shared" si="11"/>
        <v>0</v>
      </c>
      <c r="G102" s="1094"/>
      <c r="H102" s="981"/>
    </row>
    <row r="103" spans="1:8" x14ac:dyDescent="0.25">
      <c r="A103" s="1085"/>
      <c r="B103" s="1089"/>
      <c r="C103" s="1031"/>
      <c r="D103" s="955"/>
      <c r="E103" s="1092"/>
      <c r="F103" s="1058">
        <f t="shared" si="11"/>
        <v>0</v>
      </c>
      <c r="G103" s="1094"/>
      <c r="H103" s="981"/>
    </row>
    <row r="104" spans="1:8" x14ac:dyDescent="0.25">
      <c r="A104" s="1085"/>
      <c r="B104" s="1089"/>
      <c r="C104" s="1031"/>
      <c r="D104" s="955"/>
      <c r="E104" s="1092"/>
      <c r="F104" s="1058">
        <f t="shared" si="11"/>
        <v>0</v>
      </c>
      <c r="G104" s="1094"/>
      <c r="H104" s="981"/>
    </row>
    <row r="105" spans="1:8" x14ac:dyDescent="0.25">
      <c r="A105" s="1085"/>
      <c r="B105" s="1089"/>
      <c r="C105" s="1031"/>
      <c r="D105" s="955"/>
      <c r="E105" s="1092"/>
      <c r="F105" s="1058">
        <f t="shared" si="11"/>
        <v>0</v>
      </c>
      <c r="G105" s="1094"/>
      <c r="H105" s="981"/>
    </row>
    <row r="106" spans="1:8" x14ac:dyDescent="0.25">
      <c r="A106" s="1085"/>
      <c r="B106" s="1089"/>
      <c r="C106" s="1031"/>
      <c r="D106" s="955"/>
      <c r="E106" s="1092"/>
      <c r="F106" s="1058">
        <f t="shared" si="11"/>
        <v>0</v>
      </c>
      <c r="G106" s="1094"/>
      <c r="H106" s="981"/>
    </row>
    <row r="107" spans="1:8" x14ac:dyDescent="0.25">
      <c r="A107" s="1085"/>
      <c r="B107" s="1089"/>
      <c r="C107" s="1031"/>
      <c r="D107" s="955"/>
      <c r="E107" s="1092"/>
      <c r="F107" s="1058">
        <f t="shared" si="11"/>
        <v>0</v>
      </c>
      <c r="G107" s="1094"/>
      <c r="H107" s="981"/>
    </row>
    <row r="108" spans="1:8" x14ac:dyDescent="0.25">
      <c r="A108" s="1085"/>
      <c r="B108" s="1089"/>
      <c r="C108" s="1031"/>
      <c r="D108" s="955"/>
      <c r="E108" s="1092"/>
      <c r="F108" s="1058">
        <f t="shared" si="11"/>
        <v>0</v>
      </c>
      <c r="G108" s="1094"/>
      <c r="H108" s="981"/>
    </row>
    <row r="109" spans="1:8" x14ac:dyDescent="0.25">
      <c r="A109" s="1085"/>
      <c r="B109" s="1089"/>
      <c r="C109" s="1031"/>
      <c r="D109" s="955"/>
      <c r="E109" s="1092"/>
      <c r="F109" s="1058">
        <f t="shared" si="11"/>
        <v>0</v>
      </c>
      <c r="G109" s="1094"/>
      <c r="H109" s="981"/>
    </row>
    <row r="110" spans="1:8" x14ac:dyDescent="0.25">
      <c r="A110" s="1085"/>
      <c r="B110" s="1089"/>
      <c r="C110" s="1031"/>
      <c r="D110" s="955"/>
      <c r="E110" s="1092"/>
      <c r="F110" s="1058">
        <f t="shared" si="11"/>
        <v>0</v>
      </c>
      <c r="G110" s="1094"/>
      <c r="H110" s="981"/>
    </row>
    <row r="111" spans="1:8" x14ac:dyDescent="0.25">
      <c r="A111" s="1085"/>
      <c r="B111" s="1089"/>
      <c r="C111" s="1031"/>
      <c r="D111" s="955"/>
      <c r="E111" s="1092"/>
      <c r="F111" s="1058">
        <f t="shared" si="11"/>
        <v>0</v>
      </c>
      <c r="G111" s="1094"/>
      <c r="H111" s="981"/>
    </row>
    <row r="112" spans="1:8" x14ac:dyDescent="0.25">
      <c r="A112" s="1085"/>
      <c r="B112" s="1089"/>
      <c r="C112" s="1031"/>
      <c r="D112" s="955"/>
      <c r="E112" s="1092"/>
      <c r="F112" s="1058">
        <f t="shared" si="11"/>
        <v>0</v>
      </c>
      <c r="G112" s="1094"/>
      <c r="H112" s="981"/>
    </row>
    <row r="113" spans="1:8" x14ac:dyDescent="0.25">
      <c r="A113" s="1085"/>
      <c r="B113" s="1089"/>
      <c r="C113" s="1031"/>
      <c r="D113" s="955"/>
      <c r="E113" s="1092"/>
      <c r="F113" s="1058">
        <f t="shared" si="11"/>
        <v>0</v>
      </c>
      <c r="G113" s="1094"/>
      <c r="H113" s="981"/>
    </row>
    <row r="114" spans="1:8" ht="15.75" thickBot="1" x14ac:dyDescent="0.3">
      <c r="A114" s="1085"/>
      <c r="B114" s="1090"/>
      <c r="C114" s="1031"/>
      <c r="D114" s="955"/>
      <c r="E114" s="1092"/>
      <c r="F114" s="1066">
        <f t="shared" si="11"/>
        <v>0</v>
      </c>
      <c r="G114" s="1094"/>
      <c r="H114" s="981"/>
    </row>
  </sheetData>
  <mergeCells count="10">
    <mergeCell ref="A1:G1"/>
    <mergeCell ref="E19:E23"/>
    <mergeCell ref="F19:F23"/>
    <mergeCell ref="G19:G23"/>
    <mergeCell ref="A46:G46"/>
    <mergeCell ref="A65:G65"/>
    <mergeCell ref="A30:G30"/>
    <mergeCell ref="A14:G14"/>
    <mergeCell ref="A9:G9"/>
    <mergeCell ref="A4:G4"/>
  </mergeCells>
  <conditionalFormatting sqref="F69:F114 F31:F39 F41:F45 F47:F51">
    <cfRule type="cellIs" dxfId="17" priority="29" operator="greaterThan">
      <formula>0</formula>
    </cfRule>
  </conditionalFormatting>
  <conditionalFormatting sqref="F114">
    <cfRule type="cellIs" dxfId="16" priority="28" operator="greaterThan">
      <formula>0</formula>
    </cfRule>
  </conditionalFormatting>
  <conditionalFormatting sqref="F66:F68 F15:F29 F10:F13 F5:F8 F54:F64">
    <cfRule type="cellIs" dxfId="15" priority="3" operator="greaterThan">
      <formula>0</formula>
    </cfRule>
  </conditionalFormatting>
  <conditionalFormatting sqref="F52:F53">
    <cfRule type="cellIs" dxfId="14" priority="2" operator="greaterThan">
      <formula>0</formula>
    </cfRule>
  </conditionalFormatting>
  <conditionalFormatting sqref="F40">
    <cfRule type="cellIs" dxfId="13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M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6" sqref="O16"/>
    </sheetView>
  </sheetViews>
  <sheetFormatPr defaultRowHeight="15" x14ac:dyDescent="0.25"/>
  <cols>
    <col min="1" max="1" width="47.42578125" customWidth="1"/>
    <col min="2" max="13" width="14.28515625" customWidth="1"/>
  </cols>
  <sheetData>
    <row r="1" spans="1:13" ht="15" customHeight="1" thickBot="1" x14ac:dyDescent="0.3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3" s="12" customFormat="1" ht="51.6" customHeight="1" thickBot="1" x14ac:dyDescent="0.3">
      <c r="A2" s="340"/>
      <c r="B2" s="1336" t="s">
        <v>202</v>
      </c>
      <c r="C2" s="1337"/>
      <c r="D2" s="1337"/>
      <c r="E2" s="1338"/>
      <c r="F2" s="1336" t="s">
        <v>204</v>
      </c>
      <c r="G2" s="1337"/>
      <c r="H2" s="1337"/>
      <c r="I2" s="1338"/>
      <c r="J2" s="1336">
        <v>771201</v>
      </c>
      <c r="K2" s="1337"/>
      <c r="L2" s="1337"/>
      <c r="M2" s="1338"/>
    </row>
    <row r="3" spans="1:13" s="12" customFormat="1" ht="23.1" customHeight="1" thickBot="1" x14ac:dyDescent="0.3">
      <c r="A3" s="341"/>
      <c r="B3" s="346">
        <v>2021</v>
      </c>
      <c r="C3" s="347">
        <v>2020</v>
      </c>
      <c r="D3" s="347">
        <v>2019</v>
      </c>
      <c r="E3" s="348" t="s">
        <v>203</v>
      </c>
      <c r="F3" s="346">
        <v>2021</v>
      </c>
      <c r="G3" s="347">
        <v>2020</v>
      </c>
      <c r="H3" s="347">
        <v>2019</v>
      </c>
      <c r="I3" s="348" t="s">
        <v>203</v>
      </c>
      <c r="J3" s="346">
        <v>2021</v>
      </c>
      <c r="K3" s="347">
        <v>2020</v>
      </c>
      <c r="L3" s="347">
        <v>2019</v>
      </c>
      <c r="M3" s="348" t="s">
        <v>203</v>
      </c>
    </row>
    <row r="4" spans="1:13" s="5" customFormat="1" ht="15.75" x14ac:dyDescent="0.25">
      <c r="A4" s="342" t="s">
        <v>2</v>
      </c>
      <c r="B4" s="337">
        <v>23478445</v>
      </c>
      <c r="C4" s="338">
        <v>20265730</v>
      </c>
      <c r="D4" s="338">
        <v>18384248.000000007</v>
      </c>
      <c r="E4" s="353">
        <v>1</v>
      </c>
      <c r="F4" s="351">
        <v>6052772</v>
      </c>
      <c r="G4" s="338">
        <v>4754716.2035000008</v>
      </c>
      <c r="H4" s="338">
        <v>4294839</v>
      </c>
      <c r="I4" s="353">
        <v>1</v>
      </c>
      <c r="J4" s="337">
        <v>25131702</v>
      </c>
      <c r="K4" s="338">
        <v>18823924.999999996</v>
      </c>
      <c r="L4" s="338">
        <v>17742310</v>
      </c>
      <c r="M4" s="353">
        <v>1</v>
      </c>
    </row>
    <row r="5" spans="1:13" s="5" customFormat="1" ht="15.75" x14ac:dyDescent="0.25">
      <c r="A5" s="343" t="s">
        <v>6</v>
      </c>
      <c r="B5" s="23">
        <f>'T7-mzdy'!N4</f>
        <v>1869162</v>
      </c>
      <c r="C5" s="339">
        <v>1764775.25</v>
      </c>
      <c r="D5" s="339">
        <v>1604664.94</v>
      </c>
      <c r="E5" s="352">
        <f>B$1*B5/B$16+C$1*C5/C$16+D$1*D5/D$16</f>
        <v>8.6212703571883403E-2</v>
      </c>
      <c r="F5" s="349">
        <f>'T8-TaS'!M6</f>
        <v>514293.54654256772</v>
      </c>
      <c r="G5" s="339">
        <v>414339.1416973563</v>
      </c>
      <c r="H5" s="339">
        <v>368479.77</v>
      </c>
      <c r="I5" s="352">
        <f t="shared" ref="I5:I14" si="0">F$1*F5/F$16+G$1*G5/G$16+H$1*H5/H$16</f>
        <v>8.5786154053181796E-2</v>
      </c>
      <c r="J5" s="350">
        <f>'T14-VVZ'!AL5-'T14-VVZ'!AK5</f>
        <v>1439617.5861349769</v>
      </c>
      <c r="K5" s="339">
        <v>972680.96891581826</v>
      </c>
      <c r="L5" s="339">
        <v>905851</v>
      </c>
      <c r="M5" s="352">
        <f t="shared" ref="M5:M14" si="1">J$1*J5/J$16+K$1*K5/K$16+L$1*L5/L$16</f>
        <v>5.4354437934080277E-2</v>
      </c>
    </row>
    <row r="6" spans="1:13" s="5" customFormat="1" ht="15.75" x14ac:dyDescent="0.25">
      <c r="A6" s="343" t="s">
        <v>3</v>
      </c>
      <c r="B6" s="23">
        <f>'T7-mzdy'!N5</f>
        <v>4817506</v>
      </c>
      <c r="C6" s="339">
        <v>3178256.84</v>
      </c>
      <c r="D6" s="339">
        <v>2725758.67</v>
      </c>
      <c r="E6" s="352">
        <f t="shared" ref="E6:E13" si="2">B$1*B6/B$16+C$1*C6/C$16+D$1*D6/D$16</f>
        <v>0.18426848281180971</v>
      </c>
      <c r="F6" s="349">
        <f>'T8-TaS'!M7</f>
        <v>1213778.7250443802</v>
      </c>
      <c r="G6" s="339">
        <v>819146.66054318729</v>
      </c>
      <c r="H6" s="339">
        <v>695695.89</v>
      </c>
      <c r="I6" s="352">
        <f t="shared" si="0"/>
        <v>0.1843474465938795</v>
      </c>
      <c r="J6" s="350">
        <f>'T14-VVZ'!AL6-'T14-VVZ'!AK6</f>
        <v>6440901</v>
      </c>
      <c r="K6" s="339">
        <v>4421596.6147845332</v>
      </c>
      <c r="L6" s="339">
        <v>4178828.24</v>
      </c>
      <c r="M6" s="352">
        <f t="shared" si="1"/>
        <v>0.24571645940861978</v>
      </c>
    </row>
    <row r="7" spans="1:13" s="5" customFormat="1" ht="15.75" x14ac:dyDescent="0.25">
      <c r="A7" s="343" t="s">
        <v>5</v>
      </c>
      <c r="B7" s="23">
        <f>'T7-mzdy'!N6</f>
        <v>4571128</v>
      </c>
      <c r="C7" s="339">
        <v>3677526.57</v>
      </c>
      <c r="D7" s="339">
        <v>3237283.96</v>
      </c>
      <c r="E7" s="352">
        <f t="shared" si="2"/>
        <v>0.19281716751311223</v>
      </c>
      <c r="F7" s="349">
        <f>'T8-TaS'!M8</f>
        <v>933393.72772259568</v>
      </c>
      <c r="G7" s="339">
        <v>712031.09428520408</v>
      </c>
      <c r="H7" s="339">
        <v>659711.9</v>
      </c>
      <c r="I7" s="352">
        <f t="shared" si="0"/>
        <v>0.15275157631096525</v>
      </c>
      <c r="J7" s="350">
        <f>'T14-VVZ'!AL7-'T14-VVZ'!AK7</f>
        <v>6089011</v>
      </c>
      <c r="K7" s="339">
        <v>4498190.3896476915</v>
      </c>
      <c r="L7" s="339">
        <v>4270679.16</v>
      </c>
      <c r="M7" s="352">
        <f t="shared" si="1"/>
        <v>0.24097161723461796</v>
      </c>
    </row>
    <row r="8" spans="1:13" s="5" customFormat="1" ht="15.75" x14ac:dyDescent="0.25">
      <c r="A8" s="343" t="s">
        <v>7</v>
      </c>
      <c r="B8" s="23">
        <f>'T7-mzdy'!N7</f>
        <v>2299534</v>
      </c>
      <c r="C8" s="339">
        <v>1459013.3</v>
      </c>
      <c r="D8" s="339">
        <v>1253192.07</v>
      </c>
      <c r="E8" s="352">
        <f t="shared" si="2"/>
        <v>8.6486680884667516E-2</v>
      </c>
      <c r="F8" s="349">
        <f>'T8-TaS'!M9</f>
        <v>740575.14757003041</v>
      </c>
      <c r="G8" s="339">
        <v>490754.87961592205</v>
      </c>
      <c r="H8" s="339">
        <v>401346.15</v>
      </c>
      <c r="I8" s="352">
        <f t="shared" si="0"/>
        <v>0.11083052430812969</v>
      </c>
      <c r="J8" s="350">
        <f>'T14-VVZ'!AL8-'T14-VVZ'!AK8</f>
        <v>931852</v>
      </c>
      <c r="K8" s="339">
        <v>618434.22959666466</v>
      </c>
      <c r="L8" s="339">
        <v>548484.67000000004</v>
      </c>
      <c r="M8" s="352">
        <f t="shared" si="1"/>
        <v>3.4578248349169644E-2</v>
      </c>
    </row>
    <row r="9" spans="1:13" s="5" customFormat="1" ht="15.75" x14ac:dyDescent="0.25">
      <c r="A9" s="343" t="s">
        <v>0</v>
      </c>
      <c r="B9" s="23">
        <f>'T7-mzdy'!N8</f>
        <v>4643627</v>
      </c>
      <c r="C9" s="339">
        <v>3899702.03</v>
      </c>
      <c r="D9" s="339">
        <v>3650409.35</v>
      </c>
      <c r="E9" s="352">
        <f t="shared" si="2"/>
        <v>0.20264929343986948</v>
      </c>
      <c r="F9" s="349">
        <f>'T8-TaS'!M10</f>
        <v>1146152.1924180002</v>
      </c>
      <c r="G9" s="339">
        <v>948239.32178730587</v>
      </c>
      <c r="H9" s="339">
        <v>884756.93</v>
      </c>
      <c r="I9" s="352">
        <f t="shared" si="0"/>
        <v>0.19571027374227179</v>
      </c>
      <c r="J9" s="350">
        <f>'T14-VVZ'!AL9-'T14-VVZ'!AK9</f>
        <v>4892685.4138650233</v>
      </c>
      <c r="K9" s="339">
        <v>3987472.3893926768</v>
      </c>
      <c r="L9" s="339">
        <v>3744733.52</v>
      </c>
      <c r="M9" s="352">
        <f t="shared" si="1"/>
        <v>0.20310237900741343</v>
      </c>
    </row>
    <row r="10" spans="1:13" s="5" customFormat="1" ht="15.75" x14ac:dyDescent="0.25">
      <c r="A10" s="343" t="s">
        <v>1</v>
      </c>
      <c r="B10" s="23">
        <f>'T7-mzdy'!N9</f>
        <v>1666897</v>
      </c>
      <c r="C10" s="339">
        <v>1521743.46</v>
      </c>
      <c r="D10" s="339">
        <v>1448189.64</v>
      </c>
      <c r="E10" s="352">
        <f t="shared" si="2"/>
        <v>7.6261813677349882E-2</v>
      </c>
      <c r="F10" s="349">
        <f>'T8-TaS'!M11</f>
        <v>453860.73387741327</v>
      </c>
      <c r="G10" s="339">
        <v>385806.05465998076</v>
      </c>
      <c r="H10" s="339">
        <v>356952.32000000001</v>
      </c>
      <c r="I10" s="352">
        <f t="shared" si="0"/>
        <v>7.8456887007540471E-2</v>
      </c>
      <c r="J10" s="350">
        <f>'T14-VVZ'!AL10-'T14-VVZ'!AK10</f>
        <v>1941679</v>
      </c>
      <c r="K10" s="339">
        <v>1671373.6888961927</v>
      </c>
      <c r="L10" s="339">
        <v>1591287</v>
      </c>
      <c r="M10" s="352">
        <f t="shared" si="1"/>
        <v>8.3204796232498934E-2</v>
      </c>
    </row>
    <row r="11" spans="1:13" s="5" customFormat="1" ht="15.75" x14ac:dyDescent="0.25">
      <c r="A11" s="343" t="s">
        <v>4</v>
      </c>
      <c r="B11" s="23">
        <f>'T7-mzdy'!N10</f>
        <v>3261592</v>
      </c>
      <c r="C11" s="339">
        <v>3136295.97</v>
      </c>
      <c r="D11" s="339">
        <v>2974007.86</v>
      </c>
      <c r="E11" s="352">
        <f t="shared" si="2"/>
        <v>0.15334818527620708</v>
      </c>
      <c r="F11" s="349">
        <f>'T8-TaS'!M12</f>
        <v>902656.20173393178</v>
      </c>
      <c r="G11" s="339">
        <v>788800.25491461414</v>
      </c>
      <c r="H11" s="339">
        <v>749663.27</v>
      </c>
      <c r="I11" s="352">
        <f t="shared" si="0"/>
        <v>0.15924502972720614</v>
      </c>
      <c r="J11" s="350">
        <f>'T14-VVZ'!AL11-'T14-VVZ'!AK11</f>
        <v>2492643</v>
      </c>
      <c r="K11" s="339">
        <v>2134715.6374057774</v>
      </c>
      <c r="L11" s="339">
        <v>2010621.86</v>
      </c>
      <c r="M11" s="352">
        <f t="shared" si="1"/>
        <v>0.1062776344081974</v>
      </c>
    </row>
    <row r="12" spans="1:13" s="5" customFormat="1" ht="15.75" x14ac:dyDescent="0.25">
      <c r="A12" s="343" t="s">
        <v>17</v>
      </c>
      <c r="B12" s="23">
        <f>'T7-mzdy'!N11</f>
        <v>289956</v>
      </c>
      <c r="C12" s="339">
        <v>327271.71999999997</v>
      </c>
      <c r="D12" s="339">
        <v>306973.27</v>
      </c>
      <c r="E12" s="352">
        <f t="shared" si="2"/>
        <v>1.4889750740763971E-2</v>
      </c>
      <c r="F12" s="349">
        <f>'T8-TaS'!M13</f>
        <v>71246.914879912656</v>
      </c>
      <c r="G12" s="339">
        <v>73815.616067407187</v>
      </c>
      <c r="H12" s="339">
        <v>74944.69</v>
      </c>
      <c r="I12" s="352">
        <f t="shared" si="0"/>
        <v>1.4032881212309358E-2</v>
      </c>
      <c r="J12" s="350">
        <f>'T14-VVZ'!AL12-'T14-VVZ'!AK12</f>
        <v>731832</v>
      </c>
      <c r="K12" s="339">
        <v>317165.58700048679</v>
      </c>
      <c r="L12" s="339">
        <v>248079.69</v>
      </c>
      <c r="M12" s="352">
        <f t="shared" si="1"/>
        <v>2.2411132478214749E-2</v>
      </c>
    </row>
    <row r="13" spans="1:13" s="5" customFormat="1" ht="15.75" x14ac:dyDescent="0.25">
      <c r="A13" s="343" t="s">
        <v>205</v>
      </c>
      <c r="B13" s="23">
        <f>'T7-mzdy'!N12</f>
        <v>58940</v>
      </c>
      <c r="C13" s="339">
        <v>69244.23</v>
      </c>
      <c r="D13" s="339">
        <v>62087.93</v>
      </c>
      <c r="E13" s="352">
        <f t="shared" si="2"/>
        <v>3.0659220843368431E-3</v>
      </c>
      <c r="F13" s="349">
        <f>'T8-TaS'!M14</f>
        <v>491.40165555518428</v>
      </c>
      <c r="G13" s="339">
        <v>1193</v>
      </c>
      <c r="H13" s="339">
        <v>129.78</v>
      </c>
      <c r="I13" s="352">
        <f t="shared" si="0"/>
        <v>1.2190927264856363E-4</v>
      </c>
      <c r="J13" s="350">
        <f>'T14-VVZ'!AL13-'T14-VVZ'!AK13</f>
        <v>130191</v>
      </c>
      <c r="K13" s="339">
        <v>154454.25874587108</v>
      </c>
      <c r="L13" s="339">
        <v>164238.38</v>
      </c>
      <c r="M13" s="352">
        <f t="shared" si="1"/>
        <v>6.9031130512077149E-3</v>
      </c>
    </row>
    <row r="14" spans="1:13" s="5" customFormat="1" ht="16.5" thickBot="1" x14ac:dyDescent="0.3">
      <c r="A14" s="344" t="s">
        <v>64</v>
      </c>
      <c r="B14" s="778">
        <f>'T7-mzdy'!N13</f>
        <v>0</v>
      </c>
      <c r="C14" s="779">
        <v>1231900.6299999999</v>
      </c>
      <c r="D14" s="779">
        <v>1121680.32</v>
      </c>
      <c r="E14" s="780"/>
      <c r="F14" s="781">
        <f>'T8-TaS'!M15</f>
        <v>76323.331773682599</v>
      </c>
      <c r="G14" s="779">
        <v>120590.1799290217</v>
      </c>
      <c r="H14" s="779">
        <v>103158.29</v>
      </c>
      <c r="I14" s="780">
        <f t="shared" si="0"/>
        <v>1.8717317771867584E-2</v>
      </c>
      <c r="J14" s="782">
        <f>'T14-VVZ'!AL14-'T14-VVZ'!AK14</f>
        <v>41291</v>
      </c>
      <c r="K14" s="779">
        <v>47841.235614286241</v>
      </c>
      <c r="L14" s="779">
        <v>79506.48</v>
      </c>
      <c r="M14" s="780">
        <f t="shared" si="1"/>
        <v>2.4801818959801812E-3</v>
      </c>
    </row>
    <row r="15" spans="1:13" s="17" customFormat="1" ht="15.75" thickBot="1" x14ac:dyDescent="0.3">
      <c r="A15" s="342" t="s">
        <v>2</v>
      </c>
      <c r="B15" s="783">
        <f>SUM(B5:B14)</f>
        <v>23478342</v>
      </c>
      <c r="C15" s="784">
        <f t="shared" ref="C15:E15" si="3">SUM(C5:C14)</f>
        <v>20265729.999999996</v>
      </c>
      <c r="D15" s="784">
        <f t="shared" si="3"/>
        <v>18384248.009999998</v>
      </c>
      <c r="E15" s="785">
        <f t="shared" si="3"/>
        <v>1</v>
      </c>
      <c r="F15" s="783">
        <f>SUM(F5:F14)</f>
        <v>6052771.9232180687</v>
      </c>
      <c r="G15" s="784">
        <f t="shared" ref="G15" si="4">SUM(G5:G14)</f>
        <v>4754716.2034999989</v>
      </c>
      <c r="H15" s="784">
        <f t="shared" ref="H15" si="5">SUM(H5:H14)</f>
        <v>4294838.9899999993</v>
      </c>
      <c r="I15" s="785">
        <f t="shared" ref="I15" si="6">SUM(I5:I14)</f>
        <v>1.0000000000000002</v>
      </c>
      <c r="J15" s="783">
        <f>SUM(J5:J14)</f>
        <v>25131703</v>
      </c>
      <c r="K15" s="784">
        <f t="shared" ref="K15" si="7">SUM(K5:K14)</f>
        <v>18823924.999999996</v>
      </c>
      <c r="L15" s="784">
        <f t="shared" ref="L15" si="8">SUM(L5:L14)</f>
        <v>17742310</v>
      </c>
      <c r="M15" s="785">
        <f t="shared" ref="M15" si="9">SUM(M5:M14)</f>
        <v>1</v>
      </c>
    </row>
    <row r="16" spans="1:13" s="17" customFormat="1" ht="15.75" thickBot="1" x14ac:dyDescent="0.3">
      <c r="A16" s="345" t="s">
        <v>370</v>
      </c>
      <c r="B16" s="77">
        <f>SUM(B5:B13)</f>
        <v>23478342</v>
      </c>
      <c r="C16" s="78">
        <f t="shared" ref="C16:E16" si="10">SUM(C5:C13)</f>
        <v>19033829.369999997</v>
      </c>
      <c r="D16" s="78">
        <f t="shared" si="10"/>
        <v>17262567.689999998</v>
      </c>
      <c r="E16" s="354">
        <f t="shared" si="10"/>
        <v>1</v>
      </c>
      <c r="F16" s="77">
        <f>SUM(F5:F14)</f>
        <v>6052771.9232180687</v>
      </c>
      <c r="G16" s="78">
        <f t="shared" ref="G16:M16" si="11">SUM(G5:G14)</f>
        <v>4754716.2034999989</v>
      </c>
      <c r="H16" s="78">
        <f t="shared" si="11"/>
        <v>4294838.9899999993</v>
      </c>
      <c r="I16" s="79">
        <f t="shared" si="11"/>
        <v>1.0000000000000002</v>
      </c>
      <c r="J16" s="77">
        <f>SUM(J5:J14)</f>
        <v>25131703</v>
      </c>
      <c r="K16" s="78">
        <f t="shared" si="11"/>
        <v>18823924.999999996</v>
      </c>
      <c r="L16" s="78">
        <f t="shared" si="11"/>
        <v>17742310</v>
      </c>
      <c r="M16" s="79">
        <f t="shared" si="11"/>
        <v>1</v>
      </c>
    </row>
    <row r="19" spans="1:13" ht="15.75" thickBot="1" x14ac:dyDescent="0.3">
      <c r="C19" s="1004"/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</row>
    <row r="20" spans="1:13" ht="15.75" thickBot="1" x14ac:dyDescent="0.3">
      <c r="A20" s="340" t="s">
        <v>494</v>
      </c>
      <c r="B20" s="42">
        <v>2021</v>
      </c>
      <c r="C20" s="43">
        <v>2020</v>
      </c>
      <c r="D20" s="43">
        <v>2019</v>
      </c>
      <c r="E20" s="44" t="s">
        <v>495</v>
      </c>
      <c r="F20" s="42">
        <v>2021</v>
      </c>
      <c r="G20" s="43">
        <v>2020</v>
      </c>
      <c r="H20" s="43">
        <v>2019</v>
      </c>
      <c r="I20" s="44" t="s">
        <v>495</v>
      </c>
      <c r="J20" s="42">
        <v>2021</v>
      </c>
      <c r="K20" s="43">
        <v>2020</v>
      </c>
      <c r="L20" s="43">
        <v>2019</v>
      </c>
      <c r="M20" s="44" t="s">
        <v>495</v>
      </c>
    </row>
    <row r="21" spans="1:13" x14ac:dyDescent="0.25">
      <c r="A21" s="342" t="s">
        <v>2</v>
      </c>
      <c r="B21" s="1234">
        <f>B4/B$4</f>
        <v>1</v>
      </c>
      <c r="C21" s="1239">
        <f t="shared" ref="C21:L21" si="12">C4/C$4</f>
        <v>1</v>
      </c>
      <c r="D21" s="1239">
        <f t="shared" si="12"/>
        <v>1</v>
      </c>
      <c r="E21" s="1240">
        <f>E4-B21</f>
        <v>0</v>
      </c>
      <c r="F21" s="1241">
        <f t="shared" si="12"/>
        <v>1</v>
      </c>
      <c r="G21" s="1239">
        <f t="shared" si="12"/>
        <v>1</v>
      </c>
      <c r="H21" s="1239">
        <f t="shared" si="12"/>
        <v>1</v>
      </c>
      <c r="I21" s="1240">
        <f>I4-F21</f>
        <v>0</v>
      </c>
      <c r="J21" s="1234">
        <f t="shared" si="12"/>
        <v>1</v>
      </c>
      <c r="K21" s="1239">
        <f t="shared" si="12"/>
        <v>1</v>
      </c>
      <c r="L21" s="1239">
        <f t="shared" si="12"/>
        <v>1</v>
      </c>
      <c r="M21" s="1240">
        <f>M4-J21</f>
        <v>0</v>
      </c>
    </row>
    <row r="22" spans="1:13" x14ac:dyDescent="0.25">
      <c r="A22" s="343" t="s">
        <v>6</v>
      </c>
      <c r="B22" s="1235">
        <f>B5/B$4</f>
        <v>7.9611831192397967E-2</v>
      </c>
      <c r="C22" s="1242">
        <f t="shared" ref="C22:L22" si="13">C5/C$4</f>
        <v>8.7081750817759832E-2</v>
      </c>
      <c r="D22" s="1242">
        <f t="shared" si="13"/>
        <v>8.7284774443860819E-2</v>
      </c>
      <c r="E22" s="352">
        <f t="shared" ref="E22:E33" si="14">E5-B22</f>
        <v>6.6008723794854368E-3</v>
      </c>
      <c r="F22" s="1243">
        <f t="shared" si="13"/>
        <v>8.4968266860633065E-2</v>
      </c>
      <c r="G22" s="1242">
        <f t="shared" si="13"/>
        <v>8.7142770244069787E-2</v>
      </c>
      <c r="H22" s="1242">
        <f t="shared" si="13"/>
        <v>8.5795944853811756E-2</v>
      </c>
      <c r="I22" s="352">
        <f t="shared" ref="I22:I33" si="15">I5-F22</f>
        <v>8.1788719254873021E-4</v>
      </c>
      <c r="J22" s="1244">
        <f t="shared" si="13"/>
        <v>5.7282932375012918E-2</v>
      </c>
      <c r="K22" s="1242">
        <f t="shared" si="13"/>
        <v>5.167259054186725E-2</v>
      </c>
      <c r="L22" s="1242">
        <f t="shared" si="13"/>
        <v>5.1055978618342254E-2</v>
      </c>
      <c r="M22" s="352">
        <f t="shared" ref="M22:M33" si="16">M5-J22</f>
        <v>-2.9284944409326413E-3</v>
      </c>
    </row>
    <row r="23" spans="1:13" x14ac:dyDescent="0.25">
      <c r="A23" s="343" t="s">
        <v>3</v>
      </c>
      <c r="B23" s="1235">
        <f t="shared" ref="B23:B31" si="17">B6/B$4</f>
        <v>0.20518846116086478</v>
      </c>
      <c r="C23" s="1242">
        <f t="shared" ref="C23:L23" si="18">C6/C$4</f>
        <v>0.15682913174112159</v>
      </c>
      <c r="D23" s="1242">
        <f t="shared" si="18"/>
        <v>0.1482659867295088</v>
      </c>
      <c r="E23" s="352">
        <f t="shared" si="14"/>
        <v>-2.0919978349055068E-2</v>
      </c>
      <c r="F23" s="1243">
        <f t="shared" si="18"/>
        <v>0.20053270221385841</v>
      </c>
      <c r="G23" s="1242">
        <f t="shared" si="18"/>
        <v>0.1722808734494404</v>
      </c>
      <c r="H23" s="1242">
        <f t="shared" si="18"/>
        <v>0.16198416052382872</v>
      </c>
      <c r="I23" s="352">
        <f t="shared" si="15"/>
        <v>-1.6185255619978911E-2</v>
      </c>
      <c r="J23" s="1244">
        <f t="shared" si="18"/>
        <v>0.25628590534775558</v>
      </c>
      <c r="K23" s="1242">
        <f t="shared" si="18"/>
        <v>0.23489238375017613</v>
      </c>
      <c r="L23" s="1242">
        <f t="shared" si="18"/>
        <v>0.23552898354272922</v>
      </c>
      <c r="M23" s="352">
        <f t="shared" si="16"/>
        <v>-1.0569445939135808E-2</v>
      </c>
    </row>
    <row r="24" spans="1:13" x14ac:dyDescent="0.25">
      <c r="A24" s="343" t="s">
        <v>5</v>
      </c>
      <c r="B24" s="1235">
        <f t="shared" si="17"/>
        <v>0.1946946656816497</v>
      </c>
      <c r="C24" s="1242">
        <f t="shared" ref="C24:L24" si="19">C7/C$4</f>
        <v>0.18146528992540609</v>
      </c>
      <c r="D24" s="1242">
        <f t="shared" si="19"/>
        <v>0.1760900940848926</v>
      </c>
      <c r="E24" s="352">
        <f t="shared" si="14"/>
        <v>-1.877498168537467E-3</v>
      </c>
      <c r="F24" s="1243">
        <f t="shared" si="19"/>
        <v>0.1542092990984289</v>
      </c>
      <c r="G24" s="1242">
        <f t="shared" si="19"/>
        <v>0.14975259590910386</v>
      </c>
      <c r="H24" s="1242">
        <f t="shared" si="19"/>
        <v>0.15360573469692346</v>
      </c>
      <c r="I24" s="352">
        <f t="shared" si="15"/>
        <v>-1.4577227874636445E-3</v>
      </c>
      <c r="J24" s="1244">
        <f t="shared" si="19"/>
        <v>0.24228406814627995</v>
      </c>
      <c r="K24" s="1242">
        <f t="shared" si="19"/>
        <v>0.23896134252806958</v>
      </c>
      <c r="L24" s="1242">
        <f t="shared" si="19"/>
        <v>0.24070592611672326</v>
      </c>
      <c r="M24" s="352">
        <f t="shared" si="16"/>
        <v>-1.3124509116619887E-3</v>
      </c>
    </row>
    <row r="25" spans="1:13" x14ac:dyDescent="0.25">
      <c r="A25" s="343" t="s">
        <v>7</v>
      </c>
      <c r="B25" s="1235">
        <f t="shared" si="17"/>
        <v>9.7942346692892146E-2</v>
      </c>
      <c r="C25" s="1242">
        <f t="shared" ref="C25:L25" si="20">C8/C$4</f>
        <v>7.199411518854737E-2</v>
      </c>
      <c r="D25" s="1242">
        <f t="shared" si="20"/>
        <v>6.8166621229217517E-2</v>
      </c>
      <c r="E25" s="352">
        <f t="shared" si="14"/>
        <v>-1.145566580822463E-2</v>
      </c>
      <c r="F25" s="1243">
        <f t="shared" si="20"/>
        <v>0.1223530553554686</v>
      </c>
      <c r="G25" s="1242">
        <f t="shared" si="20"/>
        <v>0.10321433679988551</v>
      </c>
      <c r="H25" s="1242">
        <f t="shared" si="20"/>
        <v>9.3448473854316774E-2</v>
      </c>
      <c r="I25" s="352">
        <f t="shared" si="15"/>
        <v>-1.1522531047338913E-2</v>
      </c>
      <c r="J25" s="1244">
        <f t="shared" si="20"/>
        <v>3.7078746198725421E-2</v>
      </c>
      <c r="K25" s="1242">
        <f t="shared" si="20"/>
        <v>3.2853628007796717E-2</v>
      </c>
      <c r="L25" s="1242">
        <f t="shared" si="20"/>
        <v>3.091393792578306E-2</v>
      </c>
      <c r="M25" s="352">
        <f t="shared" si="16"/>
        <v>-2.5004978495557773E-3</v>
      </c>
    </row>
    <row r="26" spans="1:13" x14ac:dyDescent="0.25">
      <c r="A26" s="343" t="s">
        <v>0</v>
      </c>
      <c r="B26" s="1235">
        <f t="shared" si="17"/>
        <v>0.19778256183490858</v>
      </c>
      <c r="C26" s="1242">
        <f t="shared" ref="C26:L26" si="21">C9/C$4</f>
        <v>0.19242840154290025</v>
      </c>
      <c r="D26" s="1242">
        <f t="shared" si="21"/>
        <v>0.19856179866590129</v>
      </c>
      <c r="E26" s="352">
        <f t="shared" si="14"/>
        <v>4.8667316049609E-3</v>
      </c>
      <c r="F26" s="1243">
        <f t="shared" si="21"/>
        <v>0.18935988211979574</v>
      </c>
      <c r="G26" s="1242">
        <f t="shared" si="21"/>
        <v>0.19943131854837018</v>
      </c>
      <c r="H26" s="1242">
        <f t="shared" si="21"/>
        <v>0.20600467910438552</v>
      </c>
      <c r="I26" s="352">
        <f t="shared" si="15"/>
        <v>6.3503916224760537E-3</v>
      </c>
      <c r="J26" s="1244">
        <f t="shared" si="21"/>
        <v>0.19468181716721866</v>
      </c>
      <c r="K26" s="1242">
        <f t="shared" si="21"/>
        <v>0.21183001894624406</v>
      </c>
      <c r="L26" s="1242">
        <f t="shared" si="21"/>
        <v>0.21106234306581273</v>
      </c>
      <c r="M26" s="352">
        <f t="shared" si="16"/>
        <v>8.4205618401947679E-3</v>
      </c>
    </row>
    <row r="27" spans="1:13" x14ac:dyDescent="0.25">
      <c r="A27" s="343" t="s">
        <v>1</v>
      </c>
      <c r="B27" s="1235">
        <f t="shared" si="17"/>
        <v>7.0996908014989923E-2</v>
      </c>
      <c r="C27" s="1242">
        <f t="shared" ref="C27:L27" si="22">C10/C$4</f>
        <v>7.5089496406001655E-2</v>
      </c>
      <c r="D27" s="1242">
        <f t="shared" si="22"/>
        <v>7.8773395572122359E-2</v>
      </c>
      <c r="E27" s="352">
        <f t="shared" si="14"/>
        <v>5.2649056623599588E-3</v>
      </c>
      <c r="F27" s="1243">
        <f t="shared" si="22"/>
        <v>7.4983946839136395E-2</v>
      </c>
      <c r="G27" s="1242">
        <f t="shared" si="22"/>
        <v>8.1141762861889538E-2</v>
      </c>
      <c r="H27" s="1242">
        <f t="shared" si="22"/>
        <v>8.3111921075504816E-2</v>
      </c>
      <c r="I27" s="352">
        <f t="shared" si="15"/>
        <v>3.4729401684040762E-3</v>
      </c>
      <c r="J27" s="1244">
        <f t="shared" si="22"/>
        <v>7.726014736288056E-2</v>
      </c>
      <c r="K27" s="1242">
        <f t="shared" si="22"/>
        <v>8.8789861248182458E-2</v>
      </c>
      <c r="L27" s="1242">
        <f t="shared" si="22"/>
        <v>8.9688828568546042E-2</v>
      </c>
      <c r="M27" s="352">
        <f t="shared" si="16"/>
        <v>5.9446488696183741E-3</v>
      </c>
    </row>
    <row r="28" spans="1:13" x14ac:dyDescent="0.25">
      <c r="A28" s="343" t="s">
        <v>4</v>
      </c>
      <c r="B28" s="1235">
        <f t="shared" si="17"/>
        <v>0.13891856977751296</v>
      </c>
      <c r="C28" s="1242">
        <f t="shared" ref="C28:L28" si="23">C11/C$4</f>
        <v>0.15475859838258973</v>
      </c>
      <c r="D28" s="1242">
        <f t="shared" si="23"/>
        <v>0.16176935058752465</v>
      </c>
      <c r="E28" s="352">
        <f t="shared" si="14"/>
        <v>1.4429615498694121E-2</v>
      </c>
      <c r="F28" s="1243">
        <f t="shared" si="23"/>
        <v>0.14913104305497246</v>
      </c>
      <c r="G28" s="1242">
        <f t="shared" si="23"/>
        <v>0.16589849344403967</v>
      </c>
      <c r="H28" s="1242">
        <f t="shared" si="23"/>
        <v>0.17454979569664894</v>
      </c>
      <c r="I28" s="352">
        <f t="shared" si="15"/>
        <v>1.0113986672233677E-2</v>
      </c>
      <c r="J28" s="1244">
        <f t="shared" si="23"/>
        <v>9.918321488930594E-2</v>
      </c>
      <c r="K28" s="1242">
        <f t="shared" si="23"/>
        <v>0.113404384973154</v>
      </c>
      <c r="L28" s="1242">
        <f t="shared" si="23"/>
        <v>0.11332356722433551</v>
      </c>
      <c r="M28" s="352">
        <f t="shared" si="16"/>
        <v>7.0944195188914622E-3</v>
      </c>
    </row>
    <row r="29" spans="1:13" x14ac:dyDescent="0.25">
      <c r="A29" s="343" t="s">
        <v>17</v>
      </c>
      <c r="B29" s="1235">
        <f t="shared" si="17"/>
        <v>1.2349880922693134E-2</v>
      </c>
      <c r="C29" s="1242">
        <f t="shared" ref="C29:L29" si="24">C12/C$4</f>
        <v>1.6149022018945282E-2</v>
      </c>
      <c r="D29" s="1242">
        <f t="shared" si="24"/>
        <v>1.6697624509852124E-2</v>
      </c>
      <c r="E29" s="352">
        <f t="shared" si="14"/>
        <v>2.5398698180708369E-3</v>
      </c>
      <c r="F29" s="1243">
        <f t="shared" si="24"/>
        <v>1.1770956328755263E-2</v>
      </c>
      <c r="G29" s="1242">
        <f t="shared" si="24"/>
        <v>1.5524715442126845E-2</v>
      </c>
      <c r="H29" s="1242">
        <f t="shared" si="24"/>
        <v>1.744994166253962E-2</v>
      </c>
      <c r="I29" s="352">
        <f t="shared" si="15"/>
        <v>2.2619248835540947E-3</v>
      </c>
      <c r="J29" s="1244">
        <f t="shared" si="24"/>
        <v>2.9119874173265305E-2</v>
      </c>
      <c r="K29" s="1242">
        <f t="shared" si="24"/>
        <v>1.6849067715712152E-2</v>
      </c>
      <c r="L29" s="1242">
        <f t="shared" si="24"/>
        <v>1.3982378281069376E-2</v>
      </c>
      <c r="M29" s="352">
        <f t="shared" si="16"/>
        <v>-6.708741695050556E-3</v>
      </c>
    </row>
    <row r="30" spans="1:13" x14ac:dyDescent="0.25">
      <c r="A30" s="343" t="s">
        <v>205</v>
      </c>
      <c r="B30" s="1235">
        <f t="shared" si="17"/>
        <v>2.510387719459274E-3</v>
      </c>
      <c r="C30" s="1242">
        <f t="shared" ref="C30:L30" si="25">C13/C$4</f>
        <v>3.4168140007786543E-3</v>
      </c>
      <c r="D30" s="1242">
        <f t="shared" si="25"/>
        <v>3.3772352287675827E-3</v>
      </c>
      <c r="E30" s="352">
        <f t="shared" si="14"/>
        <v>5.5553436487756902E-4</v>
      </c>
      <c r="F30" s="1243">
        <f t="shared" si="25"/>
        <v>8.1186216093251859E-5</v>
      </c>
      <c r="G30" s="1242">
        <f t="shared" si="25"/>
        <v>2.5090877119476006E-4</v>
      </c>
      <c r="H30" s="1242">
        <f t="shared" si="25"/>
        <v>3.0217663572487816E-5</v>
      </c>
      <c r="I30" s="352">
        <f t="shared" si="15"/>
        <v>4.0723056555311767E-5</v>
      </c>
      <c r="J30" s="1244">
        <f t="shared" si="25"/>
        <v>5.1803495043829502E-3</v>
      </c>
      <c r="K30" s="1242">
        <f t="shared" si="25"/>
        <v>8.2052100582567719E-3</v>
      </c>
      <c r="L30" s="1242">
        <f t="shared" si="25"/>
        <v>9.2568769230162249E-3</v>
      </c>
      <c r="M30" s="352">
        <f t="shared" si="16"/>
        <v>1.7227635468247647E-3</v>
      </c>
    </row>
    <row r="31" spans="1:13" ht="15.75" thickBot="1" x14ac:dyDescent="0.3">
      <c r="A31" s="344" t="s">
        <v>64</v>
      </c>
      <c r="B31" s="1236">
        <f t="shared" si="17"/>
        <v>0</v>
      </c>
      <c r="C31" s="1245">
        <f t="shared" ref="C31:L31" si="26">C14/C$4</f>
        <v>6.0787379975949539E-2</v>
      </c>
      <c r="D31" s="1245">
        <f t="shared" si="26"/>
        <v>6.1013119492295771E-2</v>
      </c>
      <c r="E31" s="780">
        <f t="shared" si="14"/>
        <v>0</v>
      </c>
      <c r="F31" s="1246">
        <f t="shared" si="26"/>
        <v>1.2609649227442005E-2</v>
      </c>
      <c r="G31" s="1245">
        <f t="shared" si="26"/>
        <v>2.5362224529879174E-2</v>
      </c>
      <c r="H31" s="1245">
        <f t="shared" si="26"/>
        <v>2.4019128540091954E-2</v>
      </c>
      <c r="I31" s="780">
        <f t="shared" si="15"/>
        <v>6.1076685444255794E-3</v>
      </c>
      <c r="J31" s="1247">
        <f t="shared" si="26"/>
        <v>1.6429846255538124E-3</v>
      </c>
      <c r="K31" s="1245">
        <f t="shared" si="26"/>
        <v>2.541512230540987E-3</v>
      </c>
      <c r="L31" s="1245">
        <f t="shared" si="26"/>
        <v>4.4811797336423492E-3</v>
      </c>
      <c r="M31" s="780">
        <f t="shared" si="16"/>
        <v>8.3719727042636883E-4</v>
      </c>
    </row>
    <row r="32" spans="1:13" ht="15.75" thickBot="1" x14ac:dyDescent="0.3">
      <c r="A32" s="342" t="s">
        <v>2</v>
      </c>
      <c r="B32" s="1237">
        <f>SUM(B22:B31)</f>
        <v>0.99999561299736861</v>
      </c>
      <c r="C32" s="1248">
        <f t="shared" ref="C32:L32" si="27">SUM(C22:C31)</f>
        <v>0.99999999999999989</v>
      </c>
      <c r="D32" s="1248">
        <f t="shared" si="27"/>
        <v>1.0000000005439433</v>
      </c>
      <c r="E32" s="1249">
        <f t="shared" si="14"/>
        <v>4.3870026313896915E-6</v>
      </c>
      <c r="F32" s="1237">
        <f t="shared" si="27"/>
        <v>0.99999998731458406</v>
      </c>
      <c r="G32" s="1248">
        <f t="shared" si="27"/>
        <v>0.99999999999999967</v>
      </c>
      <c r="H32" s="1248">
        <f t="shared" si="27"/>
        <v>0.99999999767162395</v>
      </c>
      <c r="I32" s="1249">
        <f t="shared" si="15"/>
        <v>1.2685416161950513E-8</v>
      </c>
      <c r="J32" s="1237">
        <f t="shared" si="27"/>
        <v>1.0000000397903812</v>
      </c>
      <c r="K32" s="1248">
        <f t="shared" si="27"/>
        <v>1</v>
      </c>
      <c r="L32" s="1248">
        <f t="shared" si="27"/>
        <v>1</v>
      </c>
      <c r="M32" s="1249">
        <f t="shared" si="16"/>
        <v>-3.9790381212156944E-8</v>
      </c>
    </row>
    <row r="33" spans="1:13" ht="15.75" thickBot="1" x14ac:dyDescent="0.3">
      <c r="A33" s="345" t="s">
        <v>370</v>
      </c>
      <c r="B33" s="1238">
        <f>SUM(B22:B30)</f>
        <v>0.99999561299736861</v>
      </c>
      <c r="C33" s="1250">
        <f t="shared" ref="C33:L33" si="28">SUM(C22:C30)</f>
        <v>0.93921262002405037</v>
      </c>
      <c r="D33" s="1250">
        <f t="shared" si="28"/>
        <v>0.93898688105164763</v>
      </c>
      <c r="E33" s="1251">
        <f t="shared" si="14"/>
        <v>4.3870026313896915E-6</v>
      </c>
      <c r="F33" s="1238">
        <f t="shared" si="28"/>
        <v>0.98739033808714205</v>
      </c>
      <c r="G33" s="1250">
        <f t="shared" si="28"/>
        <v>0.97463777547012054</v>
      </c>
      <c r="H33" s="1250">
        <f t="shared" si="28"/>
        <v>0.97598086913153204</v>
      </c>
      <c r="I33" s="1251">
        <f t="shared" si="15"/>
        <v>1.2609661912858172E-2</v>
      </c>
      <c r="J33" s="1238">
        <f t="shared" si="28"/>
        <v>0.99835705516482731</v>
      </c>
      <c r="K33" s="1250">
        <f t="shared" si="28"/>
        <v>0.99745848776945911</v>
      </c>
      <c r="L33" s="1250">
        <f t="shared" si="28"/>
        <v>0.99551882026635763</v>
      </c>
      <c r="M33" s="1251">
        <f t="shared" si="16"/>
        <v>1.6429448351726883E-3</v>
      </c>
    </row>
  </sheetData>
  <sheetProtection algorithmName="SHA-512" hashValue="3slVvh5h/tZVXgX+QMd0tl21SFGHF/Ors4I955sQA4te5jMMI/MuRKBA0oWcAHzKO8P6Gpn30m7QesTCkh7kvQ==" saltValue="8eHZxbjowz9lyRiVfNg2qQ==" spinCount="100000" sheet="1" objects="1" scenarios="1"/>
  <mergeCells count="3">
    <mergeCell ref="B2:E2"/>
    <mergeCell ref="F2:I2"/>
    <mergeCell ref="J2:M2"/>
  </mergeCells>
  <conditionalFormatting sqref="E21:E33 I21:I33 M21:M3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  <ignoredErrors>
    <ignoredError sqref="D15:D16 H15:I16 L15:L16 C15:C16 G15:G16 K15:K16" formulaRange="1"/>
    <ignoredError sqref="I21 I22:I33 E21:E33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BI45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ColWidth="9.42578125" defaultRowHeight="15" x14ac:dyDescent="0.25"/>
  <cols>
    <col min="1" max="1" width="48" style="1" customWidth="1"/>
    <col min="2" max="10" width="9.42578125" style="1"/>
    <col min="11" max="12" width="10.28515625" style="1" customWidth="1"/>
    <col min="13" max="37" width="9.42578125" style="1"/>
    <col min="38" max="38" width="9.42578125" style="3"/>
    <col min="39" max="39" width="9.42578125" style="4"/>
    <col min="40" max="58" width="9.42578125" style="1"/>
    <col min="62" max="16384" width="9.42578125" style="1"/>
  </cols>
  <sheetData>
    <row r="1" spans="1:12" ht="100.9" customHeight="1" thickBot="1" x14ac:dyDescent="0.3">
      <c r="A1" s="497"/>
      <c r="B1" s="503" t="s">
        <v>9</v>
      </c>
      <c r="C1" s="484" t="s">
        <v>10</v>
      </c>
      <c r="D1" s="484" t="s">
        <v>356</v>
      </c>
      <c r="E1" s="484" t="s">
        <v>357</v>
      </c>
      <c r="F1" s="484" t="s">
        <v>11</v>
      </c>
      <c r="G1" s="484" t="s">
        <v>12</v>
      </c>
      <c r="H1" s="484" t="s">
        <v>13</v>
      </c>
      <c r="I1" s="484" t="s">
        <v>358</v>
      </c>
      <c r="J1" s="484" t="s">
        <v>359</v>
      </c>
      <c r="K1" s="484" t="s">
        <v>14</v>
      </c>
      <c r="L1" s="485" t="s">
        <v>15</v>
      </c>
    </row>
    <row r="2" spans="1:12" x14ac:dyDescent="0.25">
      <c r="A2" s="498" t="s">
        <v>18</v>
      </c>
      <c r="B2" s="504">
        <v>10981</v>
      </c>
      <c r="C2" s="333">
        <v>487</v>
      </c>
      <c r="D2" s="333">
        <v>10211</v>
      </c>
      <c r="E2" s="333">
        <v>7589</v>
      </c>
      <c r="F2" s="333">
        <v>10943.6</v>
      </c>
      <c r="G2" s="333">
        <v>17081.468821311242</v>
      </c>
      <c r="H2" s="333">
        <v>17958.209500000001</v>
      </c>
      <c r="I2" s="333">
        <v>7392</v>
      </c>
      <c r="J2" s="333">
        <v>9250</v>
      </c>
      <c r="K2" s="333">
        <v>2990.1388645376883</v>
      </c>
      <c r="L2" s="334">
        <v>20071.607685848929</v>
      </c>
    </row>
    <row r="3" spans="1:12" x14ac:dyDescent="0.25">
      <c r="A3" s="499" t="s">
        <v>6</v>
      </c>
      <c r="B3" s="505">
        <v>914</v>
      </c>
      <c r="C3" s="506">
        <v>33</v>
      </c>
      <c r="D3" s="506">
        <v>842</v>
      </c>
      <c r="E3" s="506">
        <v>0</v>
      </c>
      <c r="F3" s="506">
        <v>992.4</v>
      </c>
      <c r="G3" s="506">
        <v>1604.8292958267789</v>
      </c>
      <c r="H3" s="506">
        <v>1803.8999999999999</v>
      </c>
      <c r="I3" s="506">
        <v>456</v>
      </c>
      <c r="J3" s="506">
        <v>822</v>
      </c>
      <c r="K3" s="507">
        <v>184.99161353937265</v>
      </c>
      <c r="L3" s="508">
        <v>1789.8209093661515</v>
      </c>
    </row>
    <row r="4" spans="1:12" x14ac:dyDescent="0.25">
      <c r="A4" s="499" t="s">
        <v>3</v>
      </c>
      <c r="B4" s="505">
        <v>2285</v>
      </c>
      <c r="C4" s="506">
        <v>73</v>
      </c>
      <c r="D4" s="506">
        <v>2150</v>
      </c>
      <c r="E4" s="506">
        <v>2039</v>
      </c>
      <c r="F4" s="506">
        <v>2142.1</v>
      </c>
      <c r="G4" s="506">
        <v>3320.0624623655908</v>
      </c>
      <c r="H4" s="506">
        <v>3360.1079999999993</v>
      </c>
      <c r="I4" s="506">
        <v>1774</v>
      </c>
      <c r="J4" s="506">
        <v>1878</v>
      </c>
      <c r="K4" s="507">
        <v>434.58515811739824</v>
      </c>
      <c r="L4" s="508">
        <v>3754.6476204829892</v>
      </c>
    </row>
    <row r="5" spans="1:12" x14ac:dyDescent="0.25">
      <c r="A5" s="499" t="s">
        <v>5</v>
      </c>
      <c r="B5" s="505">
        <v>1474</v>
      </c>
      <c r="C5" s="506">
        <v>136</v>
      </c>
      <c r="D5" s="506">
        <v>1302</v>
      </c>
      <c r="E5" s="506">
        <v>1069</v>
      </c>
      <c r="F5" s="506">
        <v>1666.5999999999997</v>
      </c>
      <c r="G5" s="506">
        <v>2928.9614468024351</v>
      </c>
      <c r="H5" s="506">
        <v>3189.4674999999997</v>
      </c>
      <c r="I5" s="506">
        <v>1026</v>
      </c>
      <c r="J5" s="506">
        <v>1291</v>
      </c>
      <c r="K5" s="507">
        <v>633.33301389753547</v>
      </c>
      <c r="L5" s="508">
        <v>3562.2944606999708</v>
      </c>
    </row>
    <row r="6" spans="1:12" x14ac:dyDescent="0.25">
      <c r="A6" s="499" t="s">
        <v>7</v>
      </c>
      <c r="B6" s="505">
        <v>1302</v>
      </c>
      <c r="C6" s="506">
        <v>29</v>
      </c>
      <c r="D6" s="506">
        <v>1248</v>
      </c>
      <c r="E6" s="506">
        <v>1248</v>
      </c>
      <c r="F6" s="506">
        <v>1283.5</v>
      </c>
      <c r="G6" s="506">
        <v>1967.4762711553619</v>
      </c>
      <c r="H6" s="506">
        <v>1974.9800000000002</v>
      </c>
      <c r="I6" s="506">
        <v>1157</v>
      </c>
      <c r="J6" s="506">
        <v>1157</v>
      </c>
      <c r="K6" s="507">
        <v>301.203125</v>
      </c>
      <c r="L6" s="508">
        <v>2268.6793961553622</v>
      </c>
    </row>
    <row r="7" spans="1:12" x14ac:dyDescent="0.25">
      <c r="A7" s="499" t="s">
        <v>0</v>
      </c>
      <c r="B7" s="505">
        <v>2142</v>
      </c>
      <c r="C7" s="506">
        <v>117</v>
      </c>
      <c r="D7" s="506">
        <v>1978</v>
      </c>
      <c r="E7" s="506">
        <v>1352</v>
      </c>
      <c r="F7" s="506">
        <v>2125.4</v>
      </c>
      <c r="G7" s="506">
        <v>3214.3303424513115</v>
      </c>
      <c r="H7" s="506">
        <v>3378.518</v>
      </c>
      <c r="I7" s="506">
        <v>1345</v>
      </c>
      <c r="J7" s="506">
        <v>1808</v>
      </c>
      <c r="K7" s="507">
        <v>623.55558149452588</v>
      </c>
      <c r="L7" s="508">
        <v>3837.8859239458375</v>
      </c>
    </row>
    <row r="8" spans="1:12" x14ac:dyDescent="0.25">
      <c r="A8" s="499" t="s">
        <v>1</v>
      </c>
      <c r="B8" s="505">
        <v>850</v>
      </c>
      <c r="C8" s="506">
        <v>29</v>
      </c>
      <c r="D8" s="506">
        <v>788</v>
      </c>
      <c r="E8" s="506">
        <v>663</v>
      </c>
      <c r="F8" s="506">
        <v>814.99999999999989</v>
      </c>
      <c r="G8" s="506">
        <v>1236.3316941620064</v>
      </c>
      <c r="H8" s="506">
        <v>1277.7000000000003</v>
      </c>
      <c r="I8" s="506">
        <v>591</v>
      </c>
      <c r="J8" s="506">
        <v>681</v>
      </c>
      <c r="K8" s="507">
        <v>274.86340476190475</v>
      </c>
      <c r="L8" s="508">
        <v>1511.1950989239112</v>
      </c>
    </row>
    <row r="9" spans="1:12" x14ac:dyDescent="0.25">
      <c r="A9" s="499" t="s">
        <v>4</v>
      </c>
      <c r="B9" s="505">
        <v>1873</v>
      </c>
      <c r="C9" s="506">
        <v>61</v>
      </c>
      <c r="D9" s="506">
        <v>1783</v>
      </c>
      <c r="E9" s="506">
        <v>1218</v>
      </c>
      <c r="F9" s="506">
        <v>1766.0999999999997</v>
      </c>
      <c r="G9" s="506">
        <v>2579.4693085477543</v>
      </c>
      <c r="H9" s="506">
        <v>2732.7780000000002</v>
      </c>
      <c r="I9" s="506">
        <v>1001</v>
      </c>
      <c r="J9" s="506">
        <v>1500</v>
      </c>
      <c r="K9" s="507">
        <v>480.32696772695095</v>
      </c>
      <c r="L9" s="508">
        <v>3059.7962762747052</v>
      </c>
    </row>
    <row r="10" spans="1:12" x14ac:dyDescent="0.25">
      <c r="A10" s="499" t="s">
        <v>17</v>
      </c>
      <c r="B10" s="505">
        <v>141</v>
      </c>
      <c r="C10" s="506">
        <v>9</v>
      </c>
      <c r="D10" s="506">
        <v>120</v>
      </c>
      <c r="E10" s="506">
        <v>0</v>
      </c>
      <c r="F10" s="506">
        <v>152.5</v>
      </c>
      <c r="G10" s="506">
        <v>230.00799999999998</v>
      </c>
      <c r="H10" s="506">
        <v>240.75799999999998</v>
      </c>
      <c r="I10" s="506">
        <v>42</v>
      </c>
      <c r="J10" s="506">
        <v>113</v>
      </c>
      <c r="K10" s="507">
        <v>57.28</v>
      </c>
      <c r="L10" s="508">
        <v>287.28800000000001</v>
      </c>
    </row>
    <row r="11" spans="1:12" x14ac:dyDescent="0.25">
      <c r="A11" s="500" t="s">
        <v>205</v>
      </c>
      <c r="B11" s="505">
        <v>0</v>
      </c>
      <c r="C11" s="506">
        <v>0</v>
      </c>
      <c r="D11" s="506">
        <v>0</v>
      </c>
      <c r="E11" s="506">
        <v>0</v>
      </c>
      <c r="F11" s="506">
        <v>0</v>
      </c>
      <c r="G11" s="506">
        <v>0</v>
      </c>
      <c r="H11" s="506">
        <v>0</v>
      </c>
      <c r="I11" s="506">
        <v>0</v>
      </c>
      <c r="J11" s="506">
        <v>0</v>
      </c>
      <c r="K11" s="507">
        <v>0</v>
      </c>
      <c r="L11" s="508">
        <v>0</v>
      </c>
    </row>
    <row r="12" spans="1:12" x14ac:dyDescent="0.25">
      <c r="A12" s="501" t="s">
        <v>64</v>
      </c>
      <c r="B12" s="505">
        <v>0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7">
        <v>0</v>
      </c>
      <c r="L12" s="508">
        <v>0</v>
      </c>
    </row>
    <row r="13" spans="1:12" ht="15.75" thickBot="1" x14ac:dyDescent="0.3">
      <c r="A13" s="502" t="s">
        <v>18</v>
      </c>
      <c r="B13" s="509">
        <f>SUM(B3:B12)</f>
        <v>10981</v>
      </c>
      <c r="C13" s="335">
        <f t="shared" ref="C13:L13" si="0">SUM(C3:C12)</f>
        <v>487</v>
      </c>
      <c r="D13" s="335">
        <f t="shared" si="0"/>
        <v>10211</v>
      </c>
      <c r="E13" s="335">
        <f t="shared" si="0"/>
        <v>7589</v>
      </c>
      <c r="F13" s="335">
        <f t="shared" si="0"/>
        <v>10943.6</v>
      </c>
      <c r="G13" s="335">
        <f t="shared" si="0"/>
        <v>17081.468821311242</v>
      </c>
      <c r="H13" s="335">
        <f t="shared" si="0"/>
        <v>17958.209500000001</v>
      </c>
      <c r="I13" s="335">
        <f t="shared" si="0"/>
        <v>7392</v>
      </c>
      <c r="J13" s="335">
        <f t="shared" si="0"/>
        <v>9250</v>
      </c>
      <c r="K13" s="335">
        <f t="shared" si="0"/>
        <v>2990.1388645376883</v>
      </c>
      <c r="L13" s="336">
        <f t="shared" si="0"/>
        <v>20071.607685848929</v>
      </c>
    </row>
    <row r="17" spans="1:12" ht="15.75" thickBot="1" x14ac:dyDescent="0.3">
      <c r="A17" s="1" t="s">
        <v>270</v>
      </c>
    </row>
    <row r="18" spans="1:12" x14ac:dyDescent="0.25">
      <c r="A18" s="498" t="s">
        <v>18</v>
      </c>
      <c r="B18" s="504">
        <f t="shared" ref="B18:L18" si="1">B2-B34</f>
        <v>-154</v>
      </c>
      <c r="C18" s="504">
        <f t="shared" si="1"/>
        <v>14</v>
      </c>
      <c r="D18" s="504">
        <f t="shared" si="1"/>
        <v>-137</v>
      </c>
      <c r="E18" s="504">
        <f t="shared" si="1"/>
        <v>-1422</v>
      </c>
      <c r="F18" s="504">
        <f t="shared" si="1"/>
        <v>-8.3999999999996362</v>
      </c>
      <c r="G18" s="504">
        <f t="shared" si="1"/>
        <v>-728.53117868875779</v>
      </c>
      <c r="H18" s="504">
        <f t="shared" si="1"/>
        <v>0.20950000000084401</v>
      </c>
      <c r="I18" s="504">
        <f t="shared" si="1"/>
        <v>-1419</v>
      </c>
      <c r="J18" s="504">
        <f t="shared" si="1"/>
        <v>86</v>
      </c>
      <c r="K18" s="504">
        <f t="shared" si="1"/>
        <v>-1152.8611354623117</v>
      </c>
      <c r="L18" s="504">
        <f t="shared" si="1"/>
        <v>15928.607685848929</v>
      </c>
    </row>
    <row r="19" spans="1:12" x14ac:dyDescent="0.25">
      <c r="A19" s="499" t="s">
        <v>6</v>
      </c>
      <c r="B19" s="505">
        <f t="shared" ref="B19:L19" si="2">B3-B35</f>
        <v>-15</v>
      </c>
      <c r="C19" s="506">
        <f t="shared" si="2"/>
        <v>-6</v>
      </c>
      <c r="D19" s="506">
        <f t="shared" si="2"/>
        <v>1</v>
      </c>
      <c r="E19" s="506">
        <f t="shared" si="2"/>
        <v>0</v>
      </c>
      <c r="F19" s="506">
        <f t="shared" si="2"/>
        <v>-9.6000000000000227</v>
      </c>
      <c r="G19" s="506">
        <f t="shared" si="2"/>
        <v>-180.17070417322111</v>
      </c>
      <c r="H19" s="506">
        <f t="shared" si="2"/>
        <v>-24.100000000000136</v>
      </c>
      <c r="I19" s="506">
        <f t="shared" si="2"/>
        <v>-195</v>
      </c>
      <c r="J19" s="506">
        <f t="shared" si="2"/>
        <v>19</v>
      </c>
      <c r="K19" s="507">
        <f t="shared" si="2"/>
        <v>-73.008386460627349</v>
      </c>
      <c r="L19" s="508">
        <f t="shared" si="2"/>
        <v>1531.8209093661515</v>
      </c>
    </row>
    <row r="20" spans="1:12" x14ac:dyDescent="0.25">
      <c r="A20" s="499" t="s">
        <v>3</v>
      </c>
      <c r="B20" s="505">
        <f t="shared" ref="B20:L20" si="3">B4-B36</f>
        <v>12</v>
      </c>
      <c r="C20" s="506">
        <f t="shared" si="3"/>
        <v>-3</v>
      </c>
      <c r="D20" s="506">
        <f t="shared" si="3"/>
        <v>17</v>
      </c>
      <c r="E20" s="506">
        <f t="shared" si="3"/>
        <v>-94</v>
      </c>
      <c r="F20" s="506">
        <f t="shared" si="3"/>
        <v>56.099999999999909</v>
      </c>
      <c r="G20" s="506">
        <f t="shared" si="3"/>
        <v>48.062462365590818</v>
      </c>
      <c r="H20" s="506">
        <f t="shared" si="3"/>
        <v>75.107999999999265</v>
      </c>
      <c r="I20" s="506">
        <f t="shared" si="3"/>
        <v>-51</v>
      </c>
      <c r="J20" s="506">
        <f t="shared" si="3"/>
        <v>53</v>
      </c>
      <c r="K20" s="507">
        <f t="shared" si="3"/>
        <v>-175.41484188260176</v>
      </c>
      <c r="L20" s="508">
        <f t="shared" si="3"/>
        <v>3144.6476204829892</v>
      </c>
    </row>
    <row r="21" spans="1:12" x14ac:dyDescent="0.25">
      <c r="A21" s="499" t="s">
        <v>5</v>
      </c>
      <c r="B21" s="505">
        <f t="shared" ref="B21:L21" si="4">B5-B37</f>
        <v>10</v>
      </c>
      <c r="C21" s="506">
        <f t="shared" si="4"/>
        <v>4</v>
      </c>
      <c r="D21" s="506">
        <f t="shared" si="4"/>
        <v>5</v>
      </c>
      <c r="E21" s="506">
        <f t="shared" si="4"/>
        <v>-228</v>
      </c>
      <c r="F21" s="506">
        <f t="shared" si="4"/>
        <v>61.599999999999682</v>
      </c>
      <c r="G21" s="506">
        <f t="shared" si="4"/>
        <v>-141.03855319756485</v>
      </c>
      <c r="H21" s="506">
        <f t="shared" si="4"/>
        <v>90.467499999999745</v>
      </c>
      <c r="I21" s="506">
        <f t="shared" si="4"/>
        <v>-211</v>
      </c>
      <c r="J21" s="506">
        <f t="shared" si="4"/>
        <v>54</v>
      </c>
      <c r="K21" s="507">
        <f t="shared" si="4"/>
        <v>-281.66698610246453</v>
      </c>
      <c r="L21" s="508">
        <f t="shared" si="4"/>
        <v>2647.2944606999708</v>
      </c>
    </row>
    <row r="22" spans="1:12" x14ac:dyDescent="0.25">
      <c r="A22" s="499" t="s">
        <v>7</v>
      </c>
      <c r="B22" s="505">
        <f t="shared" ref="B22:L22" si="5">B6-B38</f>
        <v>45</v>
      </c>
      <c r="C22" s="506">
        <f t="shared" si="5"/>
        <v>2</v>
      </c>
      <c r="D22" s="506">
        <f t="shared" si="5"/>
        <v>40</v>
      </c>
      <c r="E22" s="506">
        <f t="shared" si="5"/>
        <v>40</v>
      </c>
      <c r="F22" s="506">
        <f t="shared" si="5"/>
        <v>22.5</v>
      </c>
      <c r="G22" s="506">
        <f t="shared" si="5"/>
        <v>34.476271155361928</v>
      </c>
      <c r="H22" s="506">
        <f t="shared" si="5"/>
        <v>37.980000000000246</v>
      </c>
      <c r="I22" s="506">
        <f t="shared" si="5"/>
        <v>37</v>
      </c>
      <c r="J22" s="506">
        <f t="shared" si="5"/>
        <v>37</v>
      </c>
      <c r="K22" s="507">
        <f t="shared" si="5"/>
        <v>86.203125</v>
      </c>
      <c r="L22" s="508">
        <f t="shared" si="5"/>
        <v>2053.6793961553622</v>
      </c>
    </row>
    <row r="23" spans="1:12" x14ac:dyDescent="0.25">
      <c r="A23" s="499" t="s">
        <v>0</v>
      </c>
      <c r="B23" s="505">
        <f t="shared" ref="B23:L23" si="6">B7-B39</f>
        <v>-88</v>
      </c>
      <c r="C23" s="506">
        <f t="shared" si="6"/>
        <v>10</v>
      </c>
      <c r="D23" s="506">
        <f t="shared" si="6"/>
        <v>-94</v>
      </c>
      <c r="E23" s="506">
        <f t="shared" si="6"/>
        <v>-500</v>
      </c>
      <c r="F23" s="506">
        <f t="shared" si="6"/>
        <v>-36.599999999999909</v>
      </c>
      <c r="G23" s="506">
        <f t="shared" si="6"/>
        <v>-167.66965754868852</v>
      </c>
      <c r="H23" s="506">
        <f t="shared" si="6"/>
        <v>-37.481999999999971</v>
      </c>
      <c r="I23" s="506">
        <f t="shared" si="6"/>
        <v>-406</v>
      </c>
      <c r="J23" s="506">
        <f t="shared" si="6"/>
        <v>5</v>
      </c>
      <c r="K23" s="507">
        <f t="shared" si="6"/>
        <v>-262.44441850547412</v>
      </c>
      <c r="L23" s="508">
        <f t="shared" si="6"/>
        <v>2951.8859239458375</v>
      </c>
    </row>
    <row r="24" spans="1:12" x14ac:dyDescent="0.25">
      <c r="A24" s="499" t="s">
        <v>1</v>
      </c>
      <c r="B24" s="505">
        <f t="shared" ref="B24:L24" si="7">B8-B40</f>
        <v>-42</v>
      </c>
      <c r="C24" s="506">
        <f t="shared" si="7"/>
        <v>-3</v>
      </c>
      <c r="D24" s="506">
        <f t="shared" si="7"/>
        <v>-34</v>
      </c>
      <c r="E24" s="506">
        <f t="shared" si="7"/>
        <v>-159</v>
      </c>
      <c r="F24" s="506">
        <f t="shared" si="7"/>
        <v>-62.000000000000114</v>
      </c>
      <c r="G24" s="506">
        <f t="shared" si="7"/>
        <v>-132.66830583799356</v>
      </c>
      <c r="H24" s="506">
        <f t="shared" si="7"/>
        <v>-100.29999999999973</v>
      </c>
      <c r="I24" s="506">
        <f t="shared" si="7"/>
        <v>-137</v>
      </c>
      <c r="J24" s="506">
        <f t="shared" si="7"/>
        <v>-47</v>
      </c>
      <c r="K24" s="507">
        <f t="shared" si="7"/>
        <v>-65.136595238095254</v>
      </c>
      <c r="L24" s="508">
        <f t="shared" si="7"/>
        <v>1171.1950989239112</v>
      </c>
    </row>
    <row r="25" spans="1:12" x14ac:dyDescent="0.25">
      <c r="A25" s="499" t="s">
        <v>4</v>
      </c>
      <c r="B25" s="505">
        <f t="shared" ref="B25:L25" si="8">B9-B41</f>
        <v>-57</v>
      </c>
      <c r="C25" s="506">
        <f t="shared" si="8"/>
        <v>12</v>
      </c>
      <c r="D25" s="506">
        <f t="shared" si="8"/>
        <v>-63</v>
      </c>
      <c r="E25" s="506">
        <f t="shared" si="8"/>
        <v>-481</v>
      </c>
      <c r="F25" s="506">
        <f t="shared" si="8"/>
        <v>-32.900000000000318</v>
      </c>
      <c r="G25" s="506">
        <f t="shared" si="8"/>
        <v>-162.53069145224572</v>
      </c>
      <c r="H25" s="506">
        <f t="shared" si="8"/>
        <v>-26.221999999999753</v>
      </c>
      <c r="I25" s="506">
        <f t="shared" si="8"/>
        <v>-410</v>
      </c>
      <c r="J25" s="506">
        <f t="shared" si="8"/>
        <v>-32</v>
      </c>
      <c r="K25" s="507">
        <f t="shared" si="8"/>
        <v>-376.67303227304905</v>
      </c>
      <c r="L25" s="508">
        <f t="shared" si="8"/>
        <v>2202.7962762747052</v>
      </c>
    </row>
    <row r="26" spans="1:12" x14ac:dyDescent="0.25">
      <c r="A26" s="499" t="s">
        <v>17</v>
      </c>
      <c r="B26" s="505">
        <f t="shared" ref="B26:L26" si="9">B10-B42</f>
        <v>-19</v>
      </c>
      <c r="C26" s="506">
        <f t="shared" si="9"/>
        <v>-2</v>
      </c>
      <c r="D26" s="506">
        <f t="shared" si="9"/>
        <v>-9</v>
      </c>
      <c r="E26" s="506">
        <f t="shared" si="9"/>
        <v>0</v>
      </c>
      <c r="F26" s="506">
        <f t="shared" si="9"/>
        <v>-7.5</v>
      </c>
      <c r="G26" s="506">
        <f t="shared" si="9"/>
        <v>-26.992000000000019</v>
      </c>
      <c r="H26" s="506">
        <f t="shared" si="9"/>
        <v>-15.242000000000019</v>
      </c>
      <c r="I26" s="506">
        <f t="shared" si="9"/>
        <v>-46</v>
      </c>
      <c r="J26" s="506">
        <f t="shared" si="9"/>
        <v>-3</v>
      </c>
      <c r="K26" s="507">
        <f t="shared" si="9"/>
        <v>-4.7199999999999989</v>
      </c>
      <c r="L26" s="508">
        <f t="shared" si="9"/>
        <v>225.28800000000001</v>
      </c>
    </row>
    <row r="27" spans="1:12" x14ac:dyDescent="0.25">
      <c r="A27" s="500" t="s">
        <v>205</v>
      </c>
      <c r="B27" s="505">
        <f t="shared" ref="B27:L27" si="10">B11-B43</f>
        <v>0</v>
      </c>
      <c r="C27" s="506">
        <f t="shared" si="10"/>
        <v>0</v>
      </c>
      <c r="D27" s="506">
        <f t="shared" si="10"/>
        <v>0</v>
      </c>
      <c r="E27" s="506">
        <f t="shared" si="10"/>
        <v>0</v>
      </c>
      <c r="F27" s="506">
        <f t="shared" si="10"/>
        <v>0</v>
      </c>
      <c r="G27" s="506">
        <f t="shared" si="10"/>
        <v>0</v>
      </c>
      <c r="H27" s="506">
        <f t="shared" si="10"/>
        <v>0</v>
      </c>
      <c r="I27" s="506">
        <f t="shared" si="10"/>
        <v>0</v>
      </c>
      <c r="J27" s="506">
        <f t="shared" si="10"/>
        <v>0</v>
      </c>
      <c r="K27" s="507">
        <f t="shared" si="10"/>
        <v>0</v>
      </c>
      <c r="L27" s="508">
        <f t="shared" si="10"/>
        <v>0</v>
      </c>
    </row>
    <row r="28" spans="1:12" x14ac:dyDescent="0.25">
      <c r="A28" s="501" t="s">
        <v>64</v>
      </c>
      <c r="B28" s="505">
        <f t="shared" ref="B28:L28" si="11">B12-B44</f>
        <v>0</v>
      </c>
      <c r="C28" s="506">
        <f t="shared" si="11"/>
        <v>0</v>
      </c>
      <c r="D28" s="506">
        <f t="shared" si="11"/>
        <v>0</v>
      </c>
      <c r="E28" s="506">
        <f t="shared" si="11"/>
        <v>0</v>
      </c>
      <c r="F28" s="506">
        <f t="shared" si="11"/>
        <v>0</v>
      </c>
      <c r="G28" s="506">
        <f t="shared" si="11"/>
        <v>0</v>
      </c>
      <c r="H28" s="506">
        <f t="shared" si="11"/>
        <v>0</v>
      </c>
      <c r="I28" s="506">
        <f t="shared" si="11"/>
        <v>0</v>
      </c>
      <c r="J28" s="506">
        <f t="shared" si="11"/>
        <v>0</v>
      </c>
      <c r="K28" s="507">
        <f t="shared" si="11"/>
        <v>0</v>
      </c>
      <c r="L28" s="508">
        <f t="shared" si="11"/>
        <v>0</v>
      </c>
    </row>
    <row r="29" spans="1:12" ht="15.75" thickBot="1" x14ac:dyDescent="0.3">
      <c r="A29" s="502" t="s">
        <v>18</v>
      </c>
      <c r="B29" s="509">
        <f>SUM(B19:B28)</f>
        <v>-154</v>
      </c>
      <c r="C29" s="335">
        <f t="shared" ref="C29:L29" si="12">SUM(C19:C28)</f>
        <v>14</v>
      </c>
      <c r="D29" s="335">
        <f t="shared" si="12"/>
        <v>-137</v>
      </c>
      <c r="E29" s="335">
        <f t="shared" si="12"/>
        <v>-1422</v>
      </c>
      <c r="F29" s="335">
        <f t="shared" si="12"/>
        <v>-8.4000000000007731</v>
      </c>
      <c r="G29" s="335">
        <f t="shared" si="12"/>
        <v>-728.53117868876097</v>
      </c>
      <c r="H29" s="335">
        <f t="shared" si="12"/>
        <v>0.2094999999996503</v>
      </c>
      <c r="I29" s="335">
        <f t="shared" si="12"/>
        <v>-1419</v>
      </c>
      <c r="J29" s="335">
        <f t="shared" si="12"/>
        <v>86</v>
      </c>
      <c r="K29" s="335">
        <f t="shared" si="12"/>
        <v>-1152.8611354623122</v>
      </c>
      <c r="L29" s="336">
        <f t="shared" si="12"/>
        <v>15928.607685848929</v>
      </c>
    </row>
    <row r="33" spans="1:12" ht="15.75" thickBot="1" x14ac:dyDescent="0.3">
      <c r="A33" s="1" t="s">
        <v>229</v>
      </c>
    </row>
    <row r="34" spans="1:12" x14ac:dyDescent="0.25">
      <c r="A34" s="498" t="s">
        <v>18</v>
      </c>
      <c r="B34" s="504">
        <v>11135</v>
      </c>
      <c r="C34" s="333">
        <v>473</v>
      </c>
      <c r="D34" s="333">
        <v>10348</v>
      </c>
      <c r="E34" s="333">
        <v>9011</v>
      </c>
      <c r="F34" s="333">
        <v>10952</v>
      </c>
      <c r="G34" s="333">
        <v>17810</v>
      </c>
      <c r="H34" s="333">
        <v>17958</v>
      </c>
      <c r="I34" s="333">
        <v>8811</v>
      </c>
      <c r="J34" s="333">
        <v>9164</v>
      </c>
      <c r="K34" s="333">
        <v>4143</v>
      </c>
      <c r="L34" s="334">
        <v>4143</v>
      </c>
    </row>
    <row r="35" spans="1:12" x14ac:dyDescent="0.25">
      <c r="A35" s="499" t="s">
        <v>6</v>
      </c>
      <c r="B35" s="505">
        <v>929</v>
      </c>
      <c r="C35" s="506">
        <v>39</v>
      </c>
      <c r="D35" s="506">
        <v>841</v>
      </c>
      <c r="E35" s="506">
        <v>0</v>
      </c>
      <c r="F35" s="506">
        <v>1002</v>
      </c>
      <c r="G35" s="506">
        <v>1785</v>
      </c>
      <c r="H35" s="506">
        <v>1828</v>
      </c>
      <c r="I35" s="506">
        <v>651</v>
      </c>
      <c r="J35" s="506">
        <v>803</v>
      </c>
      <c r="K35" s="507">
        <v>258</v>
      </c>
      <c r="L35" s="508">
        <v>258</v>
      </c>
    </row>
    <row r="36" spans="1:12" x14ac:dyDescent="0.25">
      <c r="A36" s="499" t="s">
        <v>3</v>
      </c>
      <c r="B36" s="505">
        <v>2273</v>
      </c>
      <c r="C36" s="506">
        <v>76</v>
      </c>
      <c r="D36" s="506">
        <v>2133</v>
      </c>
      <c r="E36" s="506">
        <v>2133</v>
      </c>
      <c r="F36" s="506">
        <v>2086</v>
      </c>
      <c r="G36" s="506">
        <v>3272</v>
      </c>
      <c r="H36" s="506">
        <v>3285</v>
      </c>
      <c r="I36" s="506">
        <v>1825</v>
      </c>
      <c r="J36" s="506">
        <v>1825</v>
      </c>
      <c r="K36" s="507">
        <v>610</v>
      </c>
      <c r="L36" s="508">
        <v>610</v>
      </c>
    </row>
    <row r="37" spans="1:12" x14ac:dyDescent="0.25">
      <c r="A37" s="499" t="s">
        <v>5</v>
      </c>
      <c r="B37" s="505">
        <v>1464</v>
      </c>
      <c r="C37" s="506">
        <v>132</v>
      </c>
      <c r="D37" s="506">
        <v>1297</v>
      </c>
      <c r="E37" s="506">
        <v>1297</v>
      </c>
      <c r="F37" s="506">
        <v>1605</v>
      </c>
      <c r="G37" s="506">
        <v>3070</v>
      </c>
      <c r="H37" s="506">
        <v>3099</v>
      </c>
      <c r="I37" s="506">
        <v>1237</v>
      </c>
      <c r="J37" s="506">
        <v>1237</v>
      </c>
      <c r="K37" s="507">
        <v>915</v>
      </c>
      <c r="L37" s="508">
        <v>915</v>
      </c>
    </row>
    <row r="38" spans="1:12" x14ac:dyDescent="0.25">
      <c r="A38" s="499" t="s">
        <v>7</v>
      </c>
      <c r="B38" s="505">
        <v>1257</v>
      </c>
      <c r="C38" s="506">
        <v>27</v>
      </c>
      <c r="D38" s="506">
        <v>1208</v>
      </c>
      <c r="E38" s="506">
        <v>1208</v>
      </c>
      <c r="F38" s="506">
        <v>1261</v>
      </c>
      <c r="G38" s="506">
        <v>1933</v>
      </c>
      <c r="H38" s="506">
        <v>1937</v>
      </c>
      <c r="I38" s="506">
        <v>1120</v>
      </c>
      <c r="J38" s="506">
        <v>1120</v>
      </c>
      <c r="K38" s="507">
        <v>215</v>
      </c>
      <c r="L38" s="508">
        <v>215</v>
      </c>
    </row>
    <row r="39" spans="1:12" x14ac:dyDescent="0.25">
      <c r="A39" s="499" t="s">
        <v>0</v>
      </c>
      <c r="B39" s="505">
        <v>2230</v>
      </c>
      <c r="C39" s="506">
        <v>107</v>
      </c>
      <c r="D39" s="506">
        <v>2072</v>
      </c>
      <c r="E39" s="506">
        <v>1852</v>
      </c>
      <c r="F39" s="506">
        <v>2162</v>
      </c>
      <c r="G39" s="506">
        <v>3382</v>
      </c>
      <c r="H39" s="506">
        <v>3416</v>
      </c>
      <c r="I39" s="506">
        <v>1751</v>
      </c>
      <c r="J39" s="506">
        <v>1803</v>
      </c>
      <c r="K39" s="507">
        <v>886</v>
      </c>
      <c r="L39" s="508">
        <v>886</v>
      </c>
    </row>
    <row r="40" spans="1:12" x14ac:dyDescent="0.25">
      <c r="A40" s="499" t="s">
        <v>1</v>
      </c>
      <c r="B40" s="505">
        <v>892</v>
      </c>
      <c r="C40" s="506">
        <v>32</v>
      </c>
      <c r="D40" s="506">
        <v>822</v>
      </c>
      <c r="E40" s="506">
        <v>822</v>
      </c>
      <c r="F40" s="506">
        <v>877</v>
      </c>
      <c r="G40" s="506">
        <v>1369</v>
      </c>
      <c r="H40" s="506">
        <v>1378</v>
      </c>
      <c r="I40" s="506">
        <v>728</v>
      </c>
      <c r="J40" s="506">
        <v>728</v>
      </c>
      <c r="K40" s="507">
        <v>340</v>
      </c>
      <c r="L40" s="508">
        <v>340</v>
      </c>
    </row>
    <row r="41" spans="1:12" x14ac:dyDescent="0.25">
      <c r="A41" s="499" t="s">
        <v>4</v>
      </c>
      <c r="B41" s="505">
        <v>1930</v>
      </c>
      <c r="C41" s="506">
        <v>49</v>
      </c>
      <c r="D41" s="506">
        <v>1846</v>
      </c>
      <c r="E41" s="506">
        <v>1699</v>
      </c>
      <c r="F41" s="506">
        <v>1799</v>
      </c>
      <c r="G41" s="506">
        <v>2742</v>
      </c>
      <c r="H41" s="506">
        <v>2759</v>
      </c>
      <c r="I41" s="506">
        <v>1411</v>
      </c>
      <c r="J41" s="506">
        <v>1532</v>
      </c>
      <c r="K41" s="507">
        <v>857</v>
      </c>
      <c r="L41" s="508">
        <v>857</v>
      </c>
    </row>
    <row r="42" spans="1:12" x14ac:dyDescent="0.25">
      <c r="A42" s="499" t="s">
        <v>17</v>
      </c>
      <c r="B42" s="505">
        <v>160</v>
      </c>
      <c r="C42" s="506">
        <v>11</v>
      </c>
      <c r="D42" s="506">
        <v>129</v>
      </c>
      <c r="E42" s="506">
        <v>0</v>
      </c>
      <c r="F42" s="506">
        <v>160</v>
      </c>
      <c r="G42" s="506">
        <v>257</v>
      </c>
      <c r="H42" s="506">
        <v>256</v>
      </c>
      <c r="I42" s="506">
        <v>88</v>
      </c>
      <c r="J42" s="506">
        <v>116</v>
      </c>
      <c r="K42" s="507">
        <v>62</v>
      </c>
      <c r="L42" s="508">
        <v>62</v>
      </c>
    </row>
    <row r="43" spans="1:12" x14ac:dyDescent="0.25">
      <c r="A43" s="500" t="s">
        <v>205</v>
      </c>
      <c r="B43" s="505">
        <v>0</v>
      </c>
      <c r="C43" s="506">
        <v>0</v>
      </c>
      <c r="D43" s="506">
        <v>0</v>
      </c>
      <c r="E43" s="506">
        <v>0</v>
      </c>
      <c r="F43" s="506">
        <v>0</v>
      </c>
      <c r="G43" s="506">
        <v>0</v>
      </c>
      <c r="H43" s="506">
        <v>0</v>
      </c>
      <c r="I43" s="506">
        <v>0</v>
      </c>
      <c r="J43" s="506">
        <v>0</v>
      </c>
      <c r="K43" s="507">
        <v>0</v>
      </c>
      <c r="L43" s="508">
        <v>0</v>
      </c>
    </row>
    <row r="44" spans="1:12" x14ac:dyDescent="0.25">
      <c r="A44" s="501" t="s">
        <v>64</v>
      </c>
      <c r="B44" s="505">
        <v>0</v>
      </c>
      <c r="C44" s="506">
        <v>0</v>
      </c>
      <c r="D44" s="506">
        <v>0</v>
      </c>
      <c r="E44" s="506">
        <v>0</v>
      </c>
      <c r="F44" s="506">
        <v>0</v>
      </c>
      <c r="G44" s="506">
        <v>0</v>
      </c>
      <c r="H44" s="506">
        <v>0</v>
      </c>
      <c r="I44" s="506">
        <v>0</v>
      </c>
      <c r="J44" s="506">
        <v>0</v>
      </c>
      <c r="K44" s="507">
        <v>0</v>
      </c>
      <c r="L44" s="508">
        <v>0</v>
      </c>
    </row>
    <row r="45" spans="1:12" ht="15.75" thickBot="1" x14ac:dyDescent="0.3">
      <c r="A45" s="502" t="s">
        <v>18</v>
      </c>
      <c r="B45" s="509">
        <v>11135</v>
      </c>
      <c r="C45" s="335">
        <v>473</v>
      </c>
      <c r="D45" s="335">
        <v>10348</v>
      </c>
      <c r="E45" s="335">
        <v>9011</v>
      </c>
      <c r="F45" s="335">
        <v>10952</v>
      </c>
      <c r="G45" s="335">
        <v>17810</v>
      </c>
      <c r="H45" s="335">
        <v>17958</v>
      </c>
      <c r="I45" s="335">
        <v>8811</v>
      </c>
      <c r="J45" s="335">
        <v>9164</v>
      </c>
      <c r="K45" s="335">
        <v>0</v>
      </c>
      <c r="L45" s="336">
        <v>4143</v>
      </c>
    </row>
  </sheetData>
  <sheetProtection algorithmName="SHA-512" hashValue="zX1Jfy61HvJTu6rn9gyIxqkw5jKbG2c/Ub3XHeh5ZrzR4uYVivDZrcXYki8bjB8OcmIYH1OR7YsRt6gBeReOUQ==" saltValue="SEHIjxgv7WAb1y2+is83WQ==" spinCount="100000" sheet="1" objects="1" scenarios="1"/>
  <conditionalFormatting sqref="A18:L29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AZ3336"/>
  <sheetViews>
    <sheetView zoomScale="85" zoomScaleNormal="85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D19" sqref="AD19"/>
    </sheetView>
  </sheetViews>
  <sheetFormatPr defaultColWidth="10.42578125" defaultRowHeight="15.75" x14ac:dyDescent="0.25"/>
  <cols>
    <col min="1" max="1" width="49" style="5" customWidth="1"/>
    <col min="2" max="2" width="12.42578125" style="5" customWidth="1"/>
    <col min="3" max="3" width="8.42578125" style="5" customWidth="1"/>
    <col min="4" max="4" width="10.5703125" style="5" customWidth="1"/>
    <col min="5" max="5" width="10.42578125" style="5"/>
    <col min="6" max="6" width="10.5703125" style="5" customWidth="1"/>
    <col min="7" max="7" width="7.5703125" style="5" customWidth="1"/>
    <col min="8" max="8" width="8.42578125" style="5" customWidth="1"/>
    <col min="9" max="9" width="8" style="5" customWidth="1"/>
    <col min="10" max="10" width="10" style="5" customWidth="1"/>
    <col min="11" max="11" width="11.5703125" style="5" customWidth="1"/>
    <col min="12" max="12" width="10.42578125" style="5"/>
    <col min="13" max="13" width="11.5703125" style="5" customWidth="1"/>
    <col min="14" max="14" width="11.42578125" style="5" customWidth="1"/>
    <col min="15" max="18" width="10" style="5" customWidth="1"/>
    <col min="19" max="19" width="2.42578125" style="5" customWidth="1"/>
    <col min="20" max="20" width="12.42578125" style="5" customWidth="1"/>
    <col min="21" max="21" width="7.42578125" style="5" customWidth="1"/>
    <col min="22" max="22" width="9.5703125" style="5" customWidth="1"/>
    <col min="23" max="24" width="8.5703125" style="5" customWidth="1"/>
    <col min="25" max="25" width="9" style="5" customWidth="1"/>
    <col min="26" max="34" width="10.5703125" style="5" customWidth="1"/>
    <col min="35" max="35" width="13.5703125" style="5" customWidth="1"/>
    <col min="36" max="36" width="12.42578125" style="5" customWidth="1"/>
    <col min="37" max="37" width="11.42578125" style="5" customWidth="1"/>
    <col min="38" max="38" width="12.42578125" style="5" customWidth="1"/>
    <col min="39" max="39" width="21.5703125" style="5" customWidth="1"/>
    <col min="40" max="40" width="12.42578125" style="5" customWidth="1"/>
    <col min="41" max="51" width="13.140625" style="5" customWidth="1"/>
    <col min="52" max="16384" width="10.42578125" style="5"/>
  </cols>
  <sheetData>
    <row r="1" spans="1:52" ht="16.5" thickBot="1" x14ac:dyDescent="0.3">
      <c r="B1" s="6" t="s">
        <v>19</v>
      </c>
      <c r="C1" s="7" t="s">
        <v>20</v>
      </c>
      <c r="D1" s="8"/>
      <c r="E1" s="1339" t="s">
        <v>21</v>
      </c>
      <c r="F1" s="1340"/>
      <c r="G1" s="1340"/>
      <c r="H1" s="1340"/>
      <c r="I1" s="1340"/>
      <c r="J1" s="1341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6" t="s">
        <v>23</v>
      </c>
      <c r="AJ1" s="107" t="s">
        <v>24</v>
      </c>
      <c r="AK1" s="108" t="s">
        <v>25</v>
      </c>
    </row>
    <row r="2" spans="1:52" s="12" customFormat="1" ht="132.75" customHeight="1" thickBot="1" x14ac:dyDescent="0.3">
      <c r="A2" s="41"/>
      <c r="B2" s="42" t="s">
        <v>27</v>
      </c>
      <c r="C2" s="43" t="s">
        <v>28</v>
      </c>
      <c r="D2" s="43" t="s">
        <v>29</v>
      </c>
      <c r="E2" s="44" t="s">
        <v>11</v>
      </c>
      <c r="F2" s="45" t="s">
        <v>12</v>
      </c>
      <c r="G2" s="43" t="s">
        <v>30</v>
      </c>
      <c r="H2" s="43" t="s">
        <v>31</v>
      </c>
      <c r="I2" s="44" t="s">
        <v>32</v>
      </c>
      <c r="J2" s="46" t="s">
        <v>13</v>
      </c>
      <c r="K2" s="42" t="s">
        <v>33</v>
      </c>
      <c r="L2" s="43" t="s">
        <v>34</v>
      </c>
      <c r="M2" s="43" t="s">
        <v>35</v>
      </c>
      <c r="N2" s="44" t="s">
        <v>36</v>
      </c>
      <c r="O2" s="47" t="s">
        <v>37</v>
      </c>
      <c r="P2" s="48" t="s">
        <v>38</v>
      </c>
      <c r="Q2" s="48" t="s">
        <v>39</v>
      </c>
      <c r="R2" s="49" t="s">
        <v>40</v>
      </c>
      <c r="S2" s="10"/>
      <c r="T2" s="29" t="s">
        <v>41</v>
      </c>
      <c r="U2" s="85" t="s">
        <v>42</v>
      </c>
      <c r="V2" s="86" t="s">
        <v>43</v>
      </c>
      <c r="W2" s="30"/>
      <c r="X2" s="31" t="s">
        <v>44</v>
      </c>
      <c r="Y2" s="31" t="s">
        <v>45</v>
      </c>
      <c r="Z2" s="31" t="s">
        <v>46</v>
      </c>
      <c r="AA2" s="31" t="s">
        <v>47</v>
      </c>
      <c r="AB2" s="31" t="s">
        <v>48</v>
      </c>
      <c r="AC2" s="31" t="s">
        <v>49</v>
      </c>
      <c r="AD2" s="31" t="s">
        <v>50</v>
      </c>
      <c r="AE2" s="32" t="s">
        <v>51</v>
      </c>
      <c r="AF2" s="33" t="s">
        <v>52</v>
      </c>
      <c r="AG2" s="33" t="s">
        <v>53</v>
      </c>
      <c r="AH2" s="34" t="s">
        <v>54</v>
      </c>
      <c r="AI2" s="11" t="s">
        <v>65</v>
      </c>
      <c r="AJ2" s="35" t="s">
        <v>69</v>
      </c>
      <c r="AK2" s="36" t="s">
        <v>70</v>
      </c>
      <c r="AM2" s="1219"/>
      <c r="AN2" s="1220" t="s">
        <v>481</v>
      </c>
      <c r="AO2" s="1221" t="s">
        <v>486</v>
      </c>
      <c r="AP2" s="1221" t="s">
        <v>487</v>
      </c>
      <c r="AQ2" s="1221" t="s">
        <v>488</v>
      </c>
      <c r="AR2" s="1221" t="s">
        <v>489</v>
      </c>
      <c r="AS2" s="1221" t="s">
        <v>491</v>
      </c>
      <c r="AT2" s="1221" t="s">
        <v>490</v>
      </c>
      <c r="AU2" s="1221" t="s">
        <v>482</v>
      </c>
      <c r="AV2" s="1221" t="s">
        <v>483</v>
      </c>
      <c r="AW2" s="1221" t="s">
        <v>484</v>
      </c>
      <c r="AX2" s="1221" t="s">
        <v>50</v>
      </c>
      <c r="AY2" s="1227" t="s">
        <v>55</v>
      </c>
      <c r="AZ2" s="1219" t="s">
        <v>492</v>
      </c>
    </row>
    <row r="3" spans="1:52" x14ac:dyDescent="0.25">
      <c r="A3" s="27" t="s">
        <v>2</v>
      </c>
      <c r="B3" s="24">
        <v>10981</v>
      </c>
      <c r="C3" s="20">
        <v>487</v>
      </c>
      <c r="D3" s="20">
        <v>10211</v>
      </c>
      <c r="E3" s="25">
        <v>10943.599999999995</v>
      </c>
      <c r="F3" s="24">
        <v>17081.468821311239</v>
      </c>
      <c r="G3" s="20">
        <v>7525.9834580139832</v>
      </c>
      <c r="H3" s="20">
        <v>6306.8519542063468</v>
      </c>
      <c r="I3" s="25">
        <v>3248.6334090909072</v>
      </c>
      <c r="J3" s="28">
        <v>17958.209500000001</v>
      </c>
      <c r="K3" s="24">
        <v>7589</v>
      </c>
      <c r="L3" s="20">
        <v>7392</v>
      </c>
      <c r="M3" s="20">
        <v>9250</v>
      </c>
      <c r="N3" s="25">
        <v>9254</v>
      </c>
      <c r="O3" s="24">
        <v>2990.1388645376883</v>
      </c>
      <c r="P3" s="20">
        <v>130.22751542652207</v>
      </c>
      <c r="Q3" s="20">
        <v>2494.9713491111665</v>
      </c>
      <c r="R3" s="25">
        <v>364.93999999999994</v>
      </c>
      <c r="S3" s="13"/>
      <c r="T3" s="519">
        <v>20071.607685848925</v>
      </c>
      <c r="U3" s="520">
        <v>559.32203389830511</v>
      </c>
      <c r="V3" s="521">
        <v>2272.985310734462</v>
      </c>
      <c r="W3" s="522" t="s">
        <v>16</v>
      </c>
      <c r="X3" s="93">
        <v>1</v>
      </c>
      <c r="Y3" s="94">
        <v>1.1346030329692485</v>
      </c>
      <c r="Z3" s="94">
        <v>1.2692060659384967</v>
      </c>
      <c r="AA3" s="95">
        <v>7656.2109734405049</v>
      </c>
      <c r="AB3" s="96">
        <v>9986.57541560346</v>
      </c>
      <c r="AC3" s="96">
        <v>4586.3692905322323</v>
      </c>
      <c r="AD3" s="96">
        <v>2832.3073446327671</v>
      </c>
      <c r="AE3" s="546">
        <v>0.1025619813667403</v>
      </c>
      <c r="AF3" s="547">
        <v>0.1276497005301859</v>
      </c>
      <c r="AG3" s="547">
        <v>0.17114701449624029</v>
      </c>
      <c r="AH3" s="548">
        <v>9.9437209620979392E-2</v>
      </c>
      <c r="AI3" s="1080">
        <v>0.12024332682400424</v>
      </c>
      <c r="AJ3" s="523">
        <v>0.11338206590213715</v>
      </c>
      <c r="AK3" s="524">
        <v>0.10705650851352411</v>
      </c>
      <c r="AM3" s="1213" t="s">
        <v>16</v>
      </c>
      <c r="AN3" s="1222">
        <v>1.5214788404738191</v>
      </c>
      <c r="AO3" s="1217">
        <v>7507.16</v>
      </c>
      <c r="AP3" s="1217">
        <v>6865.95</v>
      </c>
      <c r="AQ3" s="1217">
        <v>3387.11</v>
      </c>
      <c r="AR3" s="1217">
        <v>124.48</v>
      </c>
      <c r="AS3" s="1217">
        <v>2690.6</v>
      </c>
      <c r="AT3" s="1217">
        <v>369.93</v>
      </c>
      <c r="AU3" s="1214">
        <v>11611.378820300175</v>
      </c>
      <c r="AV3" s="1214">
        <v>14540.089130902492</v>
      </c>
      <c r="AW3" s="1233">
        <v>5716.2550287040685</v>
      </c>
      <c r="AX3" s="1223">
        <v>2832.3073446327671</v>
      </c>
      <c r="AY3" s="1228">
        <v>34700.030324539504</v>
      </c>
      <c r="AZ3" s="1230">
        <v>0.11185016627018039</v>
      </c>
    </row>
    <row r="4" spans="1:52" x14ac:dyDescent="0.25">
      <c r="A4" s="21" t="s">
        <v>6</v>
      </c>
      <c r="B4" s="23">
        <f>'T5b-studenti'!B3</f>
        <v>914</v>
      </c>
      <c r="C4" s="14">
        <f>'T5b-studenti'!C3</f>
        <v>33</v>
      </c>
      <c r="D4" s="14">
        <f>'T5b-studenti'!D3</f>
        <v>842</v>
      </c>
      <c r="E4" s="15">
        <f>'T5b-studenti'!F3</f>
        <v>992.4</v>
      </c>
      <c r="F4" s="23">
        <f>'T5b-studenti'!G3</f>
        <v>1604.8292958267789</v>
      </c>
      <c r="G4" s="14">
        <v>844.76018691588774</v>
      </c>
      <c r="H4" s="14">
        <v>520.10910891089111</v>
      </c>
      <c r="I4" s="15">
        <v>239.95999999999998</v>
      </c>
      <c r="J4" s="26">
        <f>'T5b-studenti'!H3</f>
        <v>1803.8999999999999</v>
      </c>
      <c r="K4" s="23">
        <f>'T5b-studenti'!E3</f>
        <v>0</v>
      </c>
      <c r="L4" s="14">
        <f>'T5b-studenti'!I3</f>
        <v>456</v>
      </c>
      <c r="M4" s="14">
        <f>'T5b-studenti'!J3</f>
        <v>822</v>
      </c>
      <c r="N4" s="15">
        <v>822</v>
      </c>
      <c r="O4" s="23">
        <f>P4+Q4+R4</f>
        <v>184.99161353937265</v>
      </c>
      <c r="P4" s="14">
        <v>15.970425420560744</v>
      </c>
      <c r="Q4" s="14">
        <v>160.50118811881188</v>
      </c>
      <c r="R4" s="15">
        <v>8.52</v>
      </c>
      <c r="S4" s="13"/>
      <c r="T4" s="83">
        <f t="shared" ref="T4:T13" si="0">F4+O4</f>
        <v>1789.8209093661515</v>
      </c>
      <c r="U4" s="87">
        <f>U$3/8</f>
        <v>69.915254237288138</v>
      </c>
      <c r="V4" s="88">
        <f t="shared" ref="V4:V10" si="1">T4/T$14*V$3</f>
        <v>202.68613752862882</v>
      </c>
      <c r="W4" s="91" t="s">
        <v>56</v>
      </c>
      <c r="X4" s="97">
        <v>1</v>
      </c>
      <c r="Y4" s="18">
        <f>'T16-KIVC'!N6</f>
        <v>0.92736398416823507</v>
      </c>
      <c r="Z4" s="18">
        <f>'T16-KIVC'!O6</f>
        <v>0.85472796833647025</v>
      </c>
      <c r="AA4" s="37">
        <f>+X4*(G4+P4)*AA$16</f>
        <v>860.73061233644819</v>
      </c>
      <c r="AB4" s="38">
        <f>+Y4*(H4+Q4)*AB$16</f>
        <v>634.48475248049363</v>
      </c>
      <c r="AC4" s="38">
        <f>+Z4*(I4+R4)*AC$16</f>
        <v>209.71106090915396</v>
      </c>
      <c r="AD4" s="38">
        <f t="shared" ref="AD4:AD13" si="2">+U4+V4</f>
        <v>272.60139176591696</v>
      </c>
      <c r="AE4" s="549">
        <f t="shared" ref="AE4:AH10" si="3">+AA4/AA$15</f>
        <v>1.1530277487189435E-2</v>
      </c>
      <c r="AF4" s="543">
        <f t="shared" si="3"/>
        <v>8.1100662914495233E-3</v>
      </c>
      <c r="AG4" s="543">
        <f t="shared" si="3"/>
        <v>7.8256720529532031E-3</v>
      </c>
      <c r="AH4" s="550">
        <f t="shared" si="3"/>
        <v>9.5705438844289094E-3</v>
      </c>
      <c r="AI4" s="1081">
        <f>+SUMPRODUCT(AE4:AH4,$AE$1:$AH$1)</f>
        <v>9.5787402246863777E-3</v>
      </c>
      <c r="AJ4" s="39">
        <f>J4/$J$15</f>
        <v>1.1389214981641971E-2</v>
      </c>
      <c r="AK4" s="40">
        <f>E4/$E$15</f>
        <v>9.708220242773985E-3</v>
      </c>
      <c r="AM4" s="1215" t="s">
        <v>56</v>
      </c>
      <c r="AN4" s="1224">
        <v>1.5079833704180818</v>
      </c>
      <c r="AO4" s="1218">
        <v>834.87</v>
      </c>
      <c r="AP4" s="1218">
        <v>680.77</v>
      </c>
      <c r="AQ4" s="1218">
        <v>232.59</v>
      </c>
      <c r="AR4" s="1218">
        <v>14.144</v>
      </c>
      <c r="AS4" s="1218">
        <v>202.98400000000001</v>
      </c>
      <c r="AT4" s="1218">
        <v>8.26</v>
      </c>
      <c r="AU4" s="1216">
        <f>7.167+$AN4*(AO4+AR4)</f>
        <v>1287.4659932521372</v>
      </c>
      <c r="AV4" s="1216">
        <f>3.613+$AN4*(AP4+AS4)</f>
        <v>1336.2993355404615</v>
      </c>
      <c r="AW4" s="1100">
        <f>$AN4*(AQ4+AT4)-2.316</f>
        <v>360.88179476519502</v>
      </c>
      <c r="AX4" s="1225">
        <f>U4+V4</f>
        <v>272.60139176591696</v>
      </c>
      <c r="AY4" s="1229">
        <f>SUM(AU4:AX4)</f>
        <v>3257.2485153237108</v>
      </c>
      <c r="AZ4" s="1231">
        <f>AY4/AY$15</f>
        <v>1.0499235436247133E-2</v>
      </c>
    </row>
    <row r="5" spans="1:52" x14ac:dyDescent="0.25">
      <c r="A5" s="21" t="s">
        <v>3</v>
      </c>
      <c r="B5" s="23">
        <f>'T5b-studenti'!B4</f>
        <v>2285</v>
      </c>
      <c r="C5" s="14">
        <f>'T5b-studenti'!C4</f>
        <v>73</v>
      </c>
      <c r="D5" s="14">
        <f>'T5b-studenti'!D4</f>
        <v>2150</v>
      </c>
      <c r="E5" s="15">
        <f>'T5b-studenti'!F4</f>
        <v>2142.1</v>
      </c>
      <c r="F5" s="23">
        <f>'T5b-studenti'!G4</f>
        <v>3320.0624623655908</v>
      </c>
      <c r="G5" s="14">
        <v>1601.5079999999998</v>
      </c>
      <c r="H5" s="14">
        <v>1096.5944623655914</v>
      </c>
      <c r="I5" s="15">
        <v>621.96</v>
      </c>
      <c r="J5" s="26">
        <f>'T5b-studenti'!H4</f>
        <v>3360.1079999999993</v>
      </c>
      <c r="K5" s="23">
        <f>'T5b-studenti'!E4</f>
        <v>2039</v>
      </c>
      <c r="L5" s="14">
        <f>'T5b-studenti'!I4</f>
        <v>1774</v>
      </c>
      <c r="M5" s="14">
        <f>'T5b-studenti'!J4</f>
        <v>1878</v>
      </c>
      <c r="N5" s="15">
        <v>1878</v>
      </c>
      <c r="O5" s="23">
        <f t="shared" ref="O5:O13" si="4">P5+Q5+R5</f>
        <v>434.58515811739818</v>
      </c>
      <c r="P5" s="14">
        <v>19.683999999999997</v>
      </c>
      <c r="Q5" s="14">
        <v>389.34115811739821</v>
      </c>
      <c r="R5" s="15">
        <v>25.56</v>
      </c>
      <c r="S5" s="13"/>
      <c r="T5" s="83">
        <f t="shared" si="0"/>
        <v>3754.6476204829892</v>
      </c>
      <c r="U5" s="87">
        <f t="shared" ref="U5:U11" si="5">U$3/8</f>
        <v>69.915254237288138</v>
      </c>
      <c r="V5" s="88">
        <f t="shared" si="1"/>
        <v>425.19059867630023</v>
      </c>
      <c r="W5" s="91" t="s">
        <v>57</v>
      </c>
      <c r="X5" s="97">
        <v>1</v>
      </c>
      <c r="Y5" s="18">
        <f>'T16-KIVC'!N7</f>
        <v>1.3759295951652337</v>
      </c>
      <c r="Z5" s="18">
        <f>'T16-KIVC'!O7</f>
        <v>1.7518591903304672</v>
      </c>
      <c r="AA5" s="37">
        <f t="shared" ref="AA5:AA13" si="6">+X5*(G5+P5)*AA$16</f>
        <v>1621.1919999999993</v>
      </c>
      <c r="AB5" s="38">
        <f t="shared" ref="AB5:AB13" si="7">+Y5*(H5+Q5)*AB$16</f>
        <v>2055.2689207780004</v>
      </c>
      <c r="AC5" s="38">
        <f t="shared" ref="AC5:AC13" si="8">+Z5*(I5+R5)*AC$16</f>
        <v>1120.0937312678109</v>
      </c>
      <c r="AD5" s="38">
        <f t="shared" si="2"/>
        <v>495.10585291358836</v>
      </c>
      <c r="AE5" s="549">
        <f t="shared" si="3"/>
        <v>2.1717356571378504E-2</v>
      </c>
      <c r="AF5" s="543">
        <f t="shared" si="3"/>
        <v>2.6270713565773117E-2</v>
      </c>
      <c r="AG5" s="543">
        <f t="shared" si="3"/>
        <v>4.1797920297908173E-2</v>
      </c>
      <c r="AH5" s="550">
        <f t="shared" si="3"/>
        <v>1.7382274764084833E-2</v>
      </c>
      <c r="AI5" s="1081">
        <f t="shared" ref="AI5:AI13" si="9">+SUMPRODUCT(AE5:AH5,$AE$1:$AH$1)</f>
        <v>2.5496890836495291E-2</v>
      </c>
      <c r="AJ5" s="39">
        <f t="shared" ref="AJ5:AJ13" si="10">J5/$J$15</f>
        <v>2.121458638147072E-2</v>
      </c>
      <c r="AK5" s="40">
        <f t="shared" ref="AK5:AK13" si="11">E5/$E$15</f>
        <v>2.095523839383933E-2</v>
      </c>
      <c r="AM5" s="1215" t="s">
        <v>57</v>
      </c>
      <c r="AN5" s="1224">
        <v>1.5173072524826965</v>
      </c>
      <c r="AO5" s="1218">
        <v>1597.31</v>
      </c>
      <c r="AP5" s="1218">
        <v>1133.29</v>
      </c>
      <c r="AQ5" s="1218">
        <v>619.63</v>
      </c>
      <c r="AR5" s="1218">
        <v>19.137</v>
      </c>
      <c r="AS5" s="1218">
        <v>402.81</v>
      </c>
      <c r="AT5" s="1218">
        <v>25.481999999999999</v>
      </c>
      <c r="AU5" s="1216">
        <f t="shared" ref="AU5:AU11" si="12">7.167+$AN5*(AO5+AR5)</f>
        <v>2459.8137563538971</v>
      </c>
      <c r="AV5" s="1216">
        <f t="shared" ref="AV5:AV11" si="13">3.613+$AN5*(AP5+AS5)</f>
        <v>2334.3486705386699</v>
      </c>
      <c r="AW5" s="1100">
        <f t="shared" ref="AW5:AW11" si="14">$AN5*(AQ5+AT5)-2.316</f>
        <v>976.51711626361725</v>
      </c>
      <c r="AX5" s="1225">
        <f t="shared" ref="AX5:AX13" si="15">U5+V5</f>
        <v>495.10585291358836</v>
      </c>
      <c r="AY5" s="1229">
        <f t="shared" ref="AY5:AY13" si="16">SUM(AU5:AX5)</f>
        <v>6265.7853960697721</v>
      </c>
      <c r="AZ5" s="1231">
        <f t="shared" ref="AZ5:AZ13" si="17">AY5/AY$15</f>
        <v>2.0196787490068934E-2</v>
      </c>
    </row>
    <row r="6" spans="1:52" x14ac:dyDescent="0.25">
      <c r="A6" s="21" t="s">
        <v>5</v>
      </c>
      <c r="B6" s="23">
        <f>'T5b-studenti'!B5</f>
        <v>1474</v>
      </c>
      <c r="C6" s="14">
        <f>'T5b-studenti'!C5</f>
        <v>136</v>
      </c>
      <c r="D6" s="14">
        <f>'T5b-studenti'!D5</f>
        <v>1302</v>
      </c>
      <c r="E6" s="15">
        <f>'T5b-studenti'!F5</f>
        <v>1666.5999999999997</v>
      </c>
      <c r="F6" s="23">
        <f>'T5b-studenti'!G5</f>
        <v>2928.9614468024351</v>
      </c>
      <c r="G6" s="14">
        <v>1021.6437850970356</v>
      </c>
      <c r="H6" s="14">
        <v>1133.4015253417638</v>
      </c>
      <c r="I6" s="15">
        <v>773.91613636363627</v>
      </c>
      <c r="J6" s="26">
        <f>'T5b-studenti'!H5</f>
        <v>3189.4674999999997</v>
      </c>
      <c r="K6" s="23">
        <f>'T5b-studenti'!E5</f>
        <v>1069</v>
      </c>
      <c r="L6" s="14">
        <f>'T5b-studenti'!I5</f>
        <v>1026</v>
      </c>
      <c r="M6" s="14">
        <f>'T5b-studenti'!J5</f>
        <v>1291</v>
      </c>
      <c r="N6" s="15">
        <v>1291</v>
      </c>
      <c r="O6" s="23">
        <f t="shared" si="4"/>
        <v>633.33301389753569</v>
      </c>
      <c r="P6" s="14">
        <v>19.840229729729725</v>
      </c>
      <c r="Q6" s="14">
        <v>455.87278416780589</v>
      </c>
      <c r="R6" s="15">
        <v>157.62</v>
      </c>
      <c r="S6" s="13"/>
      <c r="T6" s="83">
        <f t="shared" si="0"/>
        <v>3562.2944606999708</v>
      </c>
      <c r="U6" s="87">
        <f t="shared" si="5"/>
        <v>69.915254237288138</v>
      </c>
      <c r="V6" s="88">
        <f t="shared" si="1"/>
        <v>403.40779415444774</v>
      </c>
      <c r="W6" s="91" t="s">
        <v>58</v>
      </c>
      <c r="X6" s="97">
        <v>1</v>
      </c>
      <c r="Y6" s="18">
        <f>'T16-KIVC'!N8</f>
        <v>1.1279580254540285</v>
      </c>
      <c r="Z6" s="18">
        <f>'T16-KIVC'!O8</f>
        <v>1.2559160509080569</v>
      </c>
      <c r="AA6" s="37">
        <f t="shared" si="6"/>
        <v>1041.4840148267649</v>
      </c>
      <c r="AB6" s="38">
        <f t="shared" si="7"/>
        <v>1802.0392705356164</v>
      </c>
      <c r="AC6" s="38">
        <f t="shared" si="8"/>
        <v>1155.2136222816607</v>
      </c>
      <c r="AD6" s="38">
        <f t="shared" si="2"/>
        <v>473.32304839173588</v>
      </c>
      <c r="AE6" s="549">
        <f t="shared" si="3"/>
        <v>1.3951635409861213E-2</v>
      </c>
      <c r="AF6" s="543">
        <f t="shared" si="3"/>
        <v>2.3033899375365211E-2</v>
      </c>
      <c r="AG6" s="543">
        <f t="shared" si="3"/>
        <v>4.3108469910400501E-2</v>
      </c>
      <c r="AH6" s="550">
        <f t="shared" si="3"/>
        <v>1.6617519730180452E-2</v>
      </c>
      <c r="AI6" s="1081">
        <f t="shared" si="9"/>
        <v>2.1223732783277806E-2</v>
      </c>
      <c r="AJ6" s="39">
        <f t="shared" si="10"/>
        <v>2.0137219931515141E-2</v>
      </c>
      <c r="AK6" s="40">
        <f t="shared" si="11"/>
        <v>1.6303627425037402E-2</v>
      </c>
      <c r="AM6" s="1215" t="s">
        <v>58</v>
      </c>
      <c r="AN6" s="1224">
        <v>1.5708867373597664</v>
      </c>
      <c r="AO6" s="1218">
        <v>1022.54</v>
      </c>
      <c r="AP6" s="1218">
        <v>1266.04</v>
      </c>
      <c r="AQ6" s="1218">
        <v>856</v>
      </c>
      <c r="AR6" s="1218">
        <v>18.603999999999999</v>
      </c>
      <c r="AS6" s="1218">
        <v>506.83600000000001</v>
      </c>
      <c r="AT6" s="1218">
        <v>159.322</v>
      </c>
      <c r="AU6" s="1216">
        <f t="shared" si="12"/>
        <v>1642.6863012816966</v>
      </c>
      <c r="AV6" s="1216">
        <f t="shared" si="13"/>
        <v>2788.6003953834329</v>
      </c>
      <c r="AW6" s="1100">
        <f t="shared" si="14"/>
        <v>1592.6398639495926</v>
      </c>
      <c r="AX6" s="1225">
        <f t="shared" si="15"/>
        <v>473.32304839173588</v>
      </c>
      <c r="AY6" s="1229">
        <f t="shared" si="16"/>
        <v>6497.2496090064578</v>
      </c>
      <c r="AZ6" s="1231">
        <f t="shared" si="17"/>
        <v>2.0942876483664313E-2</v>
      </c>
    </row>
    <row r="7" spans="1:52" x14ac:dyDescent="0.25">
      <c r="A7" s="21" t="s">
        <v>7</v>
      </c>
      <c r="B7" s="23">
        <f>'T5b-studenti'!B6</f>
        <v>1302</v>
      </c>
      <c r="C7" s="14">
        <f>'T5b-studenti'!C6</f>
        <v>29</v>
      </c>
      <c r="D7" s="14">
        <f>'T5b-studenti'!D6</f>
        <v>1248</v>
      </c>
      <c r="E7" s="15">
        <f>'T5b-studenti'!F6</f>
        <v>1283.5</v>
      </c>
      <c r="F7" s="23">
        <f>'T5b-studenti'!G6</f>
        <v>1967.4762711553619</v>
      </c>
      <c r="G7" s="14">
        <v>1019.3054937163375</v>
      </c>
      <c r="H7" s="14">
        <v>701.09077743902435</v>
      </c>
      <c r="I7" s="15">
        <v>247.08</v>
      </c>
      <c r="J7" s="26">
        <f>'T5b-studenti'!H6</f>
        <v>1974.9800000000002</v>
      </c>
      <c r="K7" s="23">
        <f>'T5b-studenti'!E6</f>
        <v>1248</v>
      </c>
      <c r="L7" s="14">
        <f>'T5b-studenti'!I6</f>
        <v>1157</v>
      </c>
      <c r="M7" s="14">
        <f>'T5b-studenti'!J6</f>
        <v>1157</v>
      </c>
      <c r="N7" s="15">
        <v>1161</v>
      </c>
      <c r="O7" s="23">
        <f t="shared" si="4"/>
        <v>301.203125</v>
      </c>
      <c r="P7" s="14">
        <v>19.239999999999995</v>
      </c>
      <c r="Q7" s="14">
        <v>281.96312499999999</v>
      </c>
      <c r="R7" s="15">
        <v>0</v>
      </c>
      <c r="S7" s="13"/>
      <c r="T7" s="83">
        <f t="shared" si="0"/>
        <v>2268.6793961553622</v>
      </c>
      <c r="U7" s="87">
        <f t="shared" si="5"/>
        <v>69.915254237288138</v>
      </c>
      <c r="V7" s="88">
        <f t="shared" si="1"/>
        <v>256.91389663134328</v>
      </c>
      <c r="W7" s="91" t="s">
        <v>59</v>
      </c>
      <c r="X7" s="97">
        <v>1</v>
      </c>
      <c r="Y7" s="18">
        <f>'T16-KIVC'!N9</f>
        <v>1.0792978156055462</v>
      </c>
      <c r="Z7" s="18">
        <f>'T16-KIVC'!O9</f>
        <v>1.1585956312110925</v>
      </c>
      <c r="AA7" s="37">
        <f t="shared" si="6"/>
        <v>1038.545493716337</v>
      </c>
      <c r="AB7" s="38">
        <f t="shared" si="7"/>
        <v>1066.5742119638635</v>
      </c>
      <c r="AC7" s="38">
        <f t="shared" si="8"/>
        <v>282.66462651392357</v>
      </c>
      <c r="AD7" s="38">
        <f t="shared" si="2"/>
        <v>326.82915086863142</v>
      </c>
      <c r="AE7" s="549">
        <f t="shared" si="3"/>
        <v>1.3912271219347266E-2</v>
      </c>
      <c r="AF7" s="543">
        <f t="shared" si="3"/>
        <v>1.3633089731409111E-2</v>
      </c>
      <c r="AG7" s="543">
        <f t="shared" si="3"/>
        <v>1.054804004366138E-2</v>
      </c>
      <c r="AH7" s="550">
        <f t="shared" si="3"/>
        <v>1.1474382837285114E-2</v>
      </c>
      <c r="AI7" s="1081">
        <f t="shared" si="9"/>
        <v>1.3174382202820679E-2</v>
      </c>
      <c r="AJ7" s="39">
        <f t="shared" si="10"/>
        <v>1.2469356286070881E-2</v>
      </c>
      <c r="AK7" s="40">
        <f t="shared" si="11"/>
        <v>1.255592571704999E-2</v>
      </c>
      <c r="AM7" s="1215" t="s">
        <v>59</v>
      </c>
      <c r="AN7" s="1224">
        <v>1.4516032937757326</v>
      </c>
      <c r="AO7" s="1218">
        <v>1017.42</v>
      </c>
      <c r="AP7" s="1218">
        <v>706.58</v>
      </c>
      <c r="AQ7" s="1218">
        <v>246.52</v>
      </c>
      <c r="AR7" s="1218">
        <v>18.835999999999999</v>
      </c>
      <c r="AS7" s="1218">
        <v>283.51900000000001</v>
      </c>
      <c r="AT7" s="1218"/>
      <c r="AU7" s="1216">
        <f t="shared" si="12"/>
        <v>1511.3996227948653</v>
      </c>
      <c r="AV7" s="1216">
        <f t="shared" si="13"/>
        <v>1440.8439695640593</v>
      </c>
      <c r="AW7" s="1100">
        <f t="shared" si="14"/>
        <v>355.53324398159367</v>
      </c>
      <c r="AX7" s="1225">
        <f t="shared" si="15"/>
        <v>326.82915086863142</v>
      </c>
      <c r="AY7" s="1229">
        <f t="shared" si="16"/>
        <v>3634.60598720915</v>
      </c>
      <c r="AZ7" s="1231">
        <f t="shared" si="17"/>
        <v>1.1715588724095201E-2</v>
      </c>
    </row>
    <row r="8" spans="1:52" x14ac:dyDescent="0.25">
      <c r="A8" s="21" t="s">
        <v>0</v>
      </c>
      <c r="B8" s="23">
        <f>'T5b-studenti'!B7</f>
        <v>2142</v>
      </c>
      <c r="C8" s="14">
        <f>'T5b-studenti'!C7</f>
        <v>117</v>
      </c>
      <c r="D8" s="14">
        <f>'T5b-studenti'!D7</f>
        <v>1978</v>
      </c>
      <c r="E8" s="15">
        <f>'T5b-studenti'!F7</f>
        <v>2125.4</v>
      </c>
      <c r="F8" s="23">
        <f>'T5b-studenti'!G7</f>
        <v>3214.3303424513115</v>
      </c>
      <c r="G8" s="14">
        <v>1460.5546488029904</v>
      </c>
      <c r="H8" s="14">
        <v>1059.0084209210493</v>
      </c>
      <c r="I8" s="15">
        <v>694.76727272727271</v>
      </c>
      <c r="J8" s="26">
        <f>'T5b-studenti'!H7</f>
        <v>3378.518</v>
      </c>
      <c r="K8" s="23">
        <f>'T5b-studenti'!E7</f>
        <v>1352</v>
      </c>
      <c r="L8" s="14">
        <f>'T5b-studenti'!I7</f>
        <v>1345</v>
      </c>
      <c r="M8" s="14">
        <f>'T5b-studenti'!J7</f>
        <v>1808</v>
      </c>
      <c r="N8" s="15">
        <v>1808</v>
      </c>
      <c r="O8" s="23">
        <f t="shared" si="4"/>
        <v>623.55558149452588</v>
      </c>
      <c r="P8" s="14">
        <v>20.763826262626264</v>
      </c>
      <c r="Q8" s="14">
        <v>543.15175523189964</v>
      </c>
      <c r="R8" s="15">
        <v>59.639999999999993</v>
      </c>
      <c r="S8" s="13"/>
      <c r="T8" s="83">
        <f t="shared" si="0"/>
        <v>3837.8859239458375</v>
      </c>
      <c r="U8" s="87">
        <f t="shared" si="5"/>
        <v>69.915254237288138</v>
      </c>
      <c r="V8" s="88">
        <f t="shared" si="1"/>
        <v>434.61682123020671</v>
      </c>
      <c r="W8" s="91" t="s">
        <v>60</v>
      </c>
      <c r="X8" s="97">
        <v>1</v>
      </c>
      <c r="Y8" s="18">
        <f>'T16-KIVC'!N10</f>
        <v>1.1924015616205117</v>
      </c>
      <c r="Z8" s="18">
        <f>'T16-KIVC'!O10</f>
        <v>1.3848031232410236</v>
      </c>
      <c r="AA8" s="37">
        <f t="shared" si="6"/>
        <v>1481.3184750656162</v>
      </c>
      <c r="AB8" s="38">
        <f t="shared" si="7"/>
        <v>1920.4407732386692</v>
      </c>
      <c r="AC8" s="38">
        <f t="shared" si="8"/>
        <v>1031.5633043220387</v>
      </c>
      <c r="AD8" s="38">
        <f t="shared" si="2"/>
        <v>504.53207546749485</v>
      </c>
      <c r="AE8" s="549">
        <f t="shared" si="3"/>
        <v>1.9843622173543084E-2</v>
      </c>
      <c r="AF8" s="543">
        <f t="shared" si="3"/>
        <v>2.4547322719543241E-2</v>
      </c>
      <c r="AG8" s="543">
        <f t="shared" si="3"/>
        <v>3.8494279159562744E-2</v>
      </c>
      <c r="AH8" s="550">
        <f t="shared" si="3"/>
        <v>1.771321246044855E-2</v>
      </c>
      <c r="AI8" s="1081">
        <f t="shared" si="9"/>
        <v>2.3712872983963084E-2</v>
      </c>
      <c r="AJ8" s="39">
        <f t="shared" si="10"/>
        <v>2.1330820899909682E-2</v>
      </c>
      <c r="AK8" s="40">
        <f t="shared" si="11"/>
        <v>2.0791869512285194E-2</v>
      </c>
      <c r="AM8" s="1215" t="s">
        <v>60</v>
      </c>
      <c r="AN8" s="1224">
        <v>1.5193731819461385</v>
      </c>
      <c r="AO8" s="1218">
        <v>1461.25</v>
      </c>
      <c r="AP8" s="1218">
        <v>1137.6600000000001</v>
      </c>
      <c r="AQ8" s="1218">
        <v>739.11</v>
      </c>
      <c r="AR8" s="1218">
        <v>20.8</v>
      </c>
      <c r="AS8" s="1218">
        <v>582.64400000000001</v>
      </c>
      <c r="AT8" s="1218">
        <v>58.981000000000002</v>
      </c>
      <c r="AU8" s="1216">
        <f t="shared" si="12"/>
        <v>2258.9540243032743</v>
      </c>
      <c r="AV8" s="1216">
        <f t="shared" si="13"/>
        <v>2617.3967623946696</v>
      </c>
      <c r="AW8" s="1100">
        <f t="shared" si="14"/>
        <v>1210.2820621525755</v>
      </c>
      <c r="AX8" s="1225">
        <f t="shared" si="15"/>
        <v>504.53207546749485</v>
      </c>
      <c r="AY8" s="1229">
        <f t="shared" si="16"/>
        <v>6591.1649243180136</v>
      </c>
      <c r="AZ8" s="1231">
        <f t="shared" si="17"/>
        <v>2.1245597937641983E-2</v>
      </c>
    </row>
    <row r="9" spans="1:52" x14ac:dyDescent="0.25">
      <c r="A9" s="21" t="s">
        <v>1</v>
      </c>
      <c r="B9" s="23">
        <f>'T5b-studenti'!B8</f>
        <v>850</v>
      </c>
      <c r="C9" s="14">
        <f>'T5b-studenti'!C8</f>
        <v>29</v>
      </c>
      <c r="D9" s="14">
        <f>'T5b-studenti'!D8</f>
        <v>788</v>
      </c>
      <c r="E9" s="15">
        <f>'T5b-studenti'!F8</f>
        <v>814.99999999999989</v>
      </c>
      <c r="F9" s="23">
        <f>'T5b-studenti'!G8</f>
        <v>1236.3316941620064</v>
      </c>
      <c r="G9" s="14">
        <v>484.35896797153026</v>
      </c>
      <c r="H9" s="14">
        <v>517.67272619047628</v>
      </c>
      <c r="I9" s="15">
        <v>234.29999999999998</v>
      </c>
      <c r="J9" s="26">
        <f>'T5b-studenti'!H8</f>
        <v>1277.7000000000003</v>
      </c>
      <c r="K9" s="23">
        <f>'T5b-studenti'!E8</f>
        <v>663</v>
      </c>
      <c r="L9" s="14">
        <f>'T5b-studenti'!I8</f>
        <v>591</v>
      </c>
      <c r="M9" s="14">
        <f>'T5b-studenti'!J8</f>
        <v>681</v>
      </c>
      <c r="N9" s="15">
        <v>681</v>
      </c>
      <c r="O9" s="23">
        <f t="shared" si="4"/>
        <v>274.86340476190475</v>
      </c>
      <c r="P9" s="14">
        <v>11.543999999999997</v>
      </c>
      <c r="Q9" s="14">
        <v>212.19940476190476</v>
      </c>
      <c r="R9" s="15">
        <v>51.11999999999999</v>
      </c>
      <c r="S9" s="13"/>
      <c r="T9" s="83">
        <f t="shared" si="0"/>
        <v>1511.1950989239112</v>
      </c>
      <c r="U9" s="87">
        <f t="shared" si="5"/>
        <v>69.915254237288138</v>
      </c>
      <c r="V9" s="88">
        <f t="shared" si="1"/>
        <v>171.13348941797446</v>
      </c>
      <c r="W9" s="91" t="s">
        <v>61</v>
      </c>
      <c r="X9" s="97">
        <v>1</v>
      </c>
      <c r="Y9" s="18">
        <f>'T16-KIVC'!N11</f>
        <v>1.0940590745894117</v>
      </c>
      <c r="Z9" s="18">
        <f>'T16-KIVC'!O11</f>
        <v>1.1881181491788233</v>
      </c>
      <c r="AA9" s="37">
        <f t="shared" si="6"/>
        <v>495.90296797153007</v>
      </c>
      <c r="AB9" s="38">
        <f t="shared" si="7"/>
        <v>802.71245775625698</v>
      </c>
      <c r="AC9" s="38">
        <f t="shared" si="8"/>
        <v>334.84669414467862</v>
      </c>
      <c r="AD9" s="38">
        <f t="shared" si="2"/>
        <v>241.0487436552626</v>
      </c>
      <c r="AE9" s="549">
        <f t="shared" si="3"/>
        <v>6.6430759467371028E-3</v>
      </c>
      <c r="AF9" s="543">
        <f t="shared" si="3"/>
        <v>1.0260374610934032E-2</v>
      </c>
      <c r="AG9" s="543">
        <f t="shared" si="3"/>
        <v>1.2495289495135063E-2</v>
      </c>
      <c r="AH9" s="550">
        <f t="shared" si="3"/>
        <v>8.462787238519091E-3</v>
      </c>
      <c r="AI9" s="1081">
        <f t="shared" si="9"/>
        <v>8.9163980913507454E-3</v>
      </c>
      <c r="AJ9" s="39">
        <f t="shared" si="10"/>
        <v>8.0669660081179387E-3</v>
      </c>
      <c r="AK9" s="40">
        <f t="shared" si="11"/>
        <v>7.9727927225521928E-3</v>
      </c>
      <c r="AM9" s="1215" t="s">
        <v>61</v>
      </c>
      <c r="AN9" s="1224">
        <v>1.5209003051881993</v>
      </c>
      <c r="AO9" s="1218">
        <v>483.45</v>
      </c>
      <c r="AP9" s="1218">
        <v>549.74</v>
      </c>
      <c r="AQ9" s="1218">
        <v>232.07</v>
      </c>
      <c r="AR9" s="1218">
        <v>10.547000000000001</v>
      </c>
      <c r="AS9" s="1218">
        <v>219.75200000000001</v>
      </c>
      <c r="AT9" s="1218">
        <v>50.634999999999998</v>
      </c>
      <c r="AU9" s="1216">
        <f t="shared" si="12"/>
        <v>758.48718806205488</v>
      </c>
      <c r="AV9" s="1216">
        <f t="shared" si="13"/>
        <v>1173.9336176398779</v>
      </c>
      <c r="AW9" s="1100">
        <f t="shared" si="14"/>
        <v>427.6501207782299</v>
      </c>
      <c r="AX9" s="1225">
        <f t="shared" si="15"/>
        <v>241.0487436552626</v>
      </c>
      <c r="AY9" s="1229">
        <f t="shared" si="16"/>
        <v>2601.1196701354252</v>
      </c>
      <c r="AZ9" s="1231">
        <f t="shared" si="17"/>
        <v>8.3843058600308312E-3</v>
      </c>
    </row>
    <row r="10" spans="1:52" x14ac:dyDescent="0.25">
      <c r="A10" s="21" t="s">
        <v>4</v>
      </c>
      <c r="B10" s="23">
        <f>'T5b-studenti'!B9</f>
        <v>1873</v>
      </c>
      <c r="C10" s="14">
        <f>'T5b-studenti'!C9</f>
        <v>61</v>
      </c>
      <c r="D10" s="14">
        <f>'T5b-studenti'!D9</f>
        <v>1783</v>
      </c>
      <c r="E10" s="15">
        <f>'T5b-studenti'!F9</f>
        <v>1766.0999999999997</v>
      </c>
      <c r="F10" s="23">
        <f>'T5b-studenti'!G9</f>
        <v>2579.4693085477543</v>
      </c>
      <c r="G10" s="14">
        <v>1026.524375510204</v>
      </c>
      <c r="H10" s="14">
        <v>1192.9749330375505</v>
      </c>
      <c r="I10" s="15">
        <v>359.96999999999997</v>
      </c>
      <c r="J10" s="26">
        <f>'T5b-studenti'!H9</f>
        <v>2732.7780000000002</v>
      </c>
      <c r="K10" s="23">
        <f>'T5b-studenti'!E9</f>
        <v>1218</v>
      </c>
      <c r="L10" s="14">
        <f>'T5b-studenti'!I9</f>
        <v>1001</v>
      </c>
      <c r="M10" s="14">
        <f>'T5b-studenti'!J9</f>
        <v>1500</v>
      </c>
      <c r="N10" s="15">
        <v>1500</v>
      </c>
      <c r="O10" s="23">
        <f t="shared" si="4"/>
        <v>480.3269677269509</v>
      </c>
      <c r="P10" s="14">
        <v>21.465034013605433</v>
      </c>
      <c r="Q10" s="14">
        <v>421.94193371334546</v>
      </c>
      <c r="R10" s="15">
        <v>36.92</v>
      </c>
      <c r="S10" s="13"/>
      <c r="T10" s="83">
        <f t="shared" si="0"/>
        <v>3059.7962762747052</v>
      </c>
      <c r="U10" s="87">
        <f t="shared" si="5"/>
        <v>69.915254237288138</v>
      </c>
      <c r="V10" s="88">
        <f t="shared" si="1"/>
        <v>346.50298564353665</v>
      </c>
      <c r="W10" s="91" t="s">
        <v>62</v>
      </c>
      <c r="X10" s="97">
        <v>1</v>
      </c>
      <c r="Y10" s="18">
        <f>'T16-KIVC'!N12</f>
        <v>0.99016905032033686</v>
      </c>
      <c r="Z10" s="18">
        <f>'T16-KIVC'!O12</f>
        <v>0.98033810064067373</v>
      </c>
      <c r="AA10" s="37">
        <f t="shared" si="6"/>
        <v>1047.9894095238089</v>
      </c>
      <c r="AB10" s="38">
        <f t="shared" si="7"/>
        <v>1607.4296217381359</v>
      </c>
      <c r="AC10" s="38">
        <f t="shared" si="8"/>
        <v>384.19173884159835</v>
      </c>
      <c r="AD10" s="38">
        <f t="shared" si="2"/>
        <v>416.41823988082479</v>
      </c>
      <c r="AE10" s="549">
        <f t="shared" si="3"/>
        <v>1.4038781149707734E-2</v>
      </c>
      <c r="AF10" s="543">
        <f t="shared" si="3"/>
        <v>2.0546373636514931E-2</v>
      </c>
      <c r="AG10" s="543">
        <f t="shared" si="3"/>
        <v>1.4336671325746723E-2</v>
      </c>
      <c r="AH10" s="550">
        <f t="shared" si="3"/>
        <v>1.4619694394217548E-2</v>
      </c>
      <c r="AI10" s="1081">
        <f t="shared" si="9"/>
        <v>1.6649276959742589E-2</v>
      </c>
      <c r="AJ10" s="39">
        <f t="shared" si="10"/>
        <v>1.7253836764289366E-2</v>
      </c>
      <c r="AK10" s="40">
        <f t="shared" si="11"/>
        <v>1.7276992916931813E-2</v>
      </c>
      <c r="AM10" s="1215" t="s">
        <v>62</v>
      </c>
      <c r="AN10" s="1224">
        <v>1.507873461099124</v>
      </c>
      <c r="AO10" s="1218">
        <v>1023.74</v>
      </c>
      <c r="AP10" s="1218">
        <v>1296.79</v>
      </c>
      <c r="AQ10" s="1218">
        <v>385.83</v>
      </c>
      <c r="AR10" s="1218">
        <v>20.896999999999998</v>
      </c>
      <c r="AS10" s="1218">
        <v>458.88600000000002</v>
      </c>
      <c r="AT10" s="1218">
        <v>42.128</v>
      </c>
      <c r="AU10" s="1216">
        <f t="shared" si="12"/>
        <v>1582.3474087822055</v>
      </c>
      <c r="AV10" s="1216">
        <f t="shared" si="13"/>
        <v>2650.9502466886652</v>
      </c>
      <c r="AW10" s="1100">
        <f t="shared" si="14"/>
        <v>642.99051066505888</v>
      </c>
      <c r="AX10" s="1225">
        <f t="shared" si="15"/>
        <v>416.41823988082479</v>
      </c>
      <c r="AY10" s="1229">
        <f t="shared" si="16"/>
        <v>5292.706406016754</v>
      </c>
      <c r="AZ10" s="1231">
        <f t="shared" si="17"/>
        <v>1.7060218276338898E-2</v>
      </c>
    </row>
    <row r="11" spans="1:52" x14ac:dyDescent="0.25">
      <c r="A11" s="21" t="s">
        <v>17</v>
      </c>
      <c r="B11" s="23">
        <f>'T5b-studenti'!B10</f>
        <v>141</v>
      </c>
      <c r="C11" s="14">
        <f>'T5b-studenti'!C10</f>
        <v>9</v>
      </c>
      <c r="D11" s="14">
        <f>'T5b-studenti'!D10</f>
        <v>120</v>
      </c>
      <c r="E11" s="15">
        <f>'T5b-studenti'!F10</f>
        <v>152.5</v>
      </c>
      <c r="F11" s="23">
        <f>'T5b-studenti'!G10</f>
        <v>230.00799999999998</v>
      </c>
      <c r="G11" s="14">
        <v>67.328000000000003</v>
      </c>
      <c r="H11" s="14">
        <v>86</v>
      </c>
      <c r="I11" s="15">
        <v>76.679999999999993</v>
      </c>
      <c r="J11" s="26">
        <f>'T5b-studenti'!H10</f>
        <v>240.75799999999998</v>
      </c>
      <c r="K11" s="23">
        <f>'T5b-studenti'!E10</f>
        <v>0</v>
      </c>
      <c r="L11" s="14">
        <f>'T5b-studenti'!I10</f>
        <v>42</v>
      </c>
      <c r="M11" s="14">
        <f>'T5b-studenti'!J10</f>
        <v>113</v>
      </c>
      <c r="N11" s="15">
        <v>113</v>
      </c>
      <c r="O11" s="23">
        <f t="shared" si="4"/>
        <v>57.28</v>
      </c>
      <c r="P11" s="14">
        <v>1.7199999999999989</v>
      </c>
      <c r="Q11" s="14">
        <v>30</v>
      </c>
      <c r="R11" s="15">
        <v>25.56</v>
      </c>
      <c r="S11" s="13"/>
      <c r="T11" s="83">
        <f t="shared" si="0"/>
        <v>287.28800000000001</v>
      </c>
      <c r="U11" s="87">
        <f t="shared" si="5"/>
        <v>69.915254237288138</v>
      </c>
      <c r="V11" s="88">
        <f t="shared" ref="V11:V13" si="18">T11/T$14*V$3</f>
        <v>32.533587452023944</v>
      </c>
      <c r="W11" s="91" t="s">
        <v>66</v>
      </c>
      <c r="X11" s="97">
        <v>1</v>
      </c>
      <c r="Y11" s="18">
        <f>'T16-KIVC'!N13</f>
        <v>0.8372061683121732</v>
      </c>
      <c r="Z11" s="18">
        <f>'T16-KIVC'!O13</f>
        <v>0.67441233662434641</v>
      </c>
      <c r="AA11" s="37">
        <f t="shared" si="6"/>
        <v>69.047999999999973</v>
      </c>
      <c r="AB11" s="38">
        <f t="shared" si="7"/>
        <v>97.625407112426515</v>
      </c>
      <c r="AC11" s="38">
        <f t="shared" si="8"/>
        <v>68.084512251368622</v>
      </c>
      <c r="AD11" s="38">
        <f t="shared" si="2"/>
        <v>102.44884168931208</v>
      </c>
      <c r="AE11" s="549">
        <f t="shared" ref="AE11:AE12" si="19">+AA11/AA$15</f>
        <v>9.249614089759529E-4</v>
      </c>
      <c r="AF11" s="543">
        <f t="shared" ref="AF11:AF12" si="20">+AB11/AB$15</f>
        <v>1.2478605991967761E-3</v>
      </c>
      <c r="AG11" s="543">
        <f t="shared" ref="AG11:AG12" si="21">+AC11/AC$15</f>
        <v>2.5406722108725368E-3</v>
      </c>
      <c r="AH11" s="550">
        <f t="shared" ref="AH11:AH12" si="22">+AD11/AD$15</f>
        <v>3.5967943118148846E-3</v>
      </c>
      <c r="AI11" s="1081">
        <f t="shared" si="9"/>
        <v>1.4910327416676923E-3</v>
      </c>
      <c r="AJ11" s="39">
        <f t="shared" si="10"/>
        <v>1.5200646491214356E-3</v>
      </c>
      <c r="AK11" s="40">
        <f t="shared" si="11"/>
        <v>1.4918415830542449E-3</v>
      </c>
      <c r="AM11" s="1215" t="s">
        <v>66</v>
      </c>
      <c r="AN11" s="1224">
        <v>1.5135127478753538</v>
      </c>
      <c r="AO11" s="1218">
        <v>66.58</v>
      </c>
      <c r="AP11" s="1218">
        <v>95.08</v>
      </c>
      <c r="AQ11" s="1218">
        <v>75.36</v>
      </c>
      <c r="AR11" s="1218">
        <v>1.5129999999999999</v>
      </c>
      <c r="AS11" s="1218">
        <v>33.167999999999999</v>
      </c>
      <c r="AT11" s="1218">
        <v>25.119</v>
      </c>
      <c r="AU11" s="1216">
        <f t="shared" si="12"/>
        <v>110.22662354107648</v>
      </c>
      <c r="AV11" s="1216">
        <f t="shared" si="13"/>
        <v>197.71798288951837</v>
      </c>
      <c r="AW11" s="1100">
        <f t="shared" si="14"/>
        <v>149.76024739376768</v>
      </c>
      <c r="AX11" s="1225">
        <f t="shared" si="15"/>
        <v>102.44884168931208</v>
      </c>
      <c r="AY11" s="1229">
        <f t="shared" si="16"/>
        <v>560.15369551367462</v>
      </c>
      <c r="AZ11" s="1231">
        <f t="shared" si="17"/>
        <v>1.8055685656203232E-3</v>
      </c>
    </row>
    <row r="12" spans="1:52" x14ac:dyDescent="0.25">
      <c r="A12" s="343" t="s">
        <v>205</v>
      </c>
      <c r="B12" s="23">
        <f>'T5b-studenti'!B11</f>
        <v>0</v>
      </c>
      <c r="C12" s="14">
        <f>'T5b-studenti'!C11</f>
        <v>0</v>
      </c>
      <c r="D12" s="14">
        <f>'T5b-studenti'!D11</f>
        <v>0</v>
      </c>
      <c r="E12" s="15">
        <f>'T5b-studenti'!F11</f>
        <v>0</v>
      </c>
      <c r="F12" s="23">
        <f>'T5b-studenti'!G11</f>
        <v>0</v>
      </c>
      <c r="G12" s="14">
        <v>0</v>
      </c>
      <c r="H12" s="14">
        <v>0</v>
      </c>
      <c r="I12" s="15">
        <v>0</v>
      </c>
      <c r="J12" s="26">
        <f>'T5b-studenti'!H11</f>
        <v>0</v>
      </c>
      <c r="K12" s="23">
        <f>'T5b-studenti'!E11</f>
        <v>0</v>
      </c>
      <c r="L12" s="14">
        <f>'T5b-studenti'!I11</f>
        <v>0</v>
      </c>
      <c r="M12" s="14">
        <f>'T5b-studenti'!J11</f>
        <v>0</v>
      </c>
      <c r="N12" s="15">
        <v>0</v>
      </c>
      <c r="O12" s="23">
        <f t="shared" si="4"/>
        <v>0</v>
      </c>
      <c r="P12" s="14">
        <v>0</v>
      </c>
      <c r="Q12" s="14">
        <v>0</v>
      </c>
      <c r="R12" s="15">
        <v>0</v>
      </c>
      <c r="S12" s="13"/>
      <c r="T12" s="83">
        <f t="shared" si="0"/>
        <v>0</v>
      </c>
      <c r="U12" s="87">
        <v>0</v>
      </c>
      <c r="V12" s="88">
        <f t="shared" si="18"/>
        <v>0</v>
      </c>
      <c r="W12" s="91" t="s">
        <v>67</v>
      </c>
      <c r="X12" s="97">
        <v>1</v>
      </c>
      <c r="Y12" s="18">
        <f>'T16-KIVC'!N14</f>
        <v>0.68335144500799028</v>
      </c>
      <c r="Z12" s="18">
        <f>'T16-KIVC'!O14</f>
        <v>0.3667028900159805</v>
      </c>
      <c r="AA12" s="37">
        <f t="shared" si="6"/>
        <v>0</v>
      </c>
      <c r="AB12" s="38">
        <f t="shared" si="7"/>
        <v>0</v>
      </c>
      <c r="AC12" s="38">
        <f t="shared" si="8"/>
        <v>0</v>
      </c>
      <c r="AD12" s="38">
        <f t="shared" si="2"/>
        <v>0</v>
      </c>
      <c r="AE12" s="549">
        <f t="shared" si="19"/>
        <v>0</v>
      </c>
      <c r="AF12" s="543">
        <f t="shared" si="20"/>
        <v>0</v>
      </c>
      <c r="AG12" s="543">
        <f t="shared" si="21"/>
        <v>0</v>
      </c>
      <c r="AH12" s="550">
        <f t="shared" si="22"/>
        <v>0</v>
      </c>
      <c r="AI12" s="1081">
        <f t="shared" si="9"/>
        <v>0</v>
      </c>
      <c r="AJ12" s="39">
        <f t="shared" si="10"/>
        <v>0</v>
      </c>
      <c r="AK12" s="40">
        <f t="shared" si="11"/>
        <v>0</v>
      </c>
      <c r="AM12" s="1215" t="s">
        <v>205</v>
      </c>
      <c r="AN12" s="1224"/>
      <c r="AO12" s="1218"/>
      <c r="AP12" s="1218"/>
      <c r="AQ12" s="1218"/>
      <c r="AR12" s="1218"/>
      <c r="AS12" s="1218"/>
      <c r="AT12" s="1218"/>
      <c r="AU12" s="1216" t="e">
        <f>+SUMIFS([3]!T5studenti[PPS*KO*KAP_OLD,level1],[3]!T5studenti[university],AN12)*AO12+AO12*('[3]T6a-abs'!H12+'[3]T6a-abs'!I12)</f>
        <v>#REF!</v>
      </c>
      <c r="AV12" s="1216">
        <f t="shared" ref="AV12:AV13" si="23">$AN12*(AP12+AS12)</f>
        <v>0</v>
      </c>
      <c r="AW12" s="1100">
        <f t="shared" ref="AW12:AW13" si="24">$AN12*(AQ12+AT12)</f>
        <v>0</v>
      </c>
      <c r="AX12" s="1225">
        <f t="shared" si="15"/>
        <v>0</v>
      </c>
      <c r="AY12" s="1229" t="e">
        <f t="shared" si="16"/>
        <v>#REF!</v>
      </c>
      <c r="AZ12" s="1231" t="e">
        <f t="shared" si="17"/>
        <v>#REF!</v>
      </c>
    </row>
    <row r="13" spans="1:52" x14ac:dyDescent="0.25">
      <c r="A13" s="22" t="s">
        <v>64</v>
      </c>
      <c r="B13" s="23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3">
        <f>'T5b-studenti'!G12</f>
        <v>0</v>
      </c>
      <c r="G13" s="14">
        <v>0</v>
      </c>
      <c r="H13" s="14">
        <v>0</v>
      </c>
      <c r="I13" s="15">
        <v>0</v>
      </c>
      <c r="J13" s="26">
        <f>'T5b-studenti'!H12</f>
        <v>0</v>
      </c>
      <c r="K13" s="23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3">
        <f t="shared" si="4"/>
        <v>0</v>
      </c>
      <c r="P13" s="14">
        <v>0</v>
      </c>
      <c r="Q13" s="14">
        <v>0</v>
      </c>
      <c r="R13" s="15">
        <v>0</v>
      </c>
      <c r="S13" s="13"/>
      <c r="T13" s="83">
        <f t="shared" si="0"/>
        <v>0</v>
      </c>
      <c r="U13" s="87">
        <v>0</v>
      </c>
      <c r="V13" s="88">
        <f t="shared" si="18"/>
        <v>0</v>
      </c>
      <c r="W13" s="91" t="s">
        <v>68</v>
      </c>
      <c r="X13" s="97">
        <v>1</v>
      </c>
      <c r="Y13" s="18">
        <f>'T16-KIVC'!N15</f>
        <v>2.3945519298314446</v>
      </c>
      <c r="Z13" s="18">
        <f>'T16-KIVC'!O15</f>
        <v>3.7891038596628888</v>
      </c>
      <c r="AA13" s="37">
        <f t="shared" si="6"/>
        <v>0</v>
      </c>
      <c r="AB13" s="38">
        <f t="shared" si="7"/>
        <v>0</v>
      </c>
      <c r="AC13" s="38">
        <f t="shared" si="8"/>
        <v>0</v>
      </c>
      <c r="AD13" s="38">
        <f t="shared" si="2"/>
        <v>0</v>
      </c>
      <c r="AE13" s="549">
        <f>+AA13/AA$15</f>
        <v>0</v>
      </c>
      <c r="AF13" s="543">
        <f>+AB13/AB$15</f>
        <v>0</v>
      </c>
      <c r="AG13" s="543">
        <f>+AC13/AC$15</f>
        <v>0</v>
      </c>
      <c r="AH13" s="550">
        <f>+AD13/AD$15</f>
        <v>0</v>
      </c>
      <c r="AI13" s="1081">
        <f t="shared" si="9"/>
        <v>0</v>
      </c>
      <c r="AJ13" s="39">
        <f t="shared" si="10"/>
        <v>0</v>
      </c>
      <c r="AK13" s="40">
        <f t="shared" si="11"/>
        <v>0</v>
      </c>
      <c r="AM13" s="1215" t="s">
        <v>64</v>
      </c>
      <c r="AN13" s="1224"/>
      <c r="AO13" s="1218"/>
      <c r="AP13" s="1218"/>
      <c r="AQ13" s="1218"/>
      <c r="AR13" s="1218"/>
      <c r="AS13" s="1218"/>
      <c r="AT13" s="1218"/>
      <c r="AU13" s="1216" t="e">
        <f>+SUMIFS([3]!T5studenti[PPS*KO*KAP_OLD,level1],[3]!T5studenti[university],AN13)*AO13+AO13*('[3]T6a-abs'!H13+'[3]T6a-abs'!I13)</f>
        <v>#REF!</v>
      </c>
      <c r="AV13" s="1216">
        <f t="shared" si="23"/>
        <v>0</v>
      </c>
      <c r="AW13" s="1100">
        <f t="shared" si="24"/>
        <v>0</v>
      </c>
      <c r="AX13" s="1225">
        <f t="shared" si="15"/>
        <v>0</v>
      </c>
      <c r="AY13" s="1229" t="e">
        <f t="shared" si="16"/>
        <v>#REF!</v>
      </c>
      <c r="AZ13" s="1231" t="e">
        <f t="shared" si="17"/>
        <v>#REF!</v>
      </c>
    </row>
    <row r="14" spans="1:52" s="17" customFormat="1" thickBot="1" x14ac:dyDescent="0.3">
      <c r="A14" s="71" t="s">
        <v>2</v>
      </c>
      <c r="B14" s="72">
        <f>SUM(B4:B13)</f>
        <v>10981</v>
      </c>
      <c r="C14" s="73">
        <f>SUM(C4:C13)</f>
        <v>487</v>
      </c>
      <c r="D14" s="73">
        <f>SUM(D4:D13)</f>
        <v>10211</v>
      </c>
      <c r="E14" s="74">
        <f>SUM(E4:E13)</f>
        <v>10943.6</v>
      </c>
      <c r="F14" s="72">
        <f>SUM(F4:F13)</f>
        <v>17081.468821311242</v>
      </c>
      <c r="G14" s="73">
        <f t="shared" ref="G14:W14" si="25">SUM(G4:G13)</f>
        <v>7525.9834580139859</v>
      </c>
      <c r="H14" s="73">
        <f t="shared" si="25"/>
        <v>6306.8519542063468</v>
      </c>
      <c r="I14" s="74">
        <f t="shared" si="25"/>
        <v>3248.6334090909086</v>
      </c>
      <c r="J14" s="75">
        <f t="shared" si="25"/>
        <v>17958.209500000001</v>
      </c>
      <c r="K14" s="72">
        <f t="shared" si="25"/>
        <v>7589</v>
      </c>
      <c r="L14" s="73">
        <f t="shared" si="25"/>
        <v>7392</v>
      </c>
      <c r="M14" s="73">
        <f t="shared" si="25"/>
        <v>9250</v>
      </c>
      <c r="N14" s="74">
        <f t="shared" si="25"/>
        <v>9254</v>
      </c>
      <c r="O14" s="72">
        <f t="shared" si="25"/>
        <v>2990.1388645376883</v>
      </c>
      <c r="P14" s="73">
        <f t="shared" si="25"/>
        <v>130.22751542652216</v>
      </c>
      <c r="Q14" s="73">
        <f t="shared" si="25"/>
        <v>2494.9713491111661</v>
      </c>
      <c r="R14" s="74">
        <f t="shared" si="25"/>
        <v>364.94</v>
      </c>
      <c r="S14" s="13"/>
      <c r="T14" s="84">
        <f t="shared" si="25"/>
        <v>20071.607685848929</v>
      </c>
      <c r="U14" s="89">
        <f t="shared" si="25"/>
        <v>559.32203389830511</v>
      </c>
      <c r="V14" s="786">
        <f t="shared" si="25"/>
        <v>2272.9853107344616</v>
      </c>
      <c r="W14" s="92">
        <f t="shared" si="25"/>
        <v>0</v>
      </c>
      <c r="X14" s="98"/>
      <c r="Y14" s="99"/>
      <c r="Z14" s="99"/>
      <c r="AA14" s="100">
        <f t="shared" ref="AA14:AI14" si="26">SUM(AA4:AA13)</f>
        <v>7656.2109734405049</v>
      </c>
      <c r="AB14" s="100">
        <f t="shared" si="26"/>
        <v>9986.5754156034618</v>
      </c>
      <c r="AC14" s="100">
        <f t="shared" si="26"/>
        <v>4586.3692905322332</v>
      </c>
      <c r="AD14" s="542">
        <f t="shared" si="26"/>
        <v>2832.3073446327671</v>
      </c>
      <c r="AE14" s="148">
        <f t="shared" si="26"/>
        <v>0.10256198136674029</v>
      </c>
      <c r="AF14" s="149">
        <f t="shared" si="26"/>
        <v>0.12764970053018593</v>
      </c>
      <c r="AG14" s="149">
        <f t="shared" si="26"/>
        <v>0.17114701449624034</v>
      </c>
      <c r="AH14" s="150">
        <f t="shared" si="26"/>
        <v>9.9437209620979378E-2</v>
      </c>
      <c r="AI14" s="1082">
        <f t="shared" si="26"/>
        <v>0.12024332682400425</v>
      </c>
      <c r="AJ14" s="525">
        <f>SUM(AJ4:AJ13)</f>
        <v>0.11338206590213713</v>
      </c>
      <c r="AK14" s="526">
        <f t="shared" ref="AK14" si="27">SUM(AK4:AK13)</f>
        <v>0.10705650851352416</v>
      </c>
      <c r="AM14" s="1213" t="s">
        <v>16</v>
      </c>
      <c r="AN14" s="1222">
        <v>1.523513141793837</v>
      </c>
      <c r="AO14" s="1217">
        <f>SUM(AO4:AO13)</f>
        <v>7507.1599999999989</v>
      </c>
      <c r="AP14" s="1217">
        <f t="shared" ref="AP14:AQ14" si="28">SUM(AP4:AP13)</f>
        <v>6865.95</v>
      </c>
      <c r="AQ14" s="1217">
        <f t="shared" si="28"/>
        <v>3387.11</v>
      </c>
      <c r="AR14" s="1217">
        <f>SUM(AR4:AR13)</f>
        <v>124.47800000000001</v>
      </c>
      <c r="AS14" s="1217">
        <f t="shared" ref="AS14" si="29">SUM(AS4:AS13)</f>
        <v>2690.5990000000002</v>
      </c>
      <c r="AT14" s="1217">
        <f t="shared" ref="AT14:AZ14" si="30">SUM(AT4:AT13)</f>
        <v>369.92700000000002</v>
      </c>
      <c r="AU14" s="1214" t="e">
        <f t="shared" si="30"/>
        <v>#REF!</v>
      </c>
      <c r="AV14" s="1214">
        <f t="shared" si="30"/>
        <v>14540.090980639356</v>
      </c>
      <c r="AW14" s="1233">
        <f t="shared" si="30"/>
        <v>5716.2549599496306</v>
      </c>
      <c r="AX14" s="1223">
        <f t="shared" si="30"/>
        <v>2832.3073446327671</v>
      </c>
      <c r="AY14" s="1228" t="e">
        <f t="shared" si="30"/>
        <v>#REF!</v>
      </c>
      <c r="AZ14" s="1232" t="e">
        <f t="shared" si="30"/>
        <v>#REF!</v>
      </c>
    </row>
    <row r="15" spans="1:52" s="17" customFormat="1" ht="16.5" thickBot="1" x14ac:dyDescent="0.3">
      <c r="A15" s="76" t="s">
        <v>83</v>
      </c>
      <c r="B15" s="77">
        <v>137718.5</v>
      </c>
      <c r="C15" s="78">
        <v>4428</v>
      </c>
      <c r="D15" s="78">
        <v>116942.5</v>
      </c>
      <c r="E15" s="79">
        <v>102222.65</v>
      </c>
      <c r="F15" s="77">
        <v>182322.67701042542</v>
      </c>
      <c r="G15" s="78">
        <v>86030.049247728224</v>
      </c>
      <c r="H15" s="78">
        <v>69027.352548758281</v>
      </c>
      <c r="I15" s="79">
        <v>27265.275213938923</v>
      </c>
      <c r="J15" s="76">
        <v>158386.68449999997</v>
      </c>
      <c r="K15" s="77">
        <v>37812.5</v>
      </c>
      <c r="L15" s="78">
        <v>23802</v>
      </c>
      <c r="M15" s="78">
        <v>106314.5</v>
      </c>
      <c r="N15" s="79">
        <v>106689.5</v>
      </c>
      <c r="O15" s="80">
        <v>36106.192615414533</v>
      </c>
      <c r="P15" s="81">
        <v>3931.9735689281902</v>
      </c>
      <c r="Q15" s="81">
        <v>26898.683141724436</v>
      </c>
      <c r="R15" s="82">
        <v>5275.5359047619031</v>
      </c>
      <c r="S15" s="13"/>
      <c r="T15" s="101">
        <v>218428.86962584002</v>
      </c>
      <c r="U15" s="102">
        <v>559.32203389830511</v>
      </c>
      <c r="V15" s="103">
        <v>21842.905084745751</v>
      </c>
      <c r="AA15" s="104">
        <v>74649.6008697754</v>
      </c>
      <c r="AB15" s="104">
        <v>78234.225181295187</v>
      </c>
      <c r="AC15" s="104">
        <v>26797.834037782672</v>
      </c>
      <c r="AD15" s="105">
        <v>28483.375141242934</v>
      </c>
      <c r="AE15" s="5"/>
      <c r="AF15" s="5"/>
      <c r="AG15" s="5"/>
      <c r="AH15" s="5"/>
      <c r="AI15" s="5"/>
      <c r="AJ15" s="5"/>
      <c r="AK15" s="5"/>
      <c r="AY15" s="1226">
        <v>310236.73438910785</v>
      </c>
    </row>
    <row r="16" spans="1:52" ht="16.5" thickBot="1" x14ac:dyDescent="0.3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4">
        <v>0.99999999999999967</v>
      </c>
      <c r="AB16" s="104">
        <v>1.0052462213372988</v>
      </c>
      <c r="AC16" s="104">
        <v>0.98742014610884632</v>
      </c>
      <c r="AD16" s="105">
        <v>1</v>
      </c>
      <c r="AN16" s="5" t="s">
        <v>485</v>
      </c>
    </row>
    <row r="17" spans="1:37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13"/>
      <c r="P17" s="13"/>
      <c r="Q17" s="13"/>
      <c r="R17" s="13"/>
      <c r="S17" s="13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3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37" ht="16.5" thickBot="1" x14ac:dyDescent="0.3">
      <c r="A20" s="1" t="s">
        <v>270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AD20" s="5" t="s">
        <v>275</v>
      </c>
    </row>
    <row r="21" spans="1:37" x14ac:dyDescent="0.25">
      <c r="A21" s="510" t="s">
        <v>2</v>
      </c>
      <c r="B21" s="337">
        <f t="shared" ref="B21:F31" si="31">B3-B37</f>
        <v>-154</v>
      </c>
      <c r="C21" s="338">
        <f t="shared" si="31"/>
        <v>14</v>
      </c>
      <c r="D21" s="338">
        <f t="shared" si="31"/>
        <v>-137</v>
      </c>
      <c r="E21" s="511">
        <f t="shared" si="31"/>
        <v>-8.4000000000050932</v>
      </c>
      <c r="F21" s="337">
        <f t="shared" si="31"/>
        <v>-728.53117868876143</v>
      </c>
      <c r="G21" s="338"/>
      <c r="H21" s="338"/>
      <c r="I21" s="511"/>
      <c r="J21" s="512">
        <f t="shared" ref="J21:O21" si="32">J3-J37</f>
        <v>-0.11450000000331784</v>
      </c>
      <c r="K21" s="337">
        <f t="shared" si="32"/>
        <v>-1422</v>
      </c>
      <c r="L21" s="338">
        <f t="shared" si="32"/>
        <v>-1419</v>
      </c>
      <c r="M21" s="338">
        <f t="shared" si="32"/>
        <v>86</v>
      </c>
      <c r="N21" s="511">
        <f t="shared" si="32"/>
        <v>83</v>
      </c>
      <c r="O21" s="337">
        <f t="shared" si="32"/>
        <v>-1152.8238904571635</v>
      </c>
      <c r="P21" s="338"/>
      <c r="Q21" s="338"/>
      <c r="R21" s="511"/>
      <c r="S21" s="13"/>
      <c r="T21" s="519">
        <f t="shared" ref="T21:V31" si="33">T3-T37</f>
        <v>-1881.3550691459277</v>
      </c>
      <c r="U21" s="520">
        <f t="shared" si="33"/>
        <v>0</v>
      </c>
      <c r="V21" s="521">
        <f t="shared" si="33"/>
        <v>-2.0881355932215229</v>
      </c>
      <c r="W21" s="522" t="s">
        <v>16</v>
      </c>
      <c r="X21" s="93"/>
      <c r="Y21" s="94"/>
      <c r="Z21" s="94"/>
      <c r="AA21" s="95"/>
      <c r="AB21" s="96"/>
      <c r="AC21" s="96"/>
      <c r="AD21" s="96">
        <f t="shared" ref="AD21:AD31" si="34">SUM(AA3:AD3)-AD37</f>
        <v>-11218.536975791038</v>
      </c>
      <c r="AE21" s="546"/>
      <c r="AF21" s="547"/>
      <c r="AG21" s="547"/>
      <c r="AH21" s="548"/>
      <c r="AI21" s="544">
        <f t="shared" ref="AI21:AK31" si="35">AI3-AI37</f>
        <v>6.6333268240042348E-3</v>
      </c>
      <c r="AJ21" s="523">
        <f t="shared" si="35"/>
        <v>7.3206590213714673E-4</v>
      </c>
      <c r="AK21" s="524">
        <f t="shared" si="35"/>
        <v>1.1565085135241127E-3</v>
      </c>
    </row>
    <row r="22" spans="1:37" x14ac:dyDescent="0.25">
      <c r="A22" s="486" t="s">
        <v>6</v>
      </c>
      <c r="B22" s="513">
        <f t="shared" si="31"/>
        <v>-15</v>
      </c>
      <c r="C22" s="514">
        <f t="shared" si="31"/>
        <v>-6</v>
      </c>
      <c r="D22" s="514">
        <f t="shared" si="31"/>
        <v>1</v>
      </c>
      <c r="E22" s="515">
        <f t="shared" si="31"/>
        <v>-9.6000000000000227</v>
      </c>
      <c r="F22" s="513">
        <f t="shared" si="31"/>
        <v>-180.17070417322111</v>
      </c>
      <c r="G22" s="514"/>
      <c r="H22" s="514"/>
      <c r="I22" s="515"/>
      <c r="J22" s="516">
        <f t="shared" ref="J22:M31" si="36">J4-J38</f>
        <v>-24.100000000000136</v>
      </c>
      <c r="K22" s="513">
        <f t="shared" si="36"/>
        <v>0</v>
      </c>
      <c r="L22" s="514">
        <f t="shared" si="36"/>
        <v>-195</v>
      </c>
      <c r="M22" s="514">
        <f t="shared" si="36"/>
        <v>19</v>
      </c>
      <c r="N22" s="515"/>
      <c r="O22" s="513">
        <f t="shared" ref="O22:O31" si="37">O4-O38</f>
        <v>-73.008386460627349</v>
      </c>
      <c r="P22" s="514"/>
      <c r="Q22" s="514"/>
      <c r="R22" s="515"/>
      <c r="S22" s="13"/>
      <c r="T22" s="83">
        <f t="shared" si="33"/>
        <v>-253.17909063384855</v>
      </c>
      <c r="U22" s="87">
        <f t="shared" si="33"/>
        <v>0</v>
      </c>
      <c r="V22" s="88">
        <f t="shared" si="33"/>
        <v>-1.3138624713711806</v>
      </c>
      <c r="W22" s="91" t="s">
        <v>56</v>
      </c>
      <c r="X22" s="97"/>
      <c r="Y22" s="18"/>
      <c r="Z22" s="18"/>
      <c r="AA22" s="37"/>
      <c r="AB22" s="38"/>
      <c r="AC22" s="38"/>
      <c r="AD22" s="38">
        <f t="shared" si="34"/>
        <v>-1377.2822082721284</v>
      </c>
      <c r="AE22" s="549"/>
      <c r="AF22" s="543"/>
      <c r="AG22" s="543"/>
      <c r="AH22" s="550"/>
      <c r="AI22" s="146">
        <f t="shared" si="35"/>
        <v>-9.7921906905945773E-4</v>
      </c>
      <c r="AJ22" s="39">
        <f t="shared" si="35"/>
        <v>-7.7530869519363763E-5</v>
      </c>
      <c r="AK22" s="40">
        <f t="shared" si="35"/>
        <v>1.8959971021501737E-5</v>
      </c>
    </row>
    <row r="23" spans="1:37" x14ac:dyDescent="0.25">
      <c r="A23" s="486" t="s">
        <v>3</v>
      </c>
      <c r="B23" s="513">
        <f t="shared" si="31"/>
        <v>12</v>
      </c>
      <c r="C23" s="514">
        <f t="shared" si="31"/>
        <v>-3</v>
      </c>
      <c r="D23" s="514">
        <f t="shared" si="31"/>
        <v>17</v>
      </c>
      <c r="E23" s="515">
        <f t="shared" si="31"/>
        <v>56.099999999999909</v>
      </c>
      <c r="F23" s="513">
        <f t="shared" si="31"/>
        <v>48.062462365590818</v>
      </c>
      <c r="G23" s="514"/>
      <c r="H23" s="514"/>
      <c r="I23" s="515"/>
      <c r="J23" s="516">
        <f t="shared" si="36"/>
        <v>75.107999999999265</v>
      </c>
      <c r="K23" s="513">
        <f t="shared" si="36"/>
        <v>-94</v>
      </c>
      <c r="L23" s="514">
        <f t="shared" si="36"/>
        <v>-51</v>
      </c>
      <c r="M23" s="514">
        <f t="shared" si="36"/>
        <v>53</v>
      </c>
      <c r="N23" s="515"/>
      <c r="O23" s="513">
        <f t="shared" si="37"/>
        <v>-175.41484188260182</v>
      </c>
      <c r="P23" s="514"/>
      <c r="Q23" s="514"/>
      <c r="R23" s="515"/>
      <c r="S23" s="13"/>
      <c r="T23" s="83">
        <f t="shared" si="33"/>
        <v>-127.35237951701083</v>
      </c>
      <c r="U23" s="87">
        <f t="shared" si="33"/>
        <v>0</v>
      </c>
      <c r="V23" s="88">
        <f t="shared" si="33"/>
        <v>37.190598676300226</v>
      </c>
      <c r="W23" s="91" t="s">
        <v>57</v>
      </c>
      <c r="X23" s="97"/>
      <c r="Y23" s="18"/>
      <c r="Z23" s="18"/>
      <c r="AA23" s="37"/>
      <c r="AB23" s="38"/>
      <c r="AC23" s="38"/>
      <c r="AD23" s="38">
        <f t="shared" si="34"/>
        <v>-1056.5262491784297</v>
      </c>
      <c r="AE23" s="549"/>
      <c r="AF23" s="543"/>
      <c r="AG23" s="543"/>
      <c r="AH23" s="550"/>
      <c r="AI23" s="146">
        <f t="shared" si="35"/>
        <v>5.5184429289964615E-3</v>
      </c>
      <c r="AJ23" s="39">
        <f t="shared" si="35"/>
        <v>6.0831716863429808E-4</v>
      </c>
      <c r="AK23" s="40">
        <f t="shared" si="35"/>
        <v>7.8378437500132778E-4</v>
      </c>
    </row>
    <row r="24" spans="1:37" x14ac:dyDescent="0.25">
      <c r="A24" s="486" t="s">
        <v>5</v>
      </c>
      <c r="B24" s="513">
        <f t="shared" si="31"/>
        <v>10</v>
      </c>
      <c r="C24" s="514">
        <f t="shared" si="31"/>
        <v>4</v>
      </c>
      <c r="D24" s="514">
        <f t="shared" si="31"/>
        <v>5</v>
      </c>
      <c r="E24" s="515">
        <f t="shared" si="31"/>
        <v>61.599999999999682</v>
      </c>
      <c r="F24" s="513">
        <f t="shared" si="31"/>
        <v>-141.03855319756485</v>
      </c>
      <c r="G24" s="514"/>
      <c r="H24" s="514"/>
      <c r="I24" s="515"/>
      <c r="J24" s="516">
        <f t="shared" si="36"/>
        <v>90.467499999999745</v>
      </c>
      <c r="K24" s="513">
        <f t="shared" si="36"/>
        <v>-228</v>
      </c>
      <c r="L24" s="514">
        <f t="shared" si="36"/>
        <v>-211</v>
      </c>
      <c r="M24" s="514">
        <f t="shared" si="36"/>
        <v>54</v>
      </c>
      <c r="N24" s="515"/>
      <c r="O24" s="513">
        <f t="shared" si="37"/>
        <v>-281.66698610246431</v>
      </c>
      <c r="P24" s="514"/>
      <c r="Q24" s="514"/>
      <c r="R24" s="515"/>
      <c r="S24" s="13"/>
      <c r="T24" s="83">
        <f t="shared" si="33"/>
        <v>-422.70553930002916</v>
      </c>
      <c r="U24" s="87">
        <f t="shared" si="33"/>
        <v>0</v>
      </c>
      <c r="V24" s="88">
        <f t="shared" si="33"/>
        <v>4.4077941544477426</v>
      </c>
      <c r="W24" s="91" t="s">
        <v>58</v>
      </c>
      <c r="X24" s="97"/>
      <c r="Y24" s="18"/>
      <c r="Z24" s="18"/>
      <c r="AA24" s="37"/>
      <c r="AB24" s="38"/>
      <c r="AC24" s="38"/>
      <c r="AD24" s="38">
        <f t="shared" si="34"/>
        <v>-2256.9236923428916</v>
      </c>
      <c r="AE24" s="549"/>
      <c r="AF24" s="543"/>
      <c r="AG24" s="543"/>
      <c r="AH24" s="550"/>
      <c r="AI24" s="146">
        <f t="shared" si="35"/>
        <v>4.6874808531164464E-5</v>
      </c>
      <c r="AJ24" s="39">
        <f t="shared" si="35"/>
        <v>6.9769838187128466E-4</v>
      </c>
      <c r="AK24" s="40">
        <f t="shared" si="35"/>
        <v>7.8340513345782556E-4</v>
      </c>
    </row>
    <row r="25" spans="1:37" x14ac:dyDescent="0.25">
      <c r="A25" s="486" t="s">
        <v>7</v>
      </c>
      <c r="B25" s="513">
        <f t="shared" si="31"/>
        <v>45</v>
      </c>
      <c r="C25" s="514">
        <f t="shared" si="31"/>
        <v>2</v>
      </c>
      <c r="D25" s="514">
        <f t="shared" si="31"/>
        <v>40</v>
      </c>
      <c r="E25" s="515">
        <f t="shared" si="31"/>
        <v>22.5</v>
      </c>
      <c r="F25" s="513">
        <f t="shared" si="31"/>
        <v>34.476271155361928</v>
      </c>
      <c r="G25" s="514"/>
      <c r="H25" s="514"/>
      <c r="I25" s="515"/>
      <c r="J25" s="516">
        <f t="shared" si="36"/>
        <v>37.980000000000246</v>
      </c>
      <c r="K25" s="513">
        <f t="shared" si="36"/>
        <v>40</v>
      </c>
      <c r="L25" s="514">
        <f t="shared" si="36"/>
        <v>37</v>
      </c>
      <c r="M25" s="514">
        <f t="shared" si="36"/>
        <v>37</v>
      </c>
      <c r="N25" s="515"/>
      <c r="O25" s="513">
        <f t="shared" si="37"/>
        <v>86.203125</v>
      </c>
      <c r="P25" s="514"/>
      <c r="Q25" s="514"/>
      <c r="R25" s="515"/>
      <c r="S25" s="13"/>
      <c r="T25" s="83">
        <f t="shared" si="33"/>
        <v>120.67939615536216</v>
      </c>
      <c r="U25" s="87">
        <f t="shared" si="33"/>
        <v>0</v>
      </c>
      <c r="V25" s="88">
        <f t="shared" si="33"/>
        <v>41.913896631343277</v>
      </c>
      <c r="W25" s="91" t="s">
        <v>59</v>
      </c>
      <c r="X25" s="97"/>
      <c r="Y25" s="18"/>
      <c r="Z25" s="18"/>
      <c r="AA25" s="37"/>
      <c r="AB25" s="38"/>
      <c r="AC25" s="38"/>
      <c r="AD25" s="38">
        <f t="shared" si="34"/>
        <v>-688.43039196751852</v>
      </c>
      <c r="AE25" s="549"/>
      <c r="AF25" s="543"/>
      <c r="AG25" s="543"/>
      <c r="AH25" s="550"/>
      <c r="AI25" s="146">
        <f t="shared" si="35"/>
        <v>2.4646256349455855E-3</v>
      </c>
      <c r="AJ25" s="39">
        <f t="shared" si="35"/>
        <v>3.1887121293110859E-4</v>
      </c>
      <c r="AK25" s="40">
        <f t="shared" si="35"/>
        <v>3.6215605369681499E-4</v>
      </c>
    </row>
    <row r="26" spans="1:37" x14ac:dyDescent="0.25">
      <c r="A26" s="486" t="s">
        <v>0</v>
      </c>
      <c r="B26" s="513">
        <f t="shared" si="31"/>
        <v>-88</v>
      </c>
      <c r="C26" s="514">
        <f t="shared" si="31"/>
        <v>10</v>
      </c>
      <c r="D26" s="514">
        <f t="shared" si="31"/>
        <v>-94</v>
      </c>
      <c r="E26" s="515">
        <f t="shared" si="31"/>
        <v>-36.599999999999909</v>
      </c>
      <c r="F26" s="513">
        <f t="shared" si="31"/>
        <v>-167.66965754868852</v>
      </c>
      <c r="G26" s="514"/>
      <c r="H26" s="514"/>
      <c r="I26" s="515"/>
      <c r="J26" s="516">
        <f t="shared" si="36"/>
        <v>-37.481999999999971</v>
      </c>
      <c r="K26" s="513">
        <f t="shared" si="36"/>
        <v>-500</v>
      </c>
      <c r="L26" s="514">
        <f t="shared" si="36"/>
        <v>-406</v>
      </c>
      <c r="M26" s="514">
        <f t="shared" si="36"/>
        <v>5</v>
      </c>
      <c r="N26" s="515"/>
      <c r="O26" s="513">
        <f t="shared" si="37"/>
        <v>-262.44441850547412</v>
      </c>
      <c r="P26" s="514"/>
      <c r="Q26" s="514"/>
      <c r="R26" s="515"/>
      <c r="S26" s="13"/>
      <c r="T26" s="83">
        <f t="shared" si="33"/>
        <v>-430.11407605416252</v>
      </c>
      <c r="U26" s="87">
        <f t="shared" si="33"/>
        <v>0</v>
      </c>
      <c r="V26" s="88">
        <f t="shared" si="33"/>
        <v>7.6168212302067104</v>
      </c>
      <c r="W26" s="91" t="s">
        <v>60</v>
      </c>
      <c r="X26" s="97"/>
      <c r="Y26" s="18"/>
      <c r="Z26" s="18"/>
      <c r="AA26" s="37"/>
      <c r="AB26" s="38"/>
      <c r="AC26" s="38"/>
      <c r="AD26" s="38">
        <f t="shared" si="34"/>
        <v>-2043.8301124522995</v>
      </c>
      <c r="AE26" s="549"/>
      <c r="AF26" s="543"/>
      <c r="AG26" s="543"/>
      <c r="AH26" s="550"/>
      <c r="AI26" s="146">
        <f t="shared" si="35"/>
        <v>1.7407366405161676E-3</v>
      </c>
      <c r="AJ26" s="39">
        <f t="shared" si="35"/>
        <v>-9.7189946680644596E-5</v>
      </c>
      <c r="AK26" s="40">
        <f t="shared" si="35"/>
        <v>-1.1449845930050148E-4</v>
      </c>
    </row>
    <row r="27" spans="1:37" x14ac:dyDescent="0.25">
      <c r="A27" s="486" t="s">
        <v>1</v>
      </c>
      <c r="B27" s="513">
        <f t="shared" si="31"/>
        <v>-42</v>
      </c>
      <c r="C27" s="514">
        <f t="shared" si="31"/>
        <v>-3</v>
      </c>
      <c r="D27" s="514">
        <f t="shared" si="31"/>
        <v>-34</v>
      </c>
      <c r="E27" s="515">
        <f t="shared" si="31"/>
        <v>-62.000000000000114</v>
      </c>
      <c r="F27" s="513">
        <f t="shared" si="31"/>
        <v>-132.66830583799356</v>
      </c>
      <c r="G27" s="514"/>
      <c r="H27" s="514"/>
      <c r="I27" s="515"/>
      <c r="J27" s="516">
        <f t="shared" si="36"/>
        <v>-100.29999999999973</v>
      </c>
      <c r="K27" s="513">
        <f t="shared" si="36"/>
        <v>-159</v>
      </c>
      <c r="L27" s="514">
        <f t="shared" si="36"/>
        <v>-137</v>
      </c>
      <c r="M27" s="514">
        <f t="shared" si="36"/>
        <v>-47</v>
      </c>
      <c r="N27" s="515"/>
      <c r="O27" s="513">
        <f t="shared" si="37"/>
        <v>-65.136595238095254</v>
      </c>
      <c r="P27" s="514"/>
      <c r="Q27" s="514"/>
      <c r="R27" s="515"/>
      <c r="S27" s="13"/>
      <c r="T27" s="83">
        <f t="shared" si="33"/>
        <v>-197.80490107608875</v>
      </c>
      <c r="U27" s="87">
        <f t="shared" si="33"/>
        <v>0</v>
      </c>
      <c r="V27" s="88">
        <f t="shared" si="33"/>
        <v>0.13348941797445946</v>
      </c>
      <c r="W27" s="91" t="s">
        <v>61</v>
      </c>
      <c r="X27" s="97"/>
      <c r="Y27" s="18"/>
      <c r="Z27" s="18"/>
      <c r="AA27" s="37"/>
      <c r="AB27" s="38"/>
      <c r="AC27" s="38"/>
      <c r="AD27" s="38">
        <f t="shared" si="34"/>
        <v>-965.7077580389041</v>
      </c>
      <c r="AE27" s="549"/>
      <c r="AF27" s="543"/>
      <c r="AG27" s="543"/>
      <c r="AH27" s="550"/>
      <c r="AI27" s="146">
        <f t="shared" si="35"/>
        <v>-2.208497074429952E-5</v>
      </c>
      <c r="AJ27" s="39">
        <f t="shared" si="35"/>
        <v>-5.7700323854525427E-4</v>
      </c>
      <c r="AK27" s="40">
        <f t="shared" si="35"/>
        <v>-5.0772749533895163E-4</v>
      </c>
    </row>
    <row r="28" spans="1:37" x14ac:dyDescent="0.25">
      <c r="A28" s="486" t="s">
        <v>4</v>
      </c>
      <c r="B28" s="513">
        <f t="shared" si="31"/>
        <v>-57</v>
      </c>
      <c r="C28" s="514">
        <f t="shared" si="31"/>
        <v>12</v>
      </c>
      <c r="D28" s="514">
        <f t="shared" si="31"/>
        <v>-63</v>
      </c>
      <c r="E28" s="515">
        <f t="shared" si="31"/>
        <v>-32.900000000000318</v>
      </c>
      <c r="F28" s="513">
        <f t="shared" si="31"/>
        <v>-162.53069145224572</v>
      </c>
      <c r="G28" s="514"/>
      <c r="H28" s="514"/>
      <c r="I28" s="515"/>
      <c r="J28" s="516">
        <f t="shared" si="36"/>
        <v>-26.221999999999753</v>
      </c>
      <c r="K28" s="513">
        <f t="shared" si="36"/>
        <v>-481</v>
      </c>
      <c r="L28" s="514">
        <f t="shared" si="36"/>
        <v>-410</v>
      </c>
      <c r="M28" s="514">
        <f t="shared" si="36"/>
        <v>-32</v>
      </c>
      <c r="N28" s="515"/>
      <c r="O28" s="513">
        <f t="shared" si="37"/>
        <v>-376.6730322730491</v>
      </c>
      <c r="P28" s="514"/>
      <c r="Q28" s="514"/>
      <c r="R28" s="515"/>
      <c r="S28" s="13"/>
      <c r="T28" s="83">
        <f t="shared" si="33"/>
        <v>-539.20372372529482</v>
      </c>
      <c r="U28" s="87">
        <f t="shared" si="33"/>
        <v>0</v>
      </c>
      <c r="V28" s="88">
        <f t="shared" si="33"/>
        <v>-13.497014356463353</v>
      </c>
      <c r="W28" s="91" t="s">
        <v>62</v>
      </c>
      <c r="X28" s="97"/>
      <c r="Y28" s="18"/>
      <c r="Z28" s="18"/>
      <c r="AA28" s="37"/>
      <c r="AB28" s="38"/>
      <c r="AC28" s="38"/>
      <c r="AD28" s="38">
        <f t="shared" si="34"/>
        <v>-2400.8075765113799</v>
      </c>
      <c r="AE28" s="549"/>
      <c r="AF28" s="543"/>
      <c r="AG28" s="543"/>
      <c r="AH28" s="550"/>
      <c r="AI28" s="146">
        <f t="shared" si="35"/>
        <v>-1.7828374656513463E-3</v>
      </c>
      <c r="AJ28" s="39">
        <f t="shared" si="35"/>
        <v>-5.2920239733675323E-5</v>
      </c>
      <c r="AK28" s="40">
        <f t="shared" si="35"/>
        <v>-1.1919393824055824E-4</v>
      </c>
    </row>
    <row r="29" spans="1:37" x14ac:dyDescent="0.25">
      <c r="A29" s="486" t="s">
        <v>17</v>
      </c>
      <c r="B29" s="513">
        <f t="shared" si="31"/>
        <v>-19</v>
      </c>
      <c r="C29" s="514">
        <f t="shared" si="31"/>
        <v>-2</v>
      </c>
      <c r="D29" s="514">
        <f t="shared" si="31"/>
        <v>-9</v>
      </c>
      <c r="E29" s="515">
        <f t="shared" si="31"/>
        <v>-7.5</v>
      </c>
      <c r="F29" s="513">
        <f t="shared" si="31"/>
        <v>-26.992000000000019</v>
      </c>
      <c r="G29" s="514"/>
      <c r="H29" s="514"/>
      <c r="I29" s="515"/>
      <c r="J29" s="516">
        <f t="shared" si="36"/>
        <v>-15.242000000000019</v>
      </c>
      <c r="K29" s="513">
        <f t="shared" si="36"/>
        <v>0</v>
      </c>
      <c r="L29" s="514">
        <f t="shared" si="36"/>
        <v>-46</v>
      </c>
      <c r="M29" s="514">
        <f t="shared" si="36"/>
        <v>-3</v>
      </c>
      <c r="N29" s="515"/>
      <c r="O29" s="513">
        <f t="shared" si="37"/>
        <v>-4.7199999999999989</v>
      </c>
      <c r="P29" s="514"/>
      <c r="Q29" s="514"/>
      <c r="R29" s="515"/>
      <c r="S29" s="13"/>
      <c r="T29" s="83">
        <f t="shared" si="33"/>
        <v>-31.711999999999989</v>
      </c>
      <c r="U29" s="87">
        <f t="shared" si="33"/>
        <v>0</v>
      </c>
      <c r="V29" s="88">
        <f t="shared" si="33"/>
        <v>0.53358745202394431</v>
      </c>
      <c r="W29" s="91" t="s">
        <v>66</v>
      </c>
      <c r="X29" s="97"/>
      <c r="Y29" s="18"/>
      <c r="Z29" s="18"/>
      <c r="AA29" s="37"/>
      <c r="AB29" s="38"/>
      <c r="AC29" s="38"/>
      <c r="AD29" s="38">
        <f t="shared" si="34"/>
        <v>-247.60380551913062</v>
      </c>
      <c r="AE29" s="549"/>
      <c r="AF29" s="543"/>
      <c r="AG29" s="543"/>
      <c r="AH29" s="550"/>
      <c r="AI29" s="146">
        <f t="shared" si="35"/>
        <v>-3.4943098325388561E-4</v>
      </c>
      <c r="AJ29" s="39">
        <f t="shared" si="35"/>
        <v>-8.5781596993061808E-5</v>
      </c>
      <c r="AK29" s="40">
        <f t="shared" si="35"/>
        <v>-5.5345685888267453E-5</v>
      </c>
    </row>
    <row r="30" spans="1:37" x14ac:dyDescent="0.25">
      <c r="A30" s="500" t="s">
        <v>205</v>
      </c>
      <c r="B30" s="513">
        <f t="shared" si="31"/>
        <v>0</v>
      </c>
      <c r="C30" s="514">
        <f t="shared" si="31"/>
        <v>0</v>
      </c>
      <c r="D30" s="514">
        <f t="shared" si="31"/>
        <v>0</v>
      </c>
      <c r="E30" s="515">
        <f t="shared" si="31"/>
        <v>0</v>
      </c>
      <c r="F30" s="513">
        <f t="shared" si="31"/>
        <v>0</v>
      </c>
      <c r="G30" s="514"/>
      <c r="H30" s="514"/>
      <c r="I30" s="515"/>
      <c r="J30" s="516">
        <f t="shared" si="36"/>
        <v>0</v>
      </c>
      <c r="K30" s="513">
        <f t="shared" si="36"/>
        <v>0</v>
      </c>
      <c r="L30" s="514">
        <f t="shared" si="36"/>
        <v>0</v>
      </c>
      <c r="M30" s="514">
        <f t="shared" si="36"/>
        <v>0</v>
      </c>
      <c r="N30" s="515"/>
      <c r="O30" s="513">
        <f t="shared" si="37"/>
        <v>0</v>
      </c>
      <c r="P30" s="514"/>
      <c r="Q30" s="514"/>
      <c r="R30" s="515"/>
      <c r="S30" s="13"/>
      <c r="T30" s="83">
        <f t="shared" si="33"/>
        <v>0</v>
      </c>
      <c r="U30" s="87">
        <f t="shared" si="33"/>
        <v>0</v>
      </c>
      <c r="V30" s="88">
        <f t="shared" si="33"/>
        <v>0</v>
      </c>
      <c r="W30" s="91" t="s">
        <v>67</v>
      </c>
      <c r="X30" s="97"/>
      <c r="Y30" s="18"/>
      <c r="Z30" s="18"/>
      <c r="AA30" s="37"/>
      <c r="AB30" s="38"/>
      <c r="AC30" s="38"/>
      <c r="AD30" s="38">
        <f t="shared" si="34"/>
        <v>0</v>
      </c>
      <c r="AE30" s="549"/>
      <c r="AF30" s="543"/>
      <c r="AG30" s="543"/>
      <c r="AH30" s="550"/>
      <c r="AI30" s="146">
        <f t="shared" si="35"/>
        <v>0</v>
      </c>
      <c r="AJ30" s="39">
        <f t="shared" si="35"/>
        <v>0</v>
      </c>
      <c r="AK30" s="40">
        <f t="shared" si="35"/>
        <v>0</v>
      </c>
    </row>
    <row r="31" spans="1:37" x14ac:dyDescent="0.25">
      <c r="A31" s="517" t="s">
        <v>64</v>
      </c>
      <c r="B31" s="513">
        <f t="shared" si="31"/>
        <v>0</v>
      </c>
      <c r="C31" s="514">
        <f t="shared" si="31"/>
        <v>0</v>
      </c>
      <c r="D31" s="514">
        <f t="shared" si="31"/>
        <v>0</v>
      </c>
      <c r="E31" s="515">
        <f t="shared" si="31"/>
        <v>0</v>
      </c>
      <c r="F31" s="513">
        <f t="shared" si="31"/>
        <v>0</v>
      </c>
      <c r="G31" s="514"/>
      <c r="H31" s="514"/>
      <c r="I31" s="515"/>
      <c r="J31" s="516">
        <f t="shared" si="36"/>
        <v>0</v>
      </c>
      <c r="K31" s="513">
        <f t="shared" si="36"/>
        <v>0</v>
      </c>
      <c r="L31" s="514">
        <f t="shared" si="36"/>
        <v>0</v>
      </c>
      <c r="M31" s="514">
        <f t="shared" si="36"/>
        <v>0</v>
      </c>
      <c r="N31" s="515"/>
      <c r="O31" s="513">
        <f t="shared" si="37"/>
        <v>0</v>
      </c>
      <c r="P31" s="514"/>
      <c r="Q31" s="514"/>
      <c r="R31" s="515"/>
      <c r="S31" s="13"/>
      <c r="T31" s="83">
        <f t="shared" si="33"/>
        <v>0</v>
      </c>
      <c r="U31" s="87">
        <f t="shared" si="33"/>
        <v>0</v>
      </c>
      <c r="V31" s="88">
        <f t="shared" si="33"/>
        <v>0</v>
      </c>
      <c r="W31" s="91" t="s">
        <v>68</v>
      </c>
      <c r="X31" s="97"/>
      <c r="Y31" s="18"/>
      <c r="Z31" s="18"/>
      <c r="AA31" s="37"/>
      <c r="AB31" s="38"/>
      <c r="AC31" s="38"/>
      <c r="AD31" s="38">
        <f t="shared" si="34"/>
        <v>0</v>
      </c>
      <c r="AE31" s="549"/>
      <c r="AF31" s="543"/>
      <c r="AG31" s="543"/>
      <c r="AH31" s="550"/>
      <c r="AI31" s="146">
        <f t="shared" si="35"/>
        <v>0</v>
      </c>
      <c r="AJ31" s="39">
        <f t="shared" si="35"/>
        <v>0</v>
      </c>
      <c r="AK31" s="40">
        <f t="shared" si="35"/>
        <v>0</v>
      </c>
    </row>
    <row r="32" spans="1:37" s="17" customFormat="1" thickBot="1" x14ac:dyDescent="0.3">
      <c r="A32" s="258" t="s">
        <v>2</v>
      </c>
      <c r="B32" s="98">
        <f>SUM(B22:B31)</f>
        <v>-154</v>
      </c>
      <c r="C32" s="100">
        <f>SUM(C22:C31)</f>
        <v>14</v>
      </c>
      <c r="D32" s="100">
        <f>SUM(D22:D31)</f>
        <v>-137</v>
      </c>
      <c r="E32" s="90">
        <f>SUM(E22:E31)</f>
        <v>-8.4000000000007731</v>
      </c>
      <c r="F32" s="98">
        <f>SUM(F22:F31)</f>
        <v>-728.53117868876097</v>
      </c>
      <c r="G32" s="100"/>
      <c r="H32" s="100"/>
      <c r="I32" s="90"/>
      <c r="J32" s="92">
        <f t="shared" ref="J32:O32" si="38">SUM(J22:J31)</f>
        <v>0.2094999999996503</v>
      </c>
      <c r="K32" s="98">
        <f t="shared" si="38"/>
        <v>-1422</v>
      </c>
      <c r="L32" s="100">
        <f t="shared" si="38"/>
        <v>-1419</v>
      </c>
      <c r="M32" s="100">
        <f t="shared" si="38"/>
        <v>86</v>
      </c>
      <c r="N32" s="90"/>
      <c r="O32" s="98">
        <f t="shared" si="38"/>
        <v>-1152.8611354623119</v>
      </c>
      <c r="P32" s="100"/>
      <c r="Q32" s="100"/>
      <c r="R32" s="90"/>
      <c r="S32" s="13"/>
      <c r="T32" s="84">
        <f t="shared" ref="T32:W32" si="39">SUM(T22:T31)</f>
        <v>-1881.3923141510725</v>
      </c>
      <c r="U32" s="89">
        <f t="shared" si="39"/>
        <v>0</v>
      </c>
      <c r="V32" s="90">
        <f t="shared" si="39"/>
        <v>76.985310734461819</v>
      </c>
      <c r="W32" s="92">
        <f t="shared" si="39"/>
        <v>0</v>
      </c>
      <c r="X32" s="98"/>
      <c r="Y32" s="99"/>
      <c r="Z32" s="99"/>
      <c r="AA32" s="100"/>
      <c r="AB32" s="100"/>
      <c r="AC32" s="100"/>
      <c r="AD32" s="542"/>
      <c r="AE32" s="148"/>
      <c r="AF32" s="149"/>
      <c r="AG32" s="149"/>
      <c r="AH32" s="150"/>
      <c r="AI32" s="545">
        <f t="shared" ref="AI32" si="40">SUM(AI22:AI31)</f>
        <v>6.6371075242803897E-3</v>
      </c>
      <c r="AJ32" s="525">
        <f>SUM(AJ22:AJ31)</f>
        <v>7.3446087196469157E-4</v>
      </c>
      <c r="AK32" s="526">
        <f t="shared" ref="AK32" si="41">SUM(AK22:AK31)</f>
        <v>1.1515399544091913E-3</v>
      </c>
    </row>
    <row r="33" spans="1:3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7" ht="16.5" thickBot="1" x14ac:dyDescent="0.3">
      <c r="A36" s="2" t="s">
        <v>229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X36" s="5" t="s">
        <v>271</v>
      </c>
      <c r="AD36" s="5" t="s">
        <v>272</v>
      </c>
    </row>
    <row r="37" spans="1:37" x14ac:dyDescent="0.25">
      <c r="A37" s="510" t="s">
        <v>2</v>
      </c>
      <c r="B37" s="337">
        <v>11135</v>
      </c>
      <c r="C37" s="338">
        <v>473</v>
      </c>
      <c r="D37" s="338">
        <v>10348</v>
      </c>
      <c r="E37" s="511">
        <v>10952</v>
      </c>
      <c r="F37" s="337">
        <v>17810</v>
      </c>
      <c r="G37" s="338"/>
      <c r="H37" s="338"/>
      <c r="I37" s="511"/>
      <c r="J37" s="512">
        <v>17958.324000000004</v>
      </c>
      <c r="K37" s="337">
        <v>9011</v>
      </c>
      <c r="L37" s="338">
        <v>8811</v>
      </c>
      <c r="M37" s="338">
        <v>9164</v>
      </c>
      <c r="N37" s="511">
        <v>9171</v>
      </c>
      <c r="O37" s="337">
        <v>4142.9627549948518</v>
      </c>
      <c r="P37" s="338"/>
      <c r="Q37" s="338"/>
      <c r="R37" s="511"/>
      <c r="S37" s="13"/>
      <c r="T37" s="519">
        <f>F37+O37</f>
        <v>21952.962754994853</v>
      </c>
      <c r="U37" s="520">
        <v>559.32203389830511</v>
      </c>
      <c r="V37" s="521">
        <v>2275.0734463276835</v>
      </c>
      <c r="W37" s="522" t="s">
        <v>16</v>
      </c>
      <c r="X37" s="93">
        <v>1.524</v>
      </c>
      <c r="Y37" s="94"/>
      <c r="Z37" s="94"/>
      <c r="AA37" s="95"/>
      <c r="AB37" s="96"/>
      <c r="AC37" s="96"/>
      <c r="AD37" s="96">
        <v>36280</v>
      </c>
      <c r="AE37" s="546"/>
      <c r="AF37" s="547"/>
      <c r="AG37" s="547"/>
      <c r="AH37" s="548"/>
      <c r="AI37" s="544">
        <v>0.11361</v>
      </c>
      <c r="AJ37" s="523">
        <v>0.11265</v>
      </c>
      <c r="AK37" s="524">
        <v>0.10589999999999999</v>
      </c>
    </row>
    <row r="38" spans="1:37" x14ac:dyDescent="0.25">
      <c r="A38" s="486" t="s">
        <v>6</v>
      </c>
      <c r="B38" s="513">
        <v>929</v>
      </c>
      <c r="C38" s="514">
        <v>39</v>
      </c>
      <c r="D38" s="514">
        <v>841</v>
      </c>
      <c r="E38" s="515">
        <v>1002</v>
      </c>
      <c r="F38" s="513">
        <v>1785</v>
      </c>
      <c r="G38" s="514"/>
      <c r="H38" s="514"/>
      <c r="I38" s="515"/>
      <c r="J38" s="516">
        <v>1828</v>
      </c>
      <c r="K38" s="513">
        <v>0</v>
      </c>
      <c r="L38" s="514">
        <v>651</v>
      </c>
      <c r="M38" s="514">
        <v>803</v>
      </c>
      <c r="N38" s="515"/>
      <c r="O38" s="513">
        <v>258</v>
      </c>
      <c r="P38" s="514"/>
      <c r="Q38" s="514"/>
      <c r="R38" s="515"/>
      <c r="S38" s="13"/>
      <c r="T38" s="83">
        <v>2043</v>
      </c>
      <c r="U38" s="87">
        <f>U$3/8</f>
        <v>69.915254237288138</v>
      </c>
      <c r="V38" s="88">
        <v>204</v>
      </c>
      <c r="W38" s="91" t="s">
        <v>56</v>
      </c>
      <c r="X38" s="97">
        <v>1.5079833704180818</v>
      </c>
      <c r="Y38" s="18"/>
      <c r="Z38" s="18"/>
      <c r="AA38" s="37"/>
      <c r="AB38" s="38"/>
      <c r="AC38" s="38"/>
      <c r="AD38" s="38">
        <v>3354.8100257641413</v>
      </c>
      <c r="AE38" s="549"/>
      <c r="AF38" s="543"/>
      <c r="AG38" s="543"/>
      <c r="AH38" s="550"/>
      <c r="AI38" s="146">
        <v>1.0557959293745835E-2</v>
      </c>
      <c r="AJ38" s="39">
        <v>1.1466745851161335E-2</v>
      </c>
      <c r="AK38" s="40">
        <v>9.6892602717524833E-3</v>
      </c>
    </row>
    <row r="39" spans="1:37" x14ac:dyDescent="0.25">
      <c r="A39" s="486" t="s">
        <v>3</v>
      </c>
      <c r="B39" s="513">
        <v>2273</v>
      </c>
      <c r="C39" s="514">
        <v>76</v>
      </c>
      <c r="D39" s="514">
        <v>2133</v>
      </c>
      <c r="E39" s="515">
        <v>2086</v>
      </c>
      <c r="F39" s="513">
        <v>3272</v>
      </c>
      <c r="G39" s="514"/>
      <c r="H39" s="514"/>
      <c r="I39" s="515"/>
      <c r="J39" s="516">
        <v>3285</v>
      </c>
      <c r="K39" s="513">
        <v>2133</v>
      </c>
      <c r="L39" s="514">
        <v>1825</v>
      </c>
      <c r="M39" s="514">
        <v>1825</v>
      </c>
      <c r="N39" s="515"/>
      <c r="O39" s="513">
        <v>610</v>
      </c>
      <c r="P39" s="514"/>
      <c r="Q39" s="514"/>
      <c r="R39" s="515"/>
      <c r="S39" s="13"/>
      <c r="T39" s="83">
        <v>3882</v>
      </c>
      <c r="U39" s="87">
        <f t="shared" ref="U39:U45" si="42">U$3/8</f>
        <v>69.915254237288138</v>
      </c>
      <c r="V39" s="88">
        <v>388</v>
      </c>
      <c r="W39" s="91" t="s">
        <v>57</v>
      </c>
      <c r="X39" s="97">
        <v>1.5173072524826965</v>
      </c>
      <c r="Y39" s="18"/>
      <c r="Z39" s="18"/>
      <c r="AA39" s="37"/>
      <c r="AB39" s="38"/>
      <c r="AC39" s="38"/>
      <c r="AD39" s="38">
        <v>6348.1867541378278</v>
      </c>
      <c r="AE39" s="549"/>
      <c r="AF39" s="543"/>
      <c r="AG39" s="543"/>
      <c r="AH39" s="550"/>
      <c r="AI39" s="146">
        <v>1.9978447907498829E-2</v>
      </c>
      <c r="AJ39" s="39">
        <v>2.0606269212836422E-2</v>
      </c>
      <c r="AK39" s="40">
        <v>2.0171454018838002E-2</v>
      </c>
    </row>
    <row r="40" spans="1:37" x14ac:dyDescent="0.25">
      <c r="A40" s="486" t="s">
        <v>5</v>
      </c>
      <c r="B40" s="513">
        <v>1464</v>
      </c>
      <c r="C40" s="514">
        <v>132</v>
      </c>
      <c r="D40" s="514">
        <v>1297</v>
      </c>
      <c r="E40" s="515">
        <v>1605</v>
      </c>
      <c r="F40" s="513">
        <v>3070</v>
      </c>
      <c r="G40" s="514"/>
      <c r="H40" s="514"/>
      <c r="I40" s="515"/>
      <c r="J40" s="516">
        <v>3099</v>
      </c>
      <c r="K40" s="513">
        <v>1297</v>
      </c>
      <c r="L40" s="514">
        <v>1237</v>
      </c>
      <c r="M40" s="514">
        <v>1237</v>
      </c>
      <c r="N40" s="515"/>
      <c r="O40" s="513">
        <v>915</v>
      </c>
      <c r="P40" s="514"/>
      <c r="Q40" s="514"/>
      <c r="R40" s="515"/>
      <c r="S40" s="13"/>
      <c r="T40" s="83">
        <v>3985</v>
      </c>
      <c r="U40" s="87">
        <f t="shared" si="42"/>
        <v>69.915254237288138</v>
      </c>
      <c r="V40" s="88">
        <v>399</v>
      </c>
      <c r="W40" s="91" t="s">
        <v>58</v>
      </c>
      <c r="X40" s="97">
        <v>1.5708867373597664</v>
      </c>
      <c r="Y40" s="18"/>
      <c r="Z40" s="18"/>
      <c r="AA40" s="37"/>
      <c r="AB40" s="38"/>
      <c r="AC40" s="38"/>
      <c r="AD40" s="38">
        <v>6728.9836483786694</v>
      </c>
      <c r="AE40" s="549"/>
      <c r="AF40" s="543"/>
      <c r="AG40" s="543"/>
      <c r="AH40" s="550"/>
      <c r="AI40" s="146">
        <v>2.1176857974746641E-2</v>
      </c>
      <c r="AJ40" s="39">
        <v>1.9439521549643856E-2</v>
      </c>
      <c r="AK40" s="40">
        <v>1.5520222291579577E-2</v>
      </c>
    </row>
    <row r="41" spans="1:37" x14ac:dyDescent="0.25">
      <c r="A41" s="486" t="s">
        <v>7</v>
      </c>
      <c r="B41" s="513">
        <v>1257</v>
      </c>
      <c r="C41" s="514">
        <v>27</v>
      </c>
      <c r="D41" s="514">
        <v>1208</v>
      </c>
      <c r="E41" s="515">
        <v>1261</v>
      </c>
      <c r="F41" s="513">
        <v>1933</v>
      </c>
      <c r="G41" s="514"/>
      <c r="H41" s="514"/>
      <c r="I41" s="515"/>
      <c r="J41" s="516">
        <v>1937</v>
      </c>
      <c r="K41" s="513">
        <v>1208</v>
      </c>
      <c r="L41" s="514">
        <v>1120</v>
      </c>
      <c r="M41" s="514">
        <v>1120</v>
      </c>
      <c r="N41" s="515"/>
      <c r="O41" s="513">
        <v>215</v>
      </c>
      <c r="P41" s="514"/>
      <c r="Q41" s="514"/>
      <c r="R41" s="515"/>
      <c r="S41" s="13"/>
      <c r="T41" s="83">
        <v>2148</v>
      </c>
      <c r="U41" s="87">
        <f t="shared" si="42"/>
        <v>69.915254237288138</v>
      </c>
      <c r="V41" s="88">
        <v>215</v>
      </c>
      <c r="W41" s="91" t="s">
        <v>59</v>
      </c>
      <c r="X41" s="97">
        <v>1.4516032937757326</v>
      </c>
      <c r="Y41" s="18"/>
      <c r="Z41" s="18"/>
      <c r="AA41" s="37"/>
      <c r="AB41" s="38"/>
      <c r="AC41" s="38"/>
      <c r="AD41" s="38">
        <v>3403.0438750302737</v>
      </c>
      <c r="AE41" s="549"/>
      <c r="AF41" s="543"/>
      <c r="AG41" s="543"/>
      <c r="AH41" s="550"/>
      <c r="AI41" s="146">
        <v>1.0709756567875093E-2</v>
      </c>
      <c r="AJ41" s="39">
        <v>1.2150485073139773E-2</v>
      </c>
      <c r="AK41" s="40">
        <v>1.2193769663353175E-2</v>
      </c>
    </row>
    <row r="42" spans="1:37" x14ac:dyDescent="0.25">
      <c r="A42" s="486" t="s">
        <v>0</v>
      </c>
      <c r="B42" s="513">
        <v>2230</v>
      </c>
      <c r="C42" s="514">
        <v>107</v>
      </c>
      <c r="D42" s="514">
        <v>2072</v>
      </c>
      <c r="E42" s="515">
        <v>2162</v>
      </c>
      <c r="F42" s="513">
        <v>3382</v>
      </c>
      <c r="G42" s="514"/>
      <c r="H42" s="514"/>
      <c r="I42" s="515"/>
      <c r="J42" s="516">
        <v>3416</v>
      </c>
      <c r="K42" s="513">
        <v>1852</v>
      </c>
      <c r="L42" s="514">
        <v>1751</v>
      </c>
      <c r="M42" s="514">
        <v>1803</v>
      </c>
      <c r="N42" s="515"/>
      <c r="O42" s="513">
        <v>886</v>
      </c>
      <c r="P42" s="514"/>
      <c r="Q42" s="514"/>
      <c r="R42" s="515"/>
      <c r="S42" s="13"/>
      <c r="T42" s="83">
        <v>4268</v>
      </c>
      <c r="U42" s="87">
        <f t="shared" si="42"/>
        <v>69.915254237288138</v>
      </c>
      <c r="V42" s="88">
        <v>427</v>
      </c>
      <c r="W42" s="91" t="s">
        <v>60</v>
      </c>
      <c r="X42" s="97">
        <v>1.5193731819461385</v>
      </c>
      <c r="Y42" s="18"/>
      <c r="Z42" s="18"/>
      <c r="AA42" s="37"/>
      <c r="AB42" s="38"/>
      <c r="AC42" s="38"/>
      <c r="AD42" s="38">
        <v>6981.6847405461185</v>
      </c>
      <c r="AE42" s="549"/>
      <c r="AF42" s="543"/>
      <c r="AG42" s="543"/>
      <c r="AH42" s="550"/>
      <c r="AI42" s="146">
        <v>2.1972136343446916E-2</v>
      </c>
      <c r="AJ42" s="39">
        <v>2.1428010846590326E-2</v>
      </c>
      <c r="AK42" s="40">
        <v>2.0906367971585696E-2</v>
      </c>
    </row>
    <row r="43" spans="1:37" x14ac:dyDescent="0.25">
      <c r="A43" s="486" t="s">
        <v>1</v>
      </c>
      <c r="B43" s="513">
        <v>892</v>
      </c>
      <c r="C43" s="514">
        <v>32</v>
      </c>
      <c r="D43" s="514">
        <v>822</v>
      </c>
      <c r="E43" s="515">
        <v>877</v>
      </c>
      <c r="F43" s="513">
        <v>1369</v>
      </c>
      <c r="G43" s="514"/>
      <c r="H43" s="514"/>
      <c r="I43" s="515"/>
      <c r="J43" s="516">
        <v>1378</v>
      </c>
      <c r="K43" s="513">
        <v>822</v>
      </c>
      <c r="L43" s="514">
        <v>728</v>
      </c>
      <c r="M43" s="514">
        <v>728</v>
      </c>
      <c r="N43" s="515"/>
      <c r="O43" s="513">
        <v>340</v>
      </c>
      <c r="P43" s="514"/>
      <c r="Q43" s="514"/>
      <c r="R43" s="515"/>
      <c r="S43" s="13"/>
      <c r="T43" s="83">
        <v>1709</v>
      </c>
      <c r="U43" s="87">
        <f t="shared" si="42"/>
        <v>69.915254237288138</v>
      </c>
      <c r="V43" s="88">
        <v>171</v>
      </c>
      <c r="W43" s="91" t="s">
        <v>61</v>
      </c>
      <c r="X43" s="97">
        <v>1.5209003051881993</v>
      </c>
      <c r="Y43" s="18"/>
      <c r="Z43" s="18"/>
      <c r="AA43" s="37"/>
      <c r="AB43" s="38"/>
      <c r="AC43" s="38"/>
      <c r="AD43" s="38">
        <v>2840.2186215666325</v>
      </c>
      <c r="AE43" s="549"/>
      <c r="AF43" s="543"/>
      <c r="AG43" s="543"/>
      <c r="AH43" s="550"/>
      <c r="AI43" s="146">
        <v>8.9384830620950449E-3</v>
      </c>
      <c r="AJ43" s="39">
        <v>8.643969246663193E-3</v>
      </c>
      <c r="AK43" s="40">
        <v>8.4805202178911444E-3</v>
      </c>
    </row>
    <row r="44" spans="1:37" x14ac:dyDescent="0.25">
      <c r="A44" s="486" t="s">
        <v>4</v>
      </c>
      <c r="B44" s="513">
        <v>1930</v>
      </c>
      <c r="C44" s="514">
        <v>49</v>
      </c>
      <c r="D44" s="514">
        <v>1846</v>
      </c>
      <c r="E44" s="515">
        <v>1799</v>
      </c>
      <c r="F44" s="513">
        <v>2742</v>
      </c>
      <c r="G44" s="514"/>
      <c r="H44" s="514"/>
      <c r="I44" s="515"/>
      <c r="J44" s="516">
        <v>2759</v>
      </c>
      <c r="K44" s="513">
        <v>1699</v>
      </c>
      <c r="L44" s="514">
        <v>1411</v>
      </c>
      <c r="M44" s="514">
        <v>1532</v>
      </c>
      <c r="N44" s="515"/>
      <c r="O44" s="513">
        <v>857</v>
      </c>
      <c r="P44" s="514"/>
      <c r="Q44" s="514"/>
      <c r="R44" s="515"/>
      <c r="S44" s="13"/>
      <c r="T44" s="83">
        <v>3599</v>
      </c>
      <c r="U44" s="87">
        <f t="shared" si="42"/>
        <v>69.915254237288138</v>
      </c>
      <c r="V44" s="88">
        <v>360</v>
      </c>
      <c r="W44" s="91" t="s">
        <v>62</v>
      </c>
      <c r="X44" s="97">
        <v>1.507873461099124</v>
      </c>
      <c r="Y44" s="18"/>
      <c r="Z44" s="18"/>
      <c r="AA44" s="37"/>
      <c r="AB44" s="38"/>
      <c r="AC44" s="38"/>
      <c r="AD44" s="38">
        <v>5856.8365864957477</v>
      </c>
      <c r="AE44" s="549"/>
      <c r="AF44" s="543"/>
      <c r="AG44" s="543"/>
      <c r="AH44" s="550"/>
      <c r="AI44" s="146">
        <v>1.8432114425393935E-2</v>
      </c>
      <c r="AJ44" s="39">
        <v>1.7306757004023041E-2</v>
      </c>
      <c r="AK44" s="40">
        <v>1.7396186855172371E-2</v>
      </c>
    </row>
    <row r="45" spans="1:37" x14ac:dyDescent="0.25">
      <c r="A45" s="486" t="s">
        <v>17</v>
      </c>
      <c r="B45" s="513">
        <v>160</v>
      </c>
      <c r="C45" s="514">
        <v>11</v>
      </c>
      <c r="D45" s="514">
        <v>129</v>
      </c>
      <c r="E45" s="515">
        <v>160</v>
      </c>
      <c r="F45" s="513">
        <v>257</v>
      </c>
      <c r="G45" s="514"/>
      <c r="H45" s="514"/>
      <c r="I45" s="515"/>
      <c r="J45" s="516">
        <v>256</v>
      </c>
      <c r="K45" s="513">
        <v>0</v>
      </c>
      <c r="L45" s="514">
        <v>88</v>
      </c>
      <c r="M45" s="514">
        <v>116</v>
      </c>
      <c r="N45" s="515"/>
      <c r="O45" s="513">
        <v>62</v>
      </c>
      <c r="P45" s="514"/>
      <c r="Q45" s="514"/>
      <c r="R45" s="515"/>
      <c r="S45" s="13"/>
      <c r="T45" s="83">
        <v>319</v>
      </c>
      <c r="U45" s="87">
        <f t="shared" si="42"/>
        <v>69.915254237288138</v>
      </c>
      <c r="V45" s="88">
        <v>32</v>
      </c>
      <c r="W45" s="91" t="s">
        <v>66</v>
      </c>
      <c r="X45" s="97">
        <v>1.5135127478753538</v>
      </c>
      <c r="Y45" s="18"/>
      <c r="Z45" s="18"/>
      <c r="AA45" s="37"/>
      <c r="AB45" s="38"/>
      <c r="AC45" s="38"/>
      <c r="AD45" s="38">
        <v>584.8105665722378</v>
      </c>
      <c r="AE45" s="549"/>
      <c r="AF45" s="543"/>
      <c r="AG45" s="543"/>
      <c r="AH45" s="550"/>
      <c r="AI45" s="146">
        <v>1.8404637249215779E-3</v>
      </c>
      <c r="AJ45" s="39">
        <v>1.6058462461144975E-3</v>
      </c>
      <c r="AK45" s="40">
        <v>1.5471872689425124E-3</v>
      </c>
    </row>
    <row r="46" spans="1:37" x14ac:dyDescent="0.25">
      <c r="A46" s="500" t="s">
        <v>205</v>
      </c>
      <c r="B46" s="513">
        <v>0</v>
      </c>
      <c r="C46" s="514">
        <v>0</v>
      </c>
      <c r="D46" s="514">
        <v>0</v>
      </c>
      <c r="E46" s="515">
        <v>0</v>
      </c>
      <c r="F46" s="513">
        <v>0</v>
      </c>
      <c r="G46" s="514"/>
      <c r="H46" s="514"/>
      <c r="I46" s="515"/>
      <c r="J46" s="516">
        <v>0</v>
      </c>
      <c r="K46" s="513">
        <v>0</v>
      </c>
      <c r="L46" s="514">
        <v>0</v>
      </c>
      <c r="M46" s="514">
        <v>0</v>
      </c>
      <c r="N46" s="515"/>
      <c r="O46" s="513">
        <f t="shared" ref="O46:O47" si="43">P46+Q46+R46</f>
        <v>0</v>
      </c>
      <c r="P46" s="514"/>
      <c r="Q46" s="514"/>
      <c r="R46" s="515"/>
      <c r="S46" s="13"/>
      <c r="T46" s="83">
        <f t="shared" ref="T46:T47" si="44">F46+O46</f>
        <v>0</v>
      </c>
      <c r="U46" s="87">
        <v>0</v>
      </c>
      <c r="V46" s="88">
        <v>0</v>
      </c>
      <c r="W46" s="91" t="s">
        <v>67</v>
      </c>
      <c r="X46" s="97">
        <v>0</v>
      </c>
      <c r="Y46" s="18"/>
      <c r="Z46" s="18"/>
      <c r="AA46" s="37"/>
      <c r="AB46" s="38"/>
      <c r="AC46" s="38"/>
      <c r="AD46" s="38">
        <v>0</v>
      </c>
      <c r="AE46" s="549"/>
      <c r="AF46" s="543"/>
      <c r="AG46" s="543"/>
      <c r="AH46" s="550"/>
      <c r="AI46" s="146">
        <v>0</v>
      </c>
      <c r="AJ46" s="39">
        <v>0</v>
      </c>
      <c r="AK46" s="40">
        <v>0</v>
      </c>
    </row>
    <row r="47" spans="1:37" x14ac:dyDescent="0.25">
      <c r="A47" s="517" t="s">
        <v>64</v>
      </c>
      <c r="B47" s="513">
        <v>0</v>
      </c>
      <c r="C47" s="514">
        <v>0</v>
      </c>
      <c r="D47" s="514">
        <v>0</v>
      </c>
      <c r="E47" s="515">
        <v>0</v>
      </c>
      <c r="F47" s="513">
        <v>0</v>
      </c>
      <c r="G47" s="514"/>
      <c r="H47" s="514"/>
      <c r="I47" s="515"/>
      <c r="J47" s="516">
        <f>'T5b-studenti'!H46</f>
        <v>0</v>
      </c>
      <c r="K47" s="513">
        <f>'T5b-studenti'!E46</f>
        <v>0</v>
      </c>
      <c r="L47" s="514">
        <f>'T5b-studenti'!I46</f>
        <v>0</v>
      </c>
      <c r="M47" s="514">
        <f>'T5b-studenti'!J46</f>
        <v>0</v>
      </c>
      <c r="N47" s="515"/>
      <c r="O47" s="513">
        <f t="shared" si="43"/>
        <v>0</v>
      </c>
      <c r="P47" s="514"/>
      <c r="Q47" s="514"/>
      <c r="R47" s="515"/>
      <c r="S47" s="13"/>
      <c r="T47" s="83">
        <f t="shared" si="44"/>
        <v>0</v>
      </c>
      <c r="U47" s="87">
        <v>0</v>
      </c>
      <c r="V47" s="88">
        <v>0</v>
      </c>
      <c r="W47" s="91" t="s">
        <v>68</v>
      </c>
      <c r="X47" s="97">
        <v>0</v>
      </c>
      <c r="Y47" s="18"/>
      <c r="Z47" s="18"/>
      <c r="AA47" s="37"/>
      <c r="AB47" s="38"/>
      <c r="AC47" s="38"/>
      <c r="AD47" s="38">
        <v>0</v>
      </c>
      <c r="AE47" s="549"/>
      <c r="AF47" s="543"/>
      <c r="AG47" s="543"/>
      <c r="AH47" s="550"/>
      <c r="AI47" s="146">
        <v>0</v>
      </c>
      <c r="AJ47" s="39">
        <v>0</v>
      </c>
      <c r="AK47" s="40">
        <v>0</v>
      </c>
    </row>
    <row r="48" spans="1:37" s="17" customFormat="1" thickBot="1" x14ac:dyDescent="0.3">
      <c r="A48" s="258" t="s">
        <v>2</v>
      </c>
      <c r="B48" s="98">
        <f>SUM(B38:B47)</f>
        <v>11135</v>
      </c>
      <c r="C48" s="100">
        <f t="shared" ref="C48:E48" si="45">SUM(C38:C47)</f>
        <v>473</v>
      </c>
      <c r="D48" s="100">
        <f t="shared" si="45"/>
        <v>10348</v>
      </c>
      <c r="E48" s="90">
        <f t="shared" si="45"/>
        <v>10952</v>
      </c>
      <c r="F48" s="98">
        <f>SUM(F38:F47)</f>
        <v>17810</v>
      </c>
      <c r="G48" s="100"/>
      <c r="H48" s="100"/>
      <c r="I48" s="90"/>
      <c r="J48" s="92">
        <f t="shared" ref="J48:O48" si="46">SUM(J38:J47)</f>
        <v>17958</v>
      </c>
      <c r="K48" s="98">
        <f t="shared" si="46"/>
        <v>9011</v>
      </c>
      <c r="L48" s="100">
        <f t="shared" si="46"/>
        <v>8811</v>
      </c>
      <c r="M48" s="100">
        <f t="shared" si="46"/>
        <v>9164</v>
      </c>
      <c r="N48" s="90">
        <f t="shared" si="46"/>
        <v>0</v>
      </c>
      <c r="O48" s="98">
        <f t="shared" si="46"/>
        <v>4143</v>
      </c>
      <c r="P48" s="100"/>
      <c r="Q48" s="100"/>
      <c r="R48" s="90"/>
      <c r="S48" s="13"/>
      <c r="T48" s="84">
        <f t="shared" ref="T48:W48" si="47">SUM(T38:T47)</f>
        <v>21953</v>
      </c>
      <c r="U48" s="89">
        <f t="shared" si="47"/>
        <v>559.32203389830511</v>
      </c>
      <c r="V48" s="90">
        <f t="shared" si="47"/>
        <v>2196</v>
      </c>
      <c r="W48" s="92">
        <f t="shared" si="47"/>
        <v>0</v>
      </c>
      <c r="X48" s="98"/>
      <c r="Y48" s="99"/>
      <c r="Z48" s="99"/>
      <c r="AA48" s="100"/>
      <c r="AB48" s="100"/>
      <c r="AC48" s="100"/>
      <c r="AD48" s="542">
        <f t="shared" ref="AD48:AI48" si="48">SUM(AD38:AD47)</f>
        <v>36098.574818491652</v>
      </c>
      <c r="AE48" s="148"/>
      <c r="AF48" s="149"/>
      <c r="AG48" s="149"/>
      <c r="AH48" s="150"/>
      <c r="AI48" s="545">
        <f t="shared" si="48"/>
        <v>0.11360621929972389</v>
      </c>
      <c r="AJ48" s="525">
        <f>SUM(AJ38:AJ47)</f>
        <v>0.11264760503017243</v>
      </c>
      <c r="AK48" s="526">
        <f t="shared" ref="AK48" si="49">SUM(AK38:AK47)</f>
        <v>0.10590496855911495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</sheetData>
  <sheetProtection algorithmName="SHA-512" hashValue="GNN1r/80zZFdhW+a6WSShtr3pZXQVOU5qSzsnotD/rdZcCHzuJGcwc9qNM83rKZ0Z2vMy+5iAeIY9RckVJdnlg==" saltValue="JAl8hKRwGrQq6nFcJKxtNw==" spinCount="100000" sheet="1" objects="1" scenarios="1"/>
  <mergeCells count="1">
    <mergeCell ref="E1:J1"/>
  </mergeCells>
  <conditionalFormatting sqref="A21:XFD32">
    <cfRule type="cellIs" dxfId="9" priority="1" operator="lessThan">
      <formula>0</formula>
    </cfRule>
  </conditionalFormatting>
  <pageMargins left="0.7" right="0.7" top="0.75" bottom="0.75" header="0.3" footer="0.3"/>
  <ignoredErrors>
    <ignoredError sqref="G14:I14 N14 B48 AD21" formulaRange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O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ColWidth="9.42578125" defaultRowHeight="15" outlineLevelCol="1" x14ac:dyDescent="0.25"/>
  <cols>
    <col min="1" max="1" width="46.7109375" style="109" customWidth="1"/>
    <col min="2" max="2" width="14.28515625" style="109" customWidth="1"/>
    <col min="3" max="3" width="13.28515625" style="109" customWidth="1" outlineLevel="1"/>
    <col min="4" max="4" width="13.5703125" style="109" customWidth="1" outlineLevel="1"/>
    <col min="5" max="5" width="11.7109375" style="109" customWidth="1" outlineLevel="1"/>
    <col min="6" max="6" width="9" style="109" customWidth="1" outlineLevel="1"/>
    <col min="7" max="7" width="10.5703125" style="109" customWidth="1" outlineLevel="1"/>
    <col min="8" max="8" width="9.5703125" style="109" customWidth="1" outlineLevel="1"/>
    <col min="9" max="9" width="13.5703125" style="109" customWidth="1" outlineLevel="1"/>
    <col min="10" max="10" width="12.5703125" style="109" customWidth="1" outlineLevel="1"/>
    <col min="11" max="11" width="17.28515625" style="109" bestFit="1" customWidth="1" outlineLevel="1"/>
    <col min="12" max="12" width="10.42578125" style="109" customWidth="1" outlineLevel="1"/>
    <col min="13" max="13" width="14.28515625" style="109" customWidth="1"/>
    <col min="14" max="14" width="16.28515625" style="109" customWidth="1"/>
    <col min="15" max="15" width="13.5703125" style="109" customWidth="1"/>
    <col min="16" max="16384" width="9.42578125" style="109"/>
  </cols>
  <sheetData>
    <row r="1" spans="1:15" s="138" customFormat="1" ht="53.85" customHeight="1" x14ac:dyDescent="0.25">
      <c r="A1" s="1356"/>
      <c r="B1" s="1356" t="s">
        <v>84</v>
      </c>
      <c r="C1" s="1358" t="s">
        <v>101</v>
      </c>
      <c r="D1" s="1350" t="s">
        <v>102</v>
      </c>
      <c r="E1" s="939"/>
      <c r="F1" s="939"/>
      <c r="G1" s="939"/>
      <c r="H1" s="939"/>
      <c r="I1" s="1348" t="s">
        <v>103</v>
      </c>
      <c r="J1" s="1350" t="s">
        <v>104</v>
      </c>
      <c r="K1" s="1348" t="s">
        <v>85</v>
      </c>
      <c r="L1" s="1352" t="s">
        <v>105</v>
      </c>
      <c r="M1" s="1354" t="s">
        <v>319</v>
      </c>
      <c r="N1" s="1346" t="s">
        <v>320</v>
      </c>
      <c r="O1" s="1346" t="s">
        <v>106</v>
      </c>
    </row>
    <row r="2" spans="1:15" s="110" customFormat="1" ht="105" customHeight="1" thickBot="1" x14ac:dyDescent="0.3">
      <c r="A2" s="1357"/>
      <c r="B2" s="1357"/>
      <c r="C2" s="1359"/>
      <c r="D2" s="1351"/>
      <c r="E2" s="922" t="s">
        <v>86</v>
      </c>
      <c r="F2" s="922" t="s">
        <v>87</v>
      </c>
      <c r="G2" s="54" t="s">
        <v>88</v>
      </c>
      <c r="H2" s="54" t="s">
        <v>89</v>
      </c>
      <c r="I2" s="1349"/>
      <c r="J2" s="1351"/>
      <c r="K2" s="1349"/>
      <c r="L2" s="1353"/>
      <c r="M2" s="1355"/>
      <c r="N2" s="1347"/>
      <c r="O2" s="1347"/>
    </row>
    <row r="3" spans="1:15" s="112" customFormat="1" x14ac:dyDescent="0.25">
      <c r="A3" s="529" t="s">
        <v>2</v>
      </c>
      <c r="B3" s="165">
        <v>0</v>
      </c>
      <c r="C3" s="168">
        <v>12.024391</v>
      </c>
      <c r="D3" s="169">
        <v>20385275</v>
      </c>
      <c r="E3" s="169">
        <v>17066118.066318404</v>
      </c>
      <c r="F3" s="169">
        <v>0</v>
      </c>
      <c r="G3" s="169">
        <v>1422921.5929795504</v>
      </c>
      <c r="H3" s="169">
        <v>-87511.401939297401</v>
      </c>
      <c r="I3" s="169">
        <v>20297763.598060701</v>
      </c>
      <c r="J3" s="170">
        <v>10.631441371121312</v>
      </c>
      <c r="K3" s="169">
        <v>2987776.1016517775</v>
      </c>
      <c r="L3" s="787">
        <v>192904.61346232274</v>
      </c>
      <c r="M3" s="1000">
        <v>23478444.6131748</v>
      </c>
      <c r="N3" s="999">
        <v>23478445</v>
      </c>
      <c r="O3" s="1007">
        <v>1</v>
      </c>
    </row>
    <row r="4" spans="1:15" x14ac:dyDescent="0.25">
      <c r="A4" s="1078" t="s">
        <v>6</v>
      </c>
      <c r="B4" s="153"/>
      <c r="C4" s="154">
        <f>'T6b-vykon'!AI4*100</f>
        <v>0.95787402246863773</v>
      </c>
      <c r="D4" s="155">
        <f>C4/C$3*D$3</f>
        <v>1623909.7151264758</v>
      </c>
      <c r="E4" s="155">
        <f>$E$18*0.9*'T6b-vykon'!AZ4</f>
        <v>1601975.1917779478</v>
      </c>
      <c r="F4" s="155">
        <f>IF(D4&lt;E4,D4-E4,0)</f>
        <v>0</v>
      </c>
      <c r="G4" s="155">
        <f>INT(0.6+$C4/$C$14*G$3)</f>
        <v>113352</v>
      </c>
      <c r="H4" s="155">
        <f t="shared" ref="H4:H11" si="0">ROUND($C4/$C$14*H$3,0)</f>
        <v>-6971</v>
      </c>
      <c r="I4" s="155">
        <f t="shared" ref="I4:I10" si="1">+IF(F4&lt;0,E4,D4+H4)</f>
        <v>1616938.7151264758</v>
      </c>
      <c r="J4" s="164">
        <f>'T14-VVZ'!AR5</f>
        <v>0.84305667816452723</v>
      </c>
      <c r="K4" s="155">
        <f>INT(0.4+'T14-VVZ'!AP5*'T7-mzdy'!K$18/100)</f>
        <v>103461</v>
      </c>
      <c r="L4" s="788">
        <f>INT(0.4+'T14-VVZ'!AQ5*'T7-mzdy'!K$18/100)</f>
        <v>148762</v>
      </c>
      <c r="M4" s="1002">
        <f>I4+K4+L4</f>
        <v>1869161.7151264758</v>
      </c>
      <c r="N4" s="1014">
        <f t="shared" ref="N4:N10" si="2">INT(0.5+M4+B4)</f>
        <v>1869162</v>
      </c>
      <c r="O4" s="1005">
        <f>N4/N$3</f>
        <v>7.9611831192397967E-2</v>
      </c>
    </row>
    <row r="5" spans="1:15" x14ac:dyDescent="0.25">
      <c r="A5" s="1078" t="s">
        <v>3</v>
      </c>
      <c r="B5" s="153"/>
      <c r="C5" s="154">
        <f>'T6b-vykon'!AI5*100</f>
        <v>2.549689083649529</v>
      </c>
      <c r="D5" s="155">
        <f t="shared" ref="D5:D11" si="3">C5/C$3*D$3</f>
        <v>4322556.8043066505</v>
      </c>
      <c r="E5" s="155">
        <f>$E$18*0.9*'T6b-vykon'!AZ5</f>
        <v>3081629.3918889947</v>
      </c>
      <c r="F5" s="155">
        <f t="shared" ref="F5:F11" si="4">IF(D5&lt;E5,D5-E5,0)</f>
        <v>0</v>
      </c>
      <c r="G5" s="155">
        <f t="shared" ref="G5:G13" si="5">INT(0.6+$C5/$C$14*G$3)</f>
        <v>301722</v>
      </c>
      <c r="H5" s="155">
        <f t="shared" si="0"/>
        <v>-18556</v>
      </c>
      <c r="I5" s="155">
        <f t="shared" si="1"/>
        <v>4304000.8043066505</v>
      </c>
      <c r="J5" s="164">
        <f>'T14-VVZ'!AR6</f>
        <v>1.7163973108650648</v>
      </c>
      <c r="K5" s="155">
        <f>INT(0.4+'T14-VVZ'!AP6*'T7-mzdy'!K$18/100)</f>
        <v>513506</v>
      </c>
      <c r="L5" s="788">
        <f>INT(0.4+'T14-VVZ'!AQ6*'T7-mzdy'!K$18/100)</f>
        <v>0</v>
      </c>
      <c r="M5" s="1002">
        <f t="shared" ref="M5:M13" si="6">INT(I5+K5+L5)</f>
        <v>4817506</v>
      </c>
      <c r="N5" s="1014">
        <f t="shared" si="2"/>
        <v>4817506</v>
      </c>
      <c r="O5" s="1005">
        <f t="shared" ref="O5:O13" si="7">N5/N$3</f>
        <v>0.20518846116086478</v>
      </c>
    </row>
    <row r="6" spans="1:15" x14ac:dyDescent="0.25">
      <c r="A6" s="1078" t="s">
        <v>5</v>
      </c>
      <c r="B6" s="153"/>
      <c r="C6" s="154">
        <f>'T6b-vykon'!AI6*100</f>
        <v>2.1223732783277804</v>
      </c>
      <c r="D6" s="155">
        <f t="shared" si="3"/>
        <v>3598116.7720979257</v>
      </c>
      <c r="E6" s="155">
        <f>$E$18*0.9*'T6b-vykon'!AZ6</f>
        <v>3195467.7819180493</v>
      </c>
      <c r="F6" s="155">
        <f t="shared" si="4"/>
        <v>0</v>
      </c>
      <c r="G6" s="155">
        <f t="shared" si="5"/>
        <v>251155</v>
      </c>
      <c r="H6" s="155">
        <f t="shared" si="0"/>
        <v>-15446</v>
      </c>
      <c r="I6" s="155">
        <f t="shared" si="1"/>
        <v>3582670.7720979257</v>
      </c>
      <c r="J6" s="164">
        <f>'T14-VVZ'!AR7</f>
        <v>3.3039270772703508</v>
      </c>
      <c r="K6" s="155">
        <f>INT(0.4+'T14-VVZ'!AP7*'T7-mzdy'!K$18/100)</f>
        <v>988458</v>
      </c>
      <c r="L6" s="788">
        <f>INT(0.4+'T14-VVZ'!AQ7*'T7-mzdy'!K$18/100)</f>
        <v>0</v>
      </c>
      <c r="M6" s="1002">
        <f t="shared" si="6"/>
        <v>4571128</v>
      </c>
      <c r="N6" s="1014">
        <f t="shared" si="2"/>
        <v>4571128</v>
      </c>
      <c r="O6" s="1005">
        <f t="shared" si="7"/>
        <v>0.1946946656816497</v>
      </c>
    </row>
    <row r="7" spans="1:15" x14ac:dyDescent="0.25">
      <c r="A7" s="1078" t="s">
        <v>7</v>
      </c>
      <c r="B7" s="153"/>
      <c r="C7" s="154">
        <f>'T6b-vykon'!AI7*100</f>
        <v>1.3174382202820678</v>
      </c>
      <c r="D7" s="155">
        <f t="shared" si="3"/>
        <v>2233488.6162601109</v>
      </c>
      <c r="E7" s="155">
        <f>$E$18*0.9*'T6b-vykon'!AZ7</f>
        <v>1787566.5906376201</v>
      </c>
      <c r="F7" s="155">
        <f t="shared" si="4"/>
        <v>0</v>
      </c>
      <c r="G7" s="155">
        <f t="shared" si="5"/>
        <v>155902</v>
      </c>
      <c r="H7" s="155">
        <f t="shared" si="0"/>
        <v>-9588</v>
      </c>
      <c r="I7" s="155">
        <f t="shared" si="1"/>
        <v>2223900.6162601109</v>
      </c>
      <c r="J7" s="164">
        <f>'T14-VVZ'!AR8</f>
        <v>0.25280852937266884</v>
      </c>
      <c r="K7" s="155">
        <f>INT(0.4+'T14-VVZ'!AP8*'T7-mzdy'!K$18/100)</f>
        <v>75634</v>
      </c>
      <c r="L7" s="788">
        <f>INT(0.4+'T14-VVZ'!AQ8*'T7-mzdy'!K$18/100)</f>
        <v>0</v>
      </c>
      <c r="M7" s="1002">
        <f t="shared" si="6"/>
        <v>2299534</v>
      </c>
      <c r="N7" s="1014">
        <f t="shared" si="2"/>
        <v>2299534</v>
      </c>
      <c r="O7" s="1005">
        <f t="shared" si="7"/>
        <v>9.7942346692892146E-2</v>
      </c>
    </row>
    <row r="8" spans="1:15" x14ac:dyDescent="0.25">
      <c r="A8" s="1078" t="s">
        <v>0</v>
      </c>
      <c r="B8" s="153"/>
      <c r="C8" s="154">
        <f>'T6b-vykon'!AI8*100</f>
        <v>2.3712872983963083</v>
      </c>
      <c r="D8" s="155">
        <f t="shared" si="3"/>
        <v>4020107.4367771144</v>
      </c>
      <c r="E8" s="155">
        <f>$E$18*0.9*'T6b-vykon'!AZ8</f>
        <v>3241657.0746752103</v>
      </c>
      <c r="F8" s="155">
        <f t="shared" si="4"/>
        <v>0</v>
      </c>
      <c r="G8" s="155">
        <f t="shared" si="5"/>
        <v>280611</v>
      </c>
      <c r="H8" s="155">
        <f t="shared" si="0"/>
        <v>-17258</v>
      </c>
      <c r="I8" s="155">
        <f t="shared" si="1"/>
        <v>4002849.4367771144</v>
      </c>
      <c r="J8" s="164">
        <f>'T14-VVZ'!AR9</f>
        <v>2.1418038116096159</v>
      </c>
      <c r="K8" s="155">
        <f>INT(0.4+'T14-VVZ'!AP9*'T7-mzdy'!K$18/100)</f>
        <v>596635</v>
      </c>
      <c r="L8" s="788">
        <f>INT(0.4+'T14-VVZ'!AQ9*'T7-mzdy'!K$18/100)</f>
        <v>44143</v>
      </c>
      <c r="M8" s="1002">
        <f t="shared" si="6"/>
        <v>4643627</v>
      </c>
      <c r="N8" s="1014">
        <f t="shared" si="2"/>
        <v>4643627</v>
      </c>
      <c r="O8" s="1005">
        <f t="shared" si="7"/>
        <v>0.19778256183490858</v>
      </c>
    </row>
    <row r="9" spans="1:15" x14ac:dyDescent="0.25">
      <c r="A9" s="1078" t="s">
        <v>1</v>
      </c>
      <c r="B9" s="153"/>
      <c r="C9" s="154">
        <f>'T6b-vykon'!AI9*100</f>
        <v>0.89163980913507457</v>
      </c>
      <c r="D9" s="155">
        <f t="shared" si="3"/>
        <v>1511621.0634007168</v>
      </c>
      <c r="E9" s="155">
        <f>$E$18*0.9*'T6b-vykon'!AZ9</f>
        <v>1279278.8645997662</v>
      </c>
      <c r="F9" s="155">
        <f t="shared" si="4"/>
        <v>0</v>
      </c>
      <c r="G9" s="155">
        <f t="shared" si="5"/>
        <v>105514</v>
      </c>
      <c r="H9" s="155">
        <f t="shared" si="0"/>
        <v>-6489</v>
      </c>
      <c r="I9" s="155">
        <f t="shared" si="1"/>
        <v>1505132.0634007168</v>
      </c>
      <c r="J9" s="164">
        <f>'T14-VVZ'!AR10</f>
        <v>0.54069953646963553</v>
      </c>
      <c r="K9" s="155">
        <f>INT(0.4+'T14-VVZ'!AP10*'T7-mzdy'!K$18/100)</f>
        <v>161765</v>
      </c>
      <c r="L9" s="788">
        <f>INT(0.4+'T14-VVZ'!AQ10*'T7-mzdy'!K$18/100)</f>
        <v>0</v>
      </c>
      <c r="M9" s="1002">
        <f t="shared" si="6"/>
        <v>1666897</v>
      </c>
      <c r="N9" s="1014">
        <f t="shared" si="2"/>
        <v>1666897</v>
      </c>
      <c r="O9" s="1005">
        <f t="shared" si="7"/>
        <v>7.0996908014989923E-2</v>
      </c>
    </row>
    <row r="10" spans="1:15" x14ac:dyDescent="0.25">
      <c r="A10" s="1078" t="s">
        <v>4</v>
      </c>
      <c r="B10" s="153"/>
      <c r="C10" s="154">
        <f>'T6b-vykon'!AI10*100</f>
        <v>1.6649276959742589</v>
      </c>
      <c r="D10" s="155">
        <f t="shared" si="3"/>
        <v>2822596.9146838007</v>
      </c>
      <c r="E10" s="155">
        <f>$E$18*0.9*'T6b-vykon'!AZ10</f>
        <v>2603051.1089082276</v>
      </c>
      <c r="F10" s="155">
        <f t="shared" si="4"/>
        <v>0</v>
      </c>
      <c r="G10" s="155">
        <f t="shared" si="5"/>
        <v>197022</v>
      </c>
      <c r="H10" s="155">
        <f t="shared" si="0"/>
        <v>-12117</v>
      </c>
      <c r="I10" s="155">
        <f t="shared" si="1"/>
        <v>2810479.9146838007</v>
      </c>
      <c r="J10" s="164">
        <f>'T14-VVZ'!AR11</f>
        <v>1.5078461700138936</v>
      </c>
      <c r="K10" s="155">
        <f>INT(0.4+'T14-VVZ'!AP11*'T7-mzdy'!K$18/100)</f>
        <v>451113</v>
      </c>
      <c r="L10" s="788">
        <f>INT(0.4+'T14-VVZ'!AQ11*'T7-mzdy'!K$18/100)</f>
        <v>0</v>
      </c>
      <c r="M10" s="1002">
        <f t="shared" si="6"/>
        <v>3261592</v>
      </c>
      <c r="N10" s="1014">
        <f t="shared" si="2"/>
        <v>3261592</v>
      </c>
      <c r="O10" s="1005">
        <f t="shared" si="7"/>
        <v>0.13891856977751296</v>
      </c>
    </row>
    <row r="11" spans="1:15" x14ac:dyDescent="0.25">
      <c r="A11" s="1078" t="s">
        <v>17</v>
      </c>
      <c r="B11" s="153"/>
      <c r="C11" s="154">
        <f>'T6b-vykon'!AI11*100</f>
        <v>0.14910327416676922</v>
      </c>
      <c r="D11" s="155">
        <f t="shared" si="3"/>
        <v>252778.80994471873</v>
      </c>
      <c r="E11" s="155">
        <f>$E$18*0.9*'T6b-vykon'!AZ11</f>
        <v>275493.96970297332</v>
      </c>
      <c r="F11" s="155">
        <f t="shared" si="4"/>
        <v>-22715.159758254595</v>
      </c>
      <c r="G11" s="155">
        <f t="shared" si="5"/>
        <v>17645</v>
      </c>
      <c r="H11" s="155">
        <f t="shared" si="0"/>
        <v>-1085</v>
      </c>
      <c r="I11" s="155">
        <f>D11+H11</f>
        <v>251693.80994471873</v>
      </c>
      <c r="J11" s="164">
        <f>'T14-VVZ'!AR12</f>
        <v>0.12789535517573031</v>
      </c>
      <c r="K11" s="155">
        <f>INT(0.4+'T14-VVZ'!AP12*'T7-mzdy'!K$18/100)</f>
        <v>38263</v>
      </c>
      <c r="L11" s="788">
        <f>INT(0.4+'T14-VVZ'!AQ12*'T7-mzdy'!K$18/100)</f>
        <v>0</v>
      </c>
      <c r="M11" s="1002">
        <f t="shared" si="6"/>
        <v>289956</v>
      </c>
      <c r="N11" s="1014">
        <f t="shared" ref="N11" si="8">INT(0.5+M11+B11)</f>
        <v>289956</v>
      </c>
      <c r="O11" s="1005">
        <f t="shared" si="7"/>
        <v>1.2349880922693134E-2</v>
      </c>
    </row>
    <row r="12" spans="1:15" x14ac:dyDescent="0.25">
      <c r="A12" s="1078" t="s">
        <v>205</v>
      </c>
      <c r="B12" s="153"/>
      <c r="C12" s="154">
        <f>'T6b-vykon'!AI12*100</f>
        <v>0</v>
      </c>
      <c r="D12" s="155">
        <v>0</v>
      </c>
      <c r="E12" s="155">
        <f t="shared" ref="E12:E13" si="9">INT(0.52+$C12/$C$14*E$3)</f>
        <v>0</v>
      </c>
      <c r="F12" s="155">
        <v>0</v>
      </c>
      <c r="G12" s="155">
        <f t="shared" si="5"/>
        <v>0</v>
      </c>
      <c r="H12" s="155">
        <f t="shared" ref="H12:H13" si="10">ROUND($C12/$C$14*H$3,0)</f>
        <v>0</v>
      </c>
      <c r="I12" s="155">
        <f t="shared" ref="I12:I13" si="11">+IF(F12&lt;0,E12,D12+H12)</f>
        <v>0</v>
      </c>
      <c r="J12" s="164">
        <f>'T14-VVZ'!AR13</f>
        <v>0.19700690217984279</v>
      </c>
      <c r="K12" s="155">
        <f>INT(0.4+'T14-VVZ'!AP13*'T7-mzdy'!K$18/100)</f>
        <v>58940</v>
      </c>
      <c r="L12" s="788">
        <f>INT(0.4+'T14-VVZ'!AQ13*'T7-mzdy'!K$18/100)</f>
        <v>0</v>
      </c>
      <c r="M12" s="1002">
        <f t="shared" si="6"/>
        <v>58940</v>
      </c>
      <c r="N12" s="1014">
        <f t="shared" ref="N12:N13" si="12">INT(0.5+M12+B12)</f>
        <v>58940</v>
      </c>
      <c r="O12" s="1005">
        <f t="shared" si="7"/>
        <v>2.510387719459274E-3</v>
      </c>
    </row>
    <row r="13" spans="1:15" x14ac:dyDescent="0.25">
      <c r="A13" s="1079" t="s">
        <v>64</v>
      </c>
      <c r="B13" s="153"/>
      <c r="C13" s="154">
        <f>'T6b-vykon'!AI13*100</f>
        <v>0</v>
      </c>
      <c r="D13" s="155">
        <v>0</v>
      </c>
      <c r="E13" s="155">
        <f t="shared" si="9"/>
        <v>0</v>
      </c>
      <c r="F13" s="155">
        <v>0</v>
      </c>
      <c r="G13" s="155">
        <f t="shared" si="5"/>
        <v>0</v>
      </c>
      <c r="H13" s="155">
        <f t="shared" si="10"/>
        <v>0</v>
      </c>
      <c r="I13" s="155">
        <f t="shared" si="11"/>
        <v>0</v>
      </c>
      <c r="J13" s="164">
        <f>'T14-VVZ'!AR14</f>
        <v>0</v>
      </c>
      <c r="K13" s="155">
        <f>INT(0.4+'T14-VVZ'!AP14*'T7-mzdy'!K$18/100)</f>
        <v>0</v>
      </c>
      <c r="L13" s="788">
        <f>INT(0.4+'T14-VVZ'!AQ14*'T7-mzdy'!K$18/100)</f>
        <v>0</v>
      </c>
      <c r="M13" s="1002">
        <f t="shared" si="6"/>
        <v>0</v>
      </c>
      <c r="N13" s="1014">
        <f t="shared" si="12"/>
        <v>0</v>
      </c>
      <c r="O13" s="1005">
        <f t="shared" si="7"/>
        <v>0</v>
      </c>
    </row>
    <row r="14" spans="1:15" s="130" customFormat="1" ht="15.75" thickBot="1" x14ac:dyDescent="0.3">
      <c r="A14" s="539" t="s">
        <v>2</v>
      </c>
      <c r="B14" s="166"/>
      <c r="C14" s="171">
        <f>SUM(C4:C13)</f>
        <v>12.024332682400425</v>
      </c>
      <c r="D14" s="172">
        <f>SUM(D4:D13)</f>
        <v>20385176.132597513</v>
      </c>
      <c r="E14" s="172">
        <f t="shared" ref="E14:N14" si="13">SUM(E4:E13)</f>
        <v>17066119.974108789</v>
      </c>
      <c r="F14" s="172">
        <v>0</v>
      </c>
      <c r="G14" s="172">
        <f t="shared" si="13"/>
        <v>1422923</v>
      </c>
      <c r="H14" s="172">
        <f t="shared" si="13"/>
        <v>-87510</v>
      </c>
      <c r="I14" s="172">
        <f t="shared" si="13"/>
        <v>20297666.132597513</v>
      </c>
      <c r="J14" s="173">
        <f t="shared" si="13"/>
        <v>10.63144137112133</v>
      </c>
      <c r="K14" s="172">
        <f t="shared" si="13"/>
        <v>2987775</v>
      </c>
      <c r="L14" s="789">
        <f t="shared" si="13"/>
        <v>192905</v>
      </c>
      <c r="M14" s="1008">
        <f t="shared" si="13"/>
        <v>23478341.715126477</v>
      </c>
      <c r="N14" s="1008">
        <f t="shared" si="13"/>
        <v>23478342</v>
      </c>
      <c r="O14" s="1009">
        <f t="shared" ref="O14" si="14">SUM(O4:O13)</f>
        <v>0.99999561299736861</v>
      </c>
    </row>
    <row r="15" spans="1:15" ht="19.5" hidden="1" customHeight="1" thickBot="1" x14ac:dyDescent="0.3">
      <c r="A15" s="151" t="s">
        <v>90</v>
      </c>
      <c r="B15" s="158">
        <v>2486425</v>
      </c>
      <c r="C15" s="161">
        <v>100</v>
      </c>
      <c r="D15" s="162"/>
      <c r="E15" s="162"/>
      <c r="F15" s="162"/>
      <c r="G15" s="162"/>
      <c r="H15" s="162"/>
      <c r="I15" s="162"/>
      <c r="J15" s="163"/>
      <c r="K15" s="159"/>
      <c r="L15" s="159"/>
      <c r="M15" s="167"/>
      <c r="N15" s="1003"/>
      <c r="O15" s="1003"/>
    </row>
    <row r="16" spans="1:15" ht="28.35" hidden="1" customHeight="1" thickBot="1" x14ac:dyDescent="0.3">
      <c r="A16" s="1344" t="s">
        <v>91</v>
      </c>
      <c r="B16" s="1345"/>
      <c r="C16" s="113"/>
      <c r="D16" s="114" t="s">
        <v>92</v>
      </c>
      <c r="E16" s="115"/>
      <c r="F16" s="115"/>
      <c r="G16" s="115"/>
      <c r="H16" s="115"/>
      <c r="I16" s="115"/>
      <c r="J16" s="116" t="s">
        <v>93</v>
      </c>
      <c r="K16" s="117"/>
      <c r="L16" s="113"/>
      <c r="M16" s="143"/>
      <c r="N16" s="144"/>
      <c r="O16" s="144"/>
    </row>
    <row r="17" spans="1:15" ht="25.5" hidden="1" customHeight="1" x14ac:dyDescent="0.25">
      <c r="A17" s="132" t="s">
        <v>95</v>
      </c>
      <c r="B17" s="139">
        <v>201937635</v>
      </c>
      <c r="C17" s="118">
        <v>212122505</v>
      </c>
      <c r="D17" s="119">
        <v>0.85</v>
      </c>
      <c r="E17" s="940"/>
      <c r="F17" s="940"/>
      <c r="G17" s="940"/>
      <c r="H17" s="940"/>
      <c r="I17" s="940"/>
      <c r="J17" s="120">
        <v>0.15</v>
      </c>
      <c r="K17" s="121"/>
      <c r="L17" s="122"/>
      <c r="M17" s="123"/>
      <c r="N17" s="123"/>
      <c r="O17" s="123"/>
    </row>
    <row r="18" spans="1:15" ht="25.5" hidden="1" customHeight="1" thickBot="1" x14ac:dyDescent="0.3">
      <c r="A18" s="133" t="s">
        <v>96</v>
      </c>
      <c r="B18" s="140">
        <v>199451210</v>
      </c>
      <c r="C18" s="124">
        <v>180744745.00408283</v>
      </c>
      <c r="D18" s="134" t="s">
        <v>97</v>
      </c>
      <c r="E18" s="125">
        <v>169533529</v>
      </c>
      <c r="F18" s="126"/>
      <c r="G18" s="126"/>
      <c r="H18" s="126"/>
      <c r="I18" s="126"/>
      <c r="J18" s="135" t="s">
        <v>98</v>
      </c>
      <c r="K18" s="1342">
        <v>29917681</v>
      </c>
      <c r="L18" s="1343"/>
      <c r="M18" s="145"/>
      <c r="N18" s="145"/>
      <c r="O18" s="145"/>
    </row>
    <row r="19" spans="1:15" ht="24" hidden="1" customHeight="1" x14ac:dyDescent="0.25">
      <c r="A19" s="136" t="s">
        <v>99</v>
      </c>
      <c r="B19" s="141">
        <v>0</v>
      </c>
      <c r="C19" s="487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1:15" ht="15.75" hidden="1" thickBot="1" x14ac:dyDescent="0.3">
      <c r="A20" s="137" t="s">
        <v>100</v>
      </c>
      <c r="B20" s="142">
        <v>2486425</v>
      </c>
      <c r="C20" s="129">
        <v>2319467</v>
      </c>
      <c r="D20" s="128"/>
      <c r="E20" s="128"/>
      <c r="F20" s="128"/>
      <c r="G20" s="128"/>
      <c r="H20" s="128"/>
      <c r="I20" s="128"/>
      <c r="J20" s="60"/>
      <c r="L20" s="60"/>
      <c r="N20" s="60"/>
    </row>
    <row r="21" spans="1:15" hidden="1" x14ac:dyDescent="0.25">
      <c r="B21" s="488">
        <v>2020</v>
      </c>
      <c r="C21" s="60"/>
      <c r="D21" s="128"/>
      <c r="E21" s="128"/>
      <c r="F21" s="128"/>
      <c r="G21" s="128"/>
      <c r="H21" s="128"/>
      <c r="I21" s="128"/>
      <c r="J21" s="50"/>
      <c r="N21" s="109" t="s">
        <v>8</v>
      </c>
    </row>
    <row r="22" spans="1:15" x14ac:dyDescent="0.25">
      <c r="B22" s="487"/>
      <c r="C22" s="60"/>
      <c r="D22" s="128"/>
      <c r="E22" s="128"/>
      <c r="F22" s="128"/>
      <c r="G22" s="128"/>
      <c r="H22" s="128"/>
      <c r="I22" s="128"/>
      <c r="J22" s="50"/>
      <c r="N22" s="60"/>
    </row>
    <row r="23" spans="1:15" x14ac:dyDescent="0.25">
      <c r="A23" s="130"/>
      <c r="B23" s="489"/>
      <c r="C23" s="60"/>
      <c r="D23" s="128"/>
      <c r="E23" s="128"/>
      <c r="F23" s="128" t="s">
        <v>493</v>
      </c>
      <c r="G23" s="128"/>
      <c r="H23" s="128"/>
      <c r="I23" s="128"/>
      <c r="J23" s="50"/>
    </row>
    <row r="24" spans="1:15" ht="14.45" customHeight="1" x14ac:dyDescent="0.25">
      <c r="J24" s="50"/>
      <c r="N24" s="109" t="s">
        <v>8</v>
      </c>
    </row>
    <row r="25" spans="1:15" ht="15.75" thickBot="1" x14ac:dyDescent="0.3">
      <c r="A25" s="941" t="s">
        <v>270</v>
      </c>
      <c r="B25" s="487"/>
      <c r="C25" s="490"/>
      <c r="D25" s="59"/>
      <c r="E25" s="59"/>
      <c r="F25" s="59"/>
      <c r="G25" s="59"/>
      <c r="H25" s="59"/>
      <c r="I25" s="59"/>
      <c r="J25" s="50"/>
    </row>
    <row r="26" spans="1:15" s="112" customFormat="1" x14ac:dyDescent="0.25">
      <c r="A26" s="529" t="s">
        <v>2</v>
      </c>
      <c r="B26" s="551">
        <f>B3-B42</f>
        <v>0</v>
      </c>
      <c r="C26" s="555">
        <f t="shared" ref="C26:N26" si="15">C3-C42</f>
        <v>0.66376907002761243</v>
      </c>
      <c r="D26" s="556">
        <f t="shared" ref="D26" si="16">D3-D42</f>
        <v>2931607</v>
      </c>
      <c r="E26" s="556"/>
      <c r="F26" s="556"/>
      <c r="G26" s="556"/>
      <c r="H26" s="556"/>
      <c r="I26" s="556"/>
      <c r="J26" s="556">
        <f t="shared" si="15"/>
        <v>-0.40455862887868754</v>
      </c>
      <c r="K26" s="556"/>
      <c r="L26" s="556"/>
      <c r="M26" s="552">
        <f t="shared" si="15"/>
        <v>3013254.6131747998</v>
      </c>
      <c r="N26" s="165">
        <f t="shared" si="15"/>
        <v>3013255</v>
      </c>
      <c r="O26" s="557">
        <v>1</v>
      </c>
    </row>
    <row r="27" spans="1:15" x14ac:dyDescent="0.25">
      <c r="A27" s="531" t="s">
        <v>6</v>
      </c>
      <c r="B27" s="553"/>
      <c r="C27" s="533">
        <f t="shared" ref="C27:O27" si="17">C4-C43</f>
        <v>-9.7921906905945821E-2</v>
      </c>
      <c r="D27" s="534">
        <f t="shared" ref="D27" si="18">D4-D43</f>
        <v>1858.4101324526127</v>
      </c>
      <c r="E27" s="534"/>
      <c r="F27" s="534"/>
      <c r="G27" s="534"/>
      <c r="H27" s="534"/>
      <c r="I27" s="534"/>
      <c r="J27" s="535">
        <f t="shared" si="17"/>
        <v>-0.22386363604292492</v>
      </c>
      <c r="K27" s="534"/>
      <c r="L27" s="534"/>
      <c r="M27" s="536">
        <f t="shared" si="17"/>
        <v>1869161.7151264758</v>
      </c>
      <c r="N27" s="156">
        <f t="shared" si="17"/>
        <v>1869162</v>
      </c>
      <c r="O27" s="157">
        <f t="shared" si="17"/>
        <v>7.9611831192397967E-2</v>
      </c>
    </row>
    <row r="28" spans="1:15" x14ac:dyDescent="0.25">
      <c r="A28" s="531" t="s">
        <v>3</v>
      </c>
      <c r="B28" s="553"/>
      <c r="C28" s="533">
        <f t="shared" ref="C28:O28" si="19">C5-C44</f>
        <v>0.55184429289964609</v>
      </c>
      <c r="D28" s="534">
        <f t="shared" ref="D28" si="20">D5-D44</f>
        <v>1253207.2644472001</v>
      </c>
      <c r="E28" s="534"/>
      <c r="F28" s="534"/>
      <c r="G28" s="534"/>
      <c r="H28" s="534"/>
      <c r="I28" s="534"/>
      <c r="J28" s="535">
        <f t="shared" si="19"/>
        <v>-0.35641246681600047</v>
      </c>
      <c r="K28" s="534"/>
      <c r="L28" s="534"/>
      <c r="M28" s="536">
        <f t="shared" si="19"/>
        <v>4817506</v>
      </c>
      <c r="N28" s="156">
        <f t="shared" si="19"/>
        <v>4817506</v>
      </c>
      <c r="O28" s="157">
        <f t="shared" si="19"/>
        <v>0.20518846116086478</v>
      </c>
    </row>
    <row r="29" spans="1:15" x14ac:dyDescent="0.25">
      <c r="A29" s="531" t="s">
        <v>5</v>
      </c>
      <c r="B29" s="553"/>
      <c r="C29" s="533">
        <f t="shared" ref="C29:O29" si="21">C6-C45</f>
        <v>4.6874808531160994E-3</v>
      </c>
      <c r="D29" s="534">
        <f t="shared" ref="D29" si="22">D6-D45</f>
        <v>344651.85923748463</v>
      </c>
      <c r="E29" s="534"/>
      <c r="F29" s="534"/>
      <c r="G29" s="534"/>
      <c r="H29" s="534"/>
      <c r="I29" s="534"/>
      <c r="J29" s="535">
        <f t="shared" si="21"/>
        <v>0.36813501436993867</v>
      </c>
      <c r="K29" s="534"/>
      <c r="L29" s="534"/>
      <c r="M29" s="536">
        <f t="shared" si="21"/>
        <v>4571128</v>
      </c>
      <c r="N29" s="156">
        <f t="shared" si="21"/>
        <v>4571128</v>
      </c>
      <c r="O29" s="157">
        <f t="shared" si="21"/>
        <v>0.1946946656816497</v>
      </c>
    </row>
    <row r="30" spans="1:15" x14ac:dyDescent="0.25">
      <c r="A30" s="531" t="s">
        <v>7</v>
      </c>
      <c r="B30" s="553"/>
      <c r="C30" s="533">
        <f t="shared" ref="C30:O30" si="23">C7-C46</f>
        <v>0.24646256349455853</v>
      </c>
      <c r="D30" s="534">
        <f t="shared" ref="D30" si="24">D7-D46</f>
        <v>588116.2356921602</v>
      </c>
      <c r="E30" s="534"/>
      <c r="F30" s="534"/>
      <c r="G30" s="534"/>
      <c r="H30" s="534"/>
      <c r="I30" s="534"/>
      <c r="J30" s="535">
        <f t="shared" si="23"/>
        <v>0.10124381906723401</v>
      </c>
      <c r="K30" s="534"/>
      <c r="L30" s="534"/>
      <c r="M30" s="536">
        <f t="shared" si="23"/>
        <v>2299534</v>
      </c>
      <c r="N30" s="156">
        <f t="shared" si="23"/>
        <v>2299534</v>
      </c>
      <c r="O30" s="157">
        <f t="shared" si="23"/>
        <v>9.7942346692892146E-2</v>
      </c>
    </row>
    <row r="31" spans="1:15" x14ac:dyDescent="0.25">
      <c r="A31" s="531" t="s">
        <v>0</v>
      </c>
      <c r="B31" s="553"/>
      <c r="C31" s="533">
        <f t="shared" ref="C31:O31" si="25">C8-C47</f>
        <v>0.17407366405161673</v>
      </c>
      <c r="D31" s="534">
        <f t="shared" ref="D31" si="26">D8-D47</f>
        <v>644461.49632472778</v>
      </c>
      <c r="E31" s="534"/>
      <c r="F31" s="534"/>
      <c r="G31" s="534"/>
      <c r="H31" s="534"/>
      <c r="I31" s="534"/>
      <c r="J31" s="535">
        <f t="shared" si="25"/>
        <v>-0.33445532000551559</v>
      </c>
      <c r="K31" s="534"/>
      <c r="L31" s="534"/>
      <c r="M31" s="536">
        <f t="shared" si="25"/>
        <v>4643627</v>
      </c>
      <c r="N31" s="156">
        <f t="shared" si="25"/>
        <v>4643627</v>
      </c>
      <c r="O31" s="157">
        <f t="shared" si="25"/>
        <v>0.19778256183490858</v>
      </c>
    </row>
    <row r="32" spans="1:15" x14ac:dyDescent="0.25">
      <c r="A32" s="531" t="s">
        <v>1</v>
      </c>
      <c r="B32" s="553"/>
      <c r="C32" s="533">
        <f t="shared" ref="C32:O32" si="27">C9-C48</f>
        <v>-2.2084970744299381E-3</v>
      </c>
      <c r="D32" s="534">
        <f t="shared" ref="D32" si="28">D9-D48</f>
        <v>138374.80319522903</v>
      </c>
      <c r="E32" s="534"/>
      <c r="F32" s="534"/>
      <c r="G32" s="534"/>
      <c r="H32" s="534"/>
      <c r="I32" s="534"/>
      <c r="J32" s="535">
        <f t="shared" si="27"/>
        <v>-2.3289445474828363E-2</v>
      </c>
      <c r="K32" s="534"/>
      <c r="L32" s="534"/>
      <c r="M32" s="536">
        <f t="shared" si="27"/>
        <v>1666897</v>
      </c>
      <c r="N32" s="156">
        <f t="shared" si="27"/>
        <v>1666897</v>
      </c>
      <c r="O32" s="157">
        <f t="shared" si="27"/>
        <v>7.0996908014989923E-2</v>
      </c>
    </row>
    <row r="33" spans="1:15" x14ac:dyDescent="0.25">
      <c r="A33" s="531" t="s">
        <v>4</v>
      </c>
      <c r="B33" s="553"/>
      <c r="C33" s="533">
        <f t="shared" ref="C33:O33" si="29">C10-C49</f>
        <v>-0.17828374656513457</v>
      </c>
      <c r="D33" s="534">
        <f t="shared" ref="D33" si="30">D10-D49</f>
        <v>-9184.7228169064038</v>
      </c>
      <c r="E33" s="534"/>
      <c r="F33" s="534"/>
      <c r="G33" s="534"/>
      <c r="H33" s="534"/>
      <c r="I33" s="534"/>
      <c r="J33" s="535">
        <f t="shared" si="29"/>
        <v>0.18757421112144579</v>
      </c>
      <c r="K33" s="534"/>
      <c r="L33" s="534"/>
      <c r="M33" s="536">
        <f t="shared" si="29"/>
        <v>3261592</v>
      </c>
      <c r="N33" s="156">
        <f t="shared" si="29"/>
        <v>3261592</v>
      </c>
      <c r="O33" s="157">
        <f t="shared" si="29"/>
        <v>0.13891856977751296</v>
      </c>
    </row>
    <row r="34" spans="1:15" x14ac:dyDescent="0.25">
      <c r="A34" s="531" t="s">
        <v>17</v>
      </c>
      <c r="B34" s="553"/>
      <c r="C34" s="533">
        <f t="shared" ref="C34:O34" si="31">C11-C50</f>
        <v>-3.4943098325388583E-2</v>
      </c>
      <c r="D34" s="534">
        <f t="shared" ref="D34" si="32">D11-D50</f>
        <v>-29977.213614834938</v>
      </c>
      <c r="E34" s="534"/>
      <c r="F34" s="534"/>
      <c r="G34" s="534"/>
      <c r="H34" s="534"/>
      <c r="I34" s="534"/>
      <c r="J34" s="535">
        <f t="shared" si="31"/>
        <v>-5.2963422916013636E-2</v>
      </c>
      <c r="K34" s="534"/>
      <c r="L34" s="534"/>
      <c r="M34" s="536">
        <f t="shared" si="31"/>
        <v>289956</v>
      </c>
      <c r="N34" s="156">
        <f t="shared" si="31"/>
        <v>289956</v>
      </c>
      <c r="O34" s="157">
        <f t="shared" si="31"/>
        <v>1.2349880922693134E-2</v>
      </c>
    </row>
    <row r="35" spans="1:15" x14ac:dyDescent="0.25">
      <c r="A35" s="537" t="s">
        <v>205</v>
      </c>
      <c r="B35" s="553"/>
      <c r="C35" s="533">
        <f t="shared" ref="C35:O35" si="33">C12-C51</f>
        <v>0</v>
      </c>
      <c r="D35" s="534">
        <f t="shared" ref="D35" si="34">D12-D51</f>
        <v>0</v>
      </c>
      <c r="E35" s="534"/>
      <c r="F35" s="534"/>
      <c r="G35" s="534"/>
      <c r="H35" s="534"/>
      <c r="I35" s="534"/>
      <c r="J35" s="535">
        <f t="shared" si="33"/>
        <v>-7.0527382182007214E-2</v>
      </c>
      <c r="K35" s="534"/>
      <c r="L35" s="534"/>
      <c r="M35" s="536">
        <f t="shared" si="33"/>
        <v>58940</v>
      </c>
      <c r="N35" s="156">
        <f t="shared" si="33"/>
        <v>58940</v>
      </c>
      <c r="O35" s="157">
        <f t="shared" si="33"/>
        <v>2.510387719459274E-3</v>
      </c>
    </row>
    <row r="36" spans="1:15" x14ac:dyDescent="0.25">
      <c r="A36" s="538" t="s">
        <v>64</v>
      </c>
      <c r="B36" s="553"/>
      <c r="C36" s="533">
        <f t="shared" ref="C36:O36" si="35">C13-C52</f>
        <v>0</v>
      </c>
      <c r="D36" s="534">
        <f t="shared" ref="D36" si="36">D13-D52</f>
        <v>0</v>
      </c>
      <c r="E36" s="534"/>
      <c r="F36" s="534"/>
      <c r="G36" s="534"/>
      <c r="H36" s="534"/>
      <c r="I36" s="534"/>
      <c r="J36" s="535">
        <f t="shared" si="35"/>
        <v>0</v>
      </c>
      <c r="K36" s="534"/>
      <c r="L36" s="534"/>
      <c r="M36" s="536">
        <f t="shared" si="35"/>
        <v>0</v>
      </c>
      <c r="N36" s="156">
        <f t="shared" si="35"/>
        <v>0</v>
      </c>
      <c r="O36" s="157">
        <f t="shared" si="35"/>
        <v>0</v>
      </c>
    </row>
    <row r="37" spans="1:15" s="130" customFormat="1" ht="15.75" thickBot="1" x14ac:dyDescent="0.3">
      <c r="A37" s="539" t="s">
        <v>2</v>
      </c>
      <c r="B37" s="554"/>
      <c r="C37" s="171">
        <f>SUM(C27:C36)</f>
        <v>0.66371075242803856</v>
      </c>
      <c r="D37" s="172">
        <f>SUM(D27:D36)</f>
        <v>2931508.1325975135</v>
      </c>
      <c r="E37" s="172"/>
      <c r="F37" s="172"/>
      <c r="G37" s="172"/>
      <c r="H37" s="172"/>
      <c r="I37" s="172"/>
      <c r="J37" s="173">
        <f t="shared" ref="J37:O37" si="37">SUM(J27:J36)</f>
        <v>-0.40455862887867172</v>
      </c>
      <c r="K37" s="172"/>
      <c r="L37" s="172"/>
      <c r="M37" s="174">
        <f t="shared" si="37"/>
        <v>23478341.715126477</v>
      </c>
      <c r="N37" s="540">
        <f t="shared" si="37"/>
        <v>23478342</v>
      </c>
      <c r="O37" s="541">
        <f t="shared" si="37"/>
        <v>0.99999561299736861</v>
      </c>
    </row>
    <row r="38" spans="1:15" x14ac:dyDescent="0.25">
      <c r="C38" s="60"/>
      <c r="D38" s="50"/>
      <c r="E38" s="50"/>
      <c r="F38" s="50"/>
      <c r="G38" s="50"/>
      <c r="H38" s="50"/>
      <c r="I38" s="50"/>
      <c r="J38" s="50"/>
    </row>
    <row r="39" spans="1:15" x14ac:dyDescent="0.25">
      <c r="C39" s="60"/>
      <c r="D39" s="50"/>
      <c r="E39" s="50"/>
      <c r="F39" s="50"/>
      <c r="G39" s="50"/>
      <c r="H39" s="50"/>
      <c r="I39" s="50"/>
      <c r="J39" s="50"/>
    </row>
    <row r="40" spans="1:15" x14ac:dyDescent="0.25">
      <c r="C40" s="60"/>
      <c r="D40" s="50"/>
      <c r="E40" s="50"/>
      <c r="F40" s="50"/>
      <c r="G40" s="50"/>
      <c r="H40" s="50"/>
      <c r="I40" s="50"/>
      <c r="J40" s="50"/>
    </row>
    <row r="41" spans="1:15" ht="15.75" thickBot="1" x14ac:dyDescent="0.3">
      <c r="A41" s="109" t="s">
        <v>229</v>
      </c>
      <c r="C41" s="60"/>
      <c r="D41" s="50"/>
      <c r="E41" s="50"/>
      <c r="F41" s="50"/>
      <c r="G41" s="50"/>
      <c r="H41" s="50"/>
      <c r="I41" s="50"/>
      <c r="J41" s="50"/>
    </row>
    <row r="42" spans="1:15" s="112" customFormat="1" x14ac:dyDescent="0.25">
      <c r="A42" s="529" t="s">
        <v>2</v>
      </c>
      <c r="B42" s="165">
        <v>0</v>
      </c>
      <c r="C42" s="168">
        <v>11.360621929972387</v>
      </c>
      <c r="D42" s="169">
        <v>17453668</v>
      </c>
      <c r="E42" s="169"/>
      <c r="F42" s="169"/>
      <c r="G42" s="169"/>
      <c r="H42" s="169"/>
      <c r="I42" s="169"/>
      <c r="J42" s="170">
        <v>11.036</v>
      </c>
      <c r="K42" s="169"/>
      <c r="L42" s="169"/>
      <c r="M42" s="165">
        <v>20465190</v>
      </c>
      <c r="N42" s="165">
        <v>20465190</v>
      </c>
      <c r="O42" s="530">
        <v>1</v>
      </c>
    </row>
    <row r="43" spans="1:15" x14ac:dyDescent="0.25">
      <c r="A43" s="531" t="s">
        <v>6</v>
      </c>
      <c r="B43" s="532"/>
      <c r="C43" s="533">
        <f>'T6b-vykon'!AI38*100</f>
        <v>1.0557959293745836</v>
      </c>
      <c r="D43" s="534">
        <f>C43/C$42*D$42</f>
        <v>1622051.3049940232</v>
      </c>
      <c r="E43" s="534"/>
      <c r="F43" s="534"/>
      <c r="G43" s="534"/>
      <c r="H43" s="534"/>
      <c r="I43" s="534"/>
      <c r="J43" s="535">
        <v>1.0669203142074521</v>
      </c>
      <c r="K43" s="534"/>
      <c r="L43" s="534"/>
      <c r="M43" s="536">
        <f t="shared" ref="M43:M52" si="38">I43+K43+L43</f>
        <v>0</v>
      </c>
      <c r="N43" s="156">
        <f t="shared" ref="N43:N52" si="39">INT(0.5+M43+B43)</f>
        <v>0</v>
      </c>
      <c r="O43" s="157">
        <f>N43/N$3</f>
        <v>0</v>
      </c>
    </row>
    <row r="44" spans="1:15" x14ac:dyDescent="0.25">
      <c r="A44" s="531" t="s">
        <v>3</v>
      </c>
      <c r="B44" s="532"/>
      <c r="C44" s="533">
        <f>'T6b-vykon'!AI39*100</f>
        <v>1.9978447907498829</v>
      </c>
      <c r="D44" s="534">
        <f t="shared" ref="D44:D52" si="40">C44/C$42*D$42</f>
        <v>3069349.5398594504</v>
      </c>
      <c r="E44" s="534"/>
      <c r="F44" s="534"/>
      <c r="G44" s="534"/>
      <c r="H44" s="534"/>
      <c r="I44" s="534"/>
      <c r="J44" s="535">
        <v>2.0728097776810652</v>
      </c>
      <c r="K44" s="534"/>
      <c r="L44" s="534"/>
      <c r="M44" s="536">
        <f t="shared" si="38"/>
        <v>0</v>
      </c>
      <c r="N44" s="156">
        <f t="shared" si="39"/>
        <v>0</v>
      </c>
      <c r="O44" s="157">
        <f t="shared" ref="O44:O52" si="41">N44/N$3</f>
        <v>0</v>
      </c>
    </row>
    <row r="45" spans="1:15" x14ac:dyDescent="0.25">
      <c r="A45" s="531" t="s">
        <v>5</v>
      </c>
      <c r="B45" s="532"/>
      <c r="C45" s="533">
        <f>'T6b-vykon'!AI40*100</f>
        <v>2.1176857974746643</v>
      </c>
      <c r="D45" s="534">
        <f t="shared" si="40"/>
        <v>3253464.912860441</v>
      </c>
      <c r="E45" s="534"/>
      <c r="F45" s="534"/>
      <c r="G45" s="534"/>
      <c r="H45" s="534"/>
      <c r="I45" s="534"/>
      <c r="J45" s="535">
        <v>2.9357920629004122</v>
      </c>
      <c r="K45" s="534"/>
      <c r="L45" s="534"/>
      <c r="M45" s="536">
        <f t="shared" si="38"/>
        <v>0</v>
      </c>
      <c r="N45" s="156">
        <f t="shared" si="39"/>
        <v>0</v>
      </c>
      <c r="O45" s="157">
        <f t="shared" si="41"/>
        <v>0</v>
      </c>
    </row>
    <row r="46" spans="1:15" x14ac:dyDescent="0.25">
      <c r="A46" s="531" t="s">
        <v>7</v>
      </c>
      <c r="B46" s="532"/>
      <c r="C46" s="533">
        <f>'T6b-vykon'!AI41*100</f>
        <v>1.0709756567875093</v>
      </c>
      <c r="D46" s="534">
        <f t="shared" si="40"/>
        <v>1645372.3805679507</v>
      </c>
      <c r="E46" s="534"/>
      <c r="F46" s="534"/>
      <c r="G46" s="534"/>
      <c r="H46" s="534"/>
      <c r="I46" s="534"/>
      <c r="J46" s="535">
        <v>0.15156471030543484</v>
      </c>
      <c r="K46" s="534"/>
      <c r="L46" s="534"/>
      <c r="M46" s="536">
        <f t="shared" si="38"/>
        <v>0</v>
      </c>
      <c r="N46" s="156">
        <f t="shared" si="39"/>
        <v>0</v>
      </c>
      <c r="O46" s="157">
        <f t="shared" si="41"/>
        <v>0</v>
      </c>
    </row>
    <row r="47" spans="1:15" x14ac:dyDescent="0.25">
      <c r="A47" s="531" t="s">
        <v>0</v>
      </c>
      <c r="B47" s="532"/>
      <c r="C47" s="533">
        <f>'T6b-vykon'!AI42*100</f>
        <v>2.1972136343446915</v>
      </c>
      <c r="D47" s="534">
        <f t="shared" si="40"/>
        <v>3375645.9404523866</v>
      </c>
      <c r="E47" s="534"/>
      <c r="F47" s="534"/>
      <c r="G47" s="534"/>
      <c r="H47" s="534"/>
      <c r="I47" s="534"/>
      <c r="J47" s="535">
        <v>2.4762591316151314</v>
      </c>
      <c r="K47" s="534"/>
      <c r="L47" s="534"/>
      <c r="M47" s="536">
        <f t="shared" si="38"/>
        <v>0</v>
      </c>
      <c r="N47" s="156">
        <f t="shared" si="39"/>
        <v>0</v>
      </c>
      <c r="O47" s="157">
        <f t="shared" si="41"/>
        <v>0</v>
      </c>
    </row>
    <row r="48" spans="1:15" x14ac:dyDescent="0.25">
      <c r="A48" s="531" t="s">
        <v>1</v>
      </c>
      <c r="B48" s="532"/>
      <c r="C48" s="533">
        <f>'T6b-vykon'!AI43*100</f>
        <v>0.89384830620950451</v>
      </c>
      <c r="D48" s="534">
        <f t="shared" si="40"/>
        <v>1373246.2602054877</v>
      </c>
      <c r="E48" s="534"/>
      <c r="F48" s="534"/>
      <c r="G48" s="534"/>
      <c r="H48" s="534"/>
      <c r="I48" s="534"/>
      <c r="J48" s="535">
        <v>0.5639889819444639</v>
      </c>
      <c r="K48" s="534"/>
      <c r="L48" s="534"/>
      <c r="M48" s="536">
        <f t="shared" si="38"/>
        <v>0</v>
      </c>
      <c r="N48" s="156">
        <f t="shared" si="39"/>
        <v>0</v>
      </c>
      <c r="O48" s="157">
        <f t="shared" si="41"/>
        <v>0</v>
      </c>
    </row>
    <row r="49" spans="1:15" x14ac:dyDescent="0.25">
      <c r="A49" s="531" t="s">
        <v>4</v>
      </c>
      <c r="B49" s="532"/>
      <c r="C49" s="533">
        <f>'T6b-vykon'!AI44*100</f>
        <v>1.8432114425393935</v>
      </c>
      <c r="D49" s="534">
        <f t="shared" si="40"/>
        <v>2831781.6375007071</v>
      </c>
      <c r="E49" s="534"/>
      <c r="F49" s="534"/>
      <c r="G49" s="534"/>
      <c r="H49" s="534"/>
      <c r="I49" s="534"/>
      <c r="J49" s="535">
        <v>1.3202719588924479</v>
      </c>
      <c r="K49" s="534"/>
      <c r="L49" s="534"/>
      <c r="M49" s="536">
        <f t="shared" si="38"/>
        <v>0</v>
      </c>
      <c r="N49" s="156">
        <f t="shared" si="39"/>
        <v>0</v>
      </c>
      <c r="O49" s="157">
        <f t="shared" si="41"/>
        <v>0</v>
      </c>
    </row>
    <row r="50" spans="1:15" x14ac:dyDescent="0.25">
      <c r="A50" s="531" t="s">
        <v>17</v>
      </c>
      <c r="B50" s="532"/>
      <c r="C50" s="533">
        <f>'T6b-vykon'!AI45*100</f>
        <v>0.1840463724921578</v>
      </c>
      <c r="D50" s="534">
        <f t="shared" si="40"/>
        <v>282756.02355955367</v>
      </c>
      <c r="E50" s="534"/>
      <c r="F50" s="534"/>
      <c r="G50" s="534"/>
      <c r="H50" s="534"/>
      <c r="I50" s="534"/>
      <c r="J50" s="535">
        <v>0.18085877809174394</v>
      </c>
      <c r="K50" s="534"/>
      <c r="L50" s="534"/>
      <c r="M50" s="536">
        <f t="shared" si="38"/>
        <v>0</v>
      </c>
      <c r="N50" s="156">
        <f t="shared" si="39"/>
        <v>0</v>
      </c>
      <c r="O50" s="157">
        <f t="shared" si="41"/>
        <v>0</v>
      </c>
    </row>
    <row r="51" spans="1:15" x14ac:dyDescent="0.25">
      <c r="A51" s="537" t="s">
        <v>205</v>
      </c>
      <c r="B51" s="532"/>
      <c r="C51" s="533">
        <f>'T6b-vykon'!AI46*100</f>
        <v>0</v>
      </c>
      <c r="D51" s="534">
        <f t="shared" si="40"/>
        <v>0</v>
      </c>
      <c r="E51" s="534"/>
      <c r="F51" s="534"/>
      <c r="G51" s="534"/>
      <c r="H51" s="534"/>
      <c r="I51" s="534"/>
      <c r="J51" s="535">
        <v>0.26753428436185001</v>
      </c>
      <c r="K51" s="534"/>
      <c r="L51" s="534"/>
      <c r="M51" s="536">
        <f t="shared" si="38"/>
        <v>0</v>
      </c>
      <c r="N51" s="156">
        <f t="shared" si="39"/>
        <v>0</v>
      </c>
      <c r="O51" s="157">
        <f t="shared" si="41"/>
        <v>0</v>
      </c>
    </row>
    <row r="52" spans="1:15" x14ac:dyDescent="0.25">
      <c r="A52" s="538" t="s">
        <v>64</v>
      </c>
      <c r="B52" s="532"/>
      <c r="C52" s="533">
        <f>'T6b-vykon'!AI47*100</f>
        <v>0</v>
      </c>
      <c r="D52" s="534">
        <f t="shared" si="40"/>
        <v>0</v>
      </c>
      <c r="E52" s="534"/>
      <c r="F52" s="534"/>
      <c r="G52" s="534"/>
      <c r="H52" s="534"/>
      <c r="I52" s="534"/>
      <c r="J52" s="535">
        <v>0</v>
      </c>
      <c r="K52" s="534"/>
      <c r="L52" s="534"/>
      <c r="M52" s="536">
        <f t="shared" si="38"/>
        <v>0</v>
      </c>
      <c r="N52" s="156">
        <f t="shared" si="39"/>
        <v>0</v>
      </c>
      <c r="O52" s="157">
        <f t="shared" si="41"/>
        <v>0</v>
      </c>
    </row>
    <row r="53" spans="1:15" s="130" customFormat="1" ht="15.75" thickBot="1" x14ac:dyDescent="0.3">
      <c r="A53" s="539" t="s">
        <v>2</v>
      </c>
      <c r="B53" s="166"/>
      <c r="C53" s="171">
        <f>SUM(C43:C52)</f>
        <v>11.360621929972387</v>
      </c>
      <c r="D53" s="172">
        <f>SUM(D43:D52)</f>
        <v>17453668.000000004</v>
      </c>
      <c r="E53" s="172"/>
      <c r="F53" s="172"/>
      <c r="G53" s="172"/>
      <c r="H53" s="172"/>
      <c r="I53" s="172"/>
      <c r="J53" s="173">
        <f t="shared" ref="J53:O53" si="42">SUM(J43:J52)</f>
        <v>11.036000000000001</v>
      </c>
      <c r="K53" s="172"/>
      <c r="L53" s="172"/>
      <c r="M53" s="174">
        <f t="shared" si="42"/>
        <v>0</v>
      </c>
      <c r="N53" s="540">
        <f t="shared" si="42"/>
        <v>0</v>
      </c>
      <c r="O53" s="541">
        <f t="shared" si="42"/>
        <v>0</v>
      </c>
    </row>
  </sheetData>
  <sheetProtection algorithmName="SHA-512" hashValue="rUgFp8coG/skOIkwTyFdMU/gFprHh1AYRzJwYa6TJ7d+IXZrlZ8kofd6JeKO26ipHUJBIOEpPPwAL8QoQzOmsA==" saltValue="bcQnbUZD2M8xNsgNG+Yn6w==" spinCount="100000" sheet="1" objects="1" scenarios="1"/>
  <mergeCells count="13">
    <mergeCell ref="K18:L18"/>
    <mergeCell ref="A16:B16"/>
    <mergeCell ref="O1:O2"/>
    <mergeCell ref="I1:I2"/>
    <mergeCell ref="J1:J2"/>
    <mergeCell ref="K1:K2"/>
    <mergeCell ref="L1:L2"/>
    <mergeCell ref="M1:M2"/>
    <mergeCell ref="N1:N2"/>
    <mergeCell ref="A1:A2"/>
    <mergeCell ref="B1:B2"/>
    <mergeCell ref="C1:C2"/>
    <mergeCell ref="D1:D2"/>
  </mergeCells>
  <conditionalFormatting sqref="A26:XFD37">
    <cfRule type="cellIs" dxfId="8" priority="3" operator="lessThan">
      <formula>0</formula>
    </cfRule>
  </conditionalFormatting>
  <conditionalFormatting sqref="N42">
    <cfRule type="cellIs" dxfId="7" priority="2" operator="lessThan">
      <formula>0</formula>
    </cfRule>
  </conditionalFormatting>
  <conditionalFormatting sqref="M42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N5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ColWidth="9.42578125" defaultRowHeight="15" x14ac:dyDescent="0.25"/>
  <cols>
    <col min="1" max="1" width="48.5703125" style="50" customWidth="1"/>
    <col min="2" max="2" width="13" style="50" customWidth="1"/>
    <col min="3" max="3" width="14.42578125" style="50" customWidth="1"/>
    <col min="4" max="4" width="12" style="50" customWidth="1"/>
    <col min="5" max="6" width="11.5703125" style="50" customWidth="1"/>
    <col min="7" max="7" width="11" style="50" customWidth="1"/>
    <col min="8" max="8" width="9.5703125" style="50" customWidth="1"/>
    <col min="9" max="9" width="9.42578125" style="50"/>
    <col min="10" max="10" width="11.28515625" style="50" customWidth="1"/>
    <col min="11" max="11" width="11.42578125" style="50" customWidth="1"/>
    <col min="12" max="12" width="13.5703125" style="50" customWidth="1"/>
    <col min="13" max="13" width="15.5703125" style="50" bestFit="1" customWidth="1"/>
    <col min="14" max="14" width="14" style="50" customWidth="1"/>
    <col min="15" max="16384" width="9.42578125" style="50"/>
  </cols>
  <sheetData>
    <row r="1" spans="1:14" ht="70.5" customHeight="1" thickBot="1" x14ac:dyDescent="0.3">
      <c r="B1" s="923"/>
      <c r="C1" s="923"/>
      <c r="D1" s="1360" t="s">
        <v>107</v>
      </c>
      <c r="E1" s="1360"/>
      <c r="F1" s="923"/>
      <c r="G1" s="942" t="s">
        <v>126</v>
      </c>
      <c r="H1" s="1361" t="s">
        <v>108</v>
      </c>
      <c r="I1" s="1361"/>
      <c r="J1" s="1361"/>
      <c r="K1" s="943" t="s">
        <v>127</v>
      </c>
      <c r="L1" s="681"/>
      <c r="M1" s="923"/>
      <c r="N1" s="923"/>
    </row>
    <row r="2" spans="1:14" ht="16.5" customHeight="1" thickBot="1" x14ac:dyDescent="0.3">
      <c r="B2" s="923"/>
      <c r="C2" s="1362" t="s">
        <v>109</v>
      </c>
      <c r="D2" s="1363"/>
      <c r="E2" s="1364" t="s">
        <v>110</v>
      </c>
      <c r="F2" s="1365"/>
      <c r="G2" s="1366"/>
      <c r="H2" s="175"/>
      <c r="I2" s="175"/>
      <c r="J2" s="175"/>
      <c r="K2" s="175"/>
      <c r="L2" s="944" t="s">
        <v>111</v>
      </c>
      <c r="M2" s="923"/>
      <c r="N2" s="923"/>
    </row>
    <row r="3" spans="1:14" s="138" customFormat="1" ht="44.1" customHeight="1" thickBot="1" x14ac:dyDescent="0.3">
      <c r="A3" s="1367"/>
      <c r="B3" s="1369" t="s">
        <v>112</v>
      </c>
      <c r="C3" s="1370"/>
      <c r="D3" s="921" t="s">
        <v>113</v>
      </c>
      <c r="E3" s="920" t="s">
        <v>114</v>
      </c>
      <c r="F3" s="1371" t="s">
        <v>110</v>
      </c>
      <c r="G3" s="1372"/>
      <c r="H3" s="1373" t="s">
        <v>115</v>
      </c>
      <c r="I3" s="1373"/>
      <c r="J3" s="1373"/>
      <c r="K3" s="1373"/>
      <c r="L3" s="1374"/>
      <c r="M3" s="233" t="s">
        <v>116</v>
      </c>
      <c r="N3" s="233" t="s">
        <v>116</v>
      </c>
    </row>
    <row r="4" spans="1:14" s="128" customFormat="1" ht="117.75" customHeight="1" thickBot="1" x14ac:dyDescent="0.3">
      <c r="A4" s="1368"/>
      <c r="B4" s="198" t="s">
        <v>117</v>
      </c>
      <c r="C4" s="199" t="s">
        <v>118</v>
      </c>
      <c r="D4" s="200" t="s">
        <v>119</v>
      </c>
      <c r="E4" s="201" t="s">
        <v>120</v>
      </c>
      <c r="F4" s="202" t="s">
        <v>121</v>
      </c>
      <c r="G4" s="203" t="s">
        <v>122</v>
      </c>
      <c r="H4" s="204" t="s">
        <v>128</v>
      </c>
      <c r="I4" s="205" t="s">
        <v>129</v>
      </c>
      <c r="J4" s="204" t="s">
        <v>123</v>
      </c>
      <c r="K4" s="205" t="s">
        <v>124</v>
      </c>
      <c r="L4" s="178" t="s">
        <v>125</v>
      </c>
      <c r="M4" s="179" t="s">
        <v>321</v>
      </c>
      <c r="N4" s="179" t="s">
        <v>143</v>
      </c>
    </row>
    <row r="5" spans="1:14" s="56" customFormat="1" x14ac:dyDescent="0.25">
      <c r="A5" s="510" t="s">
        <v>2</v>
      </c>
      <c r="B5" s="560">
        <v>3176946.35</v>
      </c>
      <c r="C5" s="559">
        <v>137656</v>
      </c>
      <c r="D5" s="180">
        <v>88538</v>
      </c>
      <c r="E5" s="181">
        <v>1552811</v>
      </c>
      <c r="F5" s="560">
        <v>92755</v>
      </c>
      <c r="G5" s="562">
        <v>100000</v>
      </c>
      <c r="H5" s="182">
        <v>11.338206590213716</v>
      </c>
      <c r="I5" s="183">
        <v>10.705650851352413</v>
      </c>
      <c r="J5" s="184">
        <v>1170966</v>
      </c>
      <c r="K5" s="184">
        <v>3102801</v>
      </c>
      <c r="L5" s="185">
        <v>4273767</v>
      </c>
      <c r="M5" s="567">
        <v>6052772</v>
      </c>
      <c r="N5" s="568">
        <v>1</v>
      </c>
    </row>
    <row r="6" spans="1:14" x14ac:dyDescent="0.25">
      <c r="A6" s="486" t="s">
        <v>6</v>
      </c>
      <c r="B6" s="188">
        <f>'T14c-vstup_DG-ZG'!S4</f>
        <v>122898</v>
      </c>
      <c r="C6" s="187">
        <f>B6/B5*C5</f>
        <v>5325.12835415052</v>
      </c>
      <c r="D6" s="186">
        <f>'T21-Mobility'!E5</f>
        <v>14183</v>
      </c>
      <c r="E6" s="189">
        <f>'T6b-vykon'!L4/'T6b-vykon'!L$15*'T8-TaS'!E$17</f>
        <v>95790.269725233185</v>
      </c>
      <c r="F6" s="569"/>
      <c r="G6" s="570"/>
      <c r="H6" s="192">
        <f>'T6b-vykon'!AJ4*100</f>
        <v>1.1389214981641971</v>
      </c>
      <c r="I6" s="193">
        <f>'T6b-vykon'!AK4*100</f>
        <v>0.9708220242773985</v>
      </c>
      <c r="J6" s="194">
        <f>H6*J$17/100</f>
        <v>117623.39331498538</v>
      </c>
      <c r="K6" s="194">
        <f t="shared" ref="J6:K15" si="0">I6*K$17/100</f>
        <v>281371.75514819863</v>
      </c>
      <c r="L6" s="195">
        <f t="shared" ref="L6:L15" si="1">K6+J6</f>
        <v>398995.14846318401</v>
      </c>
      <c r="M6" s="571">
        <f>C6+D6+L6+E6</f>
        <v>514293.54654256772</v>
      </c>
      <c r="N6" s="572">
        <f>M6/(M$16)</f>
        <v>8.4968267938490896E-2</v>
      </c>
    </row>
    <row r="7" spans="1:14" x14ac:dyDescent="0.25">
      <c r="A7" s="486" t="s">
        <v>3</v>
      </c>
      <c r="B7" s="188">
        <f>'T14c-vstup_DG-ZG'!S5</f>
        <v>65145</v>
      </c>
      <c r="C7" s="187">
        <f t="shared" ref="C7:C15" si="2">B7/B6*C6</f>
        <v>2822.7105944045925</v>
      </c>
      <c r="D7" s="186">
        <f>'T21-Mobility'!E6</f>
        <v>11860</v>
      </c>
      <c r="E7" s="189">
        <f>'T6b-vykon'!L5/'T6b-vykon'!L$15*'T8-TaS'!E$17</f>
        <v>372657.75985211332</v>
      </c>
      <c r="F7" s="569"/>
      <c r="G7" s="570"/>
      <c r="H7" s="192">
        <f>'T6b-vykon'!AJ5*100</f>
        <v>2.1214586381470721</v>
      </c>
      <c r="I7" s="193">
        <f>'T6b-vykon'!AK5*100</f>
        <v>2.0955238393839331</v>
      </c>
      <c r="J7" s="194">
        <f t="shared" si="0"/>
        <v>219096.01688831358</v>
      </c>
      <c r="K7" s="194">
        <f t="shared" si="0"/>
        <v>607342.23770954867</v>
      </c>
      <c r="L7" s="195">
        <f t="shared" si="1"/>
        <v>826438.25459786225</v>
      </c>
      <c r="M7" s="571">
        <f t="shared" ref="M7:M15" si="3">C7+D7+L7+E7</f>
        <v>1213778.7250443802</v>
      </c>
      <c r="N7" s="572">
        <f t="shared" ref="N7:N15" si="4">M7/(M$16)</f>
        <v>0.20053270475769921</v>
      </c>
    </row>
    <row r="8" spans="1:14" x14ac:dyDescent="0.25">
      <c r="A8" s="486" t="s">
        <v>5</v>
      </c>
      <c r="B8" s="188">
        <f>'T14c-vstup_DG-ZG'!S6</f>
        <v>366997.28</v>
      </c>
      <c r="C8" s="187">
        <f t="shared" si="2"/>
        <v>15901.866764504854</v>
      </c>
      <c r="D8" s="186">
        <f>'T21-Mobility'!E7</f>
        <v>21469</v>
      </c>
      <c r="E8" s="189">
        <f>'T6b-vykon'!L6/'T6b-vykon'!L$15*'T8-TaS'!E$17</f>
        <v>215528.10688177464</v>
      </c>
      <c r="F8" s="569"/>
      <c r="G8" s="570"/>
      <c r="H8" s="192">
        <f>'T6b-vykon'!AJ6*100</f>
        <v>2.0137219931515142</v>
      </c>
      <c r="I8" s="193">
        <f>'T6b-vykon'!AK6*100</f>
        <v>1.6303627425037401</v>
      </c>
      <c r="J8" s="194">
        <f t="shared" si="0"/>
        <v>207969.39421135496</v>
      </c>
      <c r="K8" s="194">
        <f t="shared" si="0"/>
        <v>472525.3598649613</v>
      </c>
      <c r="L8" s="195">
        <f t="shared" si="1"/>
        <v>680494.75407631625</v>
      </c>
      <c r="M8" s="571">
        <f t="shared" si="3"/>
        <v>933393.72772259568</v>
      </c>
      <c r="N8" s="572">
        <f t="shared" si="4"/>
        <v>0.15420930105463804</v>
      </c>
    </row>
    <row r="9" spans="1:14" x14ac:dyDescent="0.25">
      <c r="A9" s="486" t="s">
        <v>7</v>
      </c>
      <c r="B9" s="188">
        <f>'T14c-vstup_DG-ZG'!S7</f>
        <v>9447</v>
      </c>
      <c r="C9" s="187">
        <f t="shared" si="2"/>
        <v>409.335282605575</v>
      </c>
      <c r="D9" s="186">
        <f>'T21-Mobility'!E8</f>
        <v>4434</v>
      </c>
      <c r="E9" s="189">
        <f>'T6b-vykon'!L7/'T6b-vykon'!L$15*'T8-TaS'!E$17</f>
        <v>243046.80278968153</v>
      </c>
      <c r="F9" s="569"/>
      <c r="G9" s="570"/>
      <c r="H9" s="192">
        <f>'T6b-vykon'!AJ7*100</f>
        <v>1.2469356286070881</v>
      </c>
      <c r="I9" s="193">
        <f>'T6b-vykon'!AK7*100</f>
        <v>1.2555925717049989</v>
      </c>
      <c r="J9" s="194">
        <f t="shared" si="0"/>
        <v>128778.67361230105</v>
      </c>
      <c r="K9" s="194">
        <f t="shared" si="0"/>
        <v>363906.33588544227</v>
      </c>
      <c r="L9" s="195">
        <f t="shared" si="1"/>
        <v>492685.00949774333</v>
      </c>
      <c r="M9" s="571">
        <f t="shared" si="3"/>
        <v>740575.14757003041</v>
      </c>
      <c r="N9" s="572">
        <f t="shared" si="4"/>
        <v>0.12235305690756804</v>
      </c>
    </row>
    <row r="10" spans="1:14" x14ac:dyDescent="0.25">
      <c r="A10" s="486" t="s">
        <v>0</v>
      </c>
      <c r="B10" s="188">
        <f>'T14c-vstup_DG-ZG'!S8</f>
        <v>558581</v>
      </c>
      <c r="C10" s="187">
        <f t="shared" si="2"/>
        <v>24203.123901037863</v>
      </c>
      <c r="D10" s="186">
        <f>'T21-Mobility'!E9</f>
        <v>16506</v>
      </c>
      <c r="E10" s="189">
        <f>'T6b-vykon'!L8/'T6b-vykon'!L$15*'T8-TaS'!E$17</f>
        <v>282539.28241324256</v>
      </c>
      <c r="F10" s="569"/>
      <c r="G10" s="570"/>
      <c r="H10" s="192">
        <f>'T6b-vykon'!AJ8*100</f>
        <v>2.1330820899909684</v>
      </c>
      <c r="I10" s="193">
        <f>'T6b-vykon'!AK8*100</f>
        <v>2.0791869512285195</v>
      </c>
      <c r="J10" s="194">
        <f t="shared" si="0"/>
        <v>220296.44189575806</v>
      </c>
      <c r="K10" s="194">
        <f t="shared" si="0"/>
        <v>602607.34420796181</v>
      </c>
      <c r="L10" s="195">
        <f t="shared" si="1"/>
        <v>822903.78610371985</v>
      </c>
      <c r="M10" s="571">
        <f t="shared" si="3"/>
        <v>1146152.1924180002</v>
      </c>
      <c r="N10" s="572">
        <f t="shared" si="4"/>
        <v>0.18935988452190464</v>
      </c>
    </row>
    <row r="11" spans="1:14" x14ac:dyDescent="0.25">
      <c r="A11" s="486" t="s">
        <v>1</v>
      </c>
      <c r="B11" s="188">
        <f>'T14c-vstup_DG-ZG'!S9</f>
        <v>94758.74</v>
      </c>
      <c r="C11" s="187">
        <f t="shared" si="2"/>
        <v>4105.8638316130209</v>
      </c>
      <c r="D11" s="186">
        <f>'T21-Mobility'!E10</f>
        <v>11219</v>
      </c>
      <c r="E11" s="189">
        <f>'T6b-vykon'!L9/'T6b-vykon'!L$15*'T8-TaS'!E$17</f>
        <v>124149.23115704562</v>
      </c>
      <c r="F11" s="569"/>
      <c r="G11" s="570"/>
      <c r="H11" s="192">
        <f>'T6b-vykon'!AJ9*100</f>
        <v>0.80669660081179384</v>
      </c>
      <c r="I11" s="193">
        <f>'T6b-vykon'!AK9*100</f>
        <v>0.79727927225521933</v>
      </c>
      <c r="J11" s="194">
        <f t="shared" si="0"/>
        <v>83312.494949030908</v>
      </c>
      <c r="K11" s="194">
        <f t="shared" si="0"/>
        <v>231074.1439397237</v>
      </c>
      <c r="L11" s="195">
        <f t="shared" si="1"/>
        <v>314386.63888875459</v>
      </c>
      <c r="M11" s="571">
        <f t="shared" si="3"/>
        <v>453860.73387741327</v>
      </c>
      <c r="N11" s="572">
        <f t="shared" si="4"/>
        <v>7.498394779033897E-2</v>
      </c>
    </row>
    <row r="12" spans="1:14" x14ac:dyDescent="0.25">
      <c r="A12" s="486" t="s">
        <v>4</v>
      </c>
      <c r="B12" s="188">
        <f>'T14c-vstup_DG-ZG'!S10</f>
        <v>174928</v>
      </c>
      <c r="C12" s="187">
        <f t="shared" si="2"/>
        <v>7579.5704790545178</v>
      </c>
      <c r="D12" s="186">
        <f>'T21-Mobility'!E11</f>
        <v>5873</v>
      </c>
      <c r="E12" s="189">
        <f>'T6b-vykon'!L10/'T6b-vykon'!L$15*'T8-TaS'!E$17</f>
        <v>210276.44735736493</v>
      </c>
      <c r="F12" s="569"/>
      <c r="G12" s="570"/>
      <c r="H12" s="192">
        <f>'T6b-vykon'!AJ10*100</f>
        <v>1.7253836764289365</v>
      </c>
      <c r="I12" s="193">
        <f>'T6b-vykon'!AK10*100</f>
        <v>1.7276992916931813</v>
      </c>
      <c r="J12" s="194">
        <f t="shared" si="0"/>
        <v>178190.93161291603</v>
      </c>
      <c r="K12" s="194">
        <f t="shared" si="0"/>
        <v>500736.25228459632</v>
      </c>
      <c r="L12" s="195">
        <f t="shared" si="1"/>
        <v>678927.18389751238</v>
      </c>
      <c r="M12" s="571">
        <f t="shared" si="3"/>
        <v>902656.20173393178</v>
      </c>
      <c r="N12" s="572">
        <f t="shared" si="4"/>
        <v>0.14913104494676183</v>
      </c>
    </row>
    <row r="13" spans="1:14" x14ac:dyDescent="0.25">
      <c r="A13" s="486" t="s">
        <v>17</v>
      </c>
      <c r="B13" s="188">
        <f>'T14c-vstup_DG-ZG'!S11</f>
        <v>11393.79</v>
      </c>
      <c r="C13" s="187">
        <f t="shared" si="2"/>
        <v>493.68902822044828</v>
      </c>
      <c r="D13" s="186">
        <f>'T21-Mobility'!E12</f>
        <v>2994</v>
      </c>
      <c r="E13" s="189">
        <f>'T6b-vykon'!L11/'T6b-vykon'!L$15*'T8-TaS'!E$17</f>
        <v>8822.788001008319</v>
      </c>
      <c r="F13" s="569"/>
      <c r="G13" s="570"/>
      <c r="H13" s="192">
        <f>'T6b-vykon'!AJ11*100</f>
        <v>0.15200646491214356</v>
      </c>
      <c r="I13" s="193">
        <f>'T6b-vykon'!AK11*100</f>
        <v>0.1491841583054245</v>
      </c>
      <c r="J13" s="194">
        <f t="shared" si="0"/>
        <v>15698.63791104233</v>
      </c>
      <c r="K13" s="194">
        <f t="shared" si="0"/>
        <v>43237.799939641562</v>
      </c>
      <c r="L13" s="195">
        <f t="shared" si="1"/>
        <v>58936.437850683891</v>
      </c>
      <c r="M13" s="571">
        <f t="shared" si="3"/>
        <v>71246.914879912656</v>
      </c>
      <c r="N13" s="572">
        <f t="shared" si="4"/>
        <v>1.1770956478074744E-2</v>
      </c>
    </row>
    <row r="14" spans="1:14" x14ac:dyDescent="0.25">
      <c r="A14" s="486" t="s">
        <v>205</v>
      </c>
      <c r="B14" s="188">
        <f>'T14c-vstup_DG-ZG'!S12</f>
        <v>11341</v>
      </c>
      <c r="C14" s="187">
        <f t="shared" si="2"/>
        <v>491.40165555518428</v>
      </c>
      <c r="D14" s="186">
        <f>'T21-Mobility'!E13</f>
        <v>0</v>
      </c>
      <c r="E14" s="189">
        <f>'T6b-vykon'!L12/'T6b-vykon'!L$15*'T8-TaS'!E$17</f>
        <v>0</v>
      </c>
      <c r="F14" s="569"/>
      <c r="G14" s="570"/>
      <c r="H14" s="192">
        <f>'T6b-vykon'!AJ12*100</f>
        <v>0</v>
      </c>
      <c r="I14" s="193">
        <f>'T6b-vykon'!AK12*100</f>
        <v>0</v>
      </c>
      <c r="J14" s="194">
        <f t="shared" si="0"/>
        <v>0</v>
      </c>
      <c r="K14" s="194">
        <f t="shared" si="0"/>
        <v>0</v>
      </c>
      <c r="L14" s="195">
        <f t="shared" si="1"/>
        <v>0</v>
      </c>
      <c r="M14" s="571">
        <f t="shared" si="3"/>
        <v>491.40165555518428</v>
      </c>
      <c r="N14" s="572">
        <f t="shared" si="4"/>
        <v>8.1186217123132805E-5</v>
      </c>
    </row>
    <row r="15" spans="1:14" x14ac:dyDescent="0.25">
      <c r="A15" s="517" t="s">
        <v>64</v>
      </c>
      <c r="B15" s="188">
        <f>'T14c-vstup_DG-ZG'!S13</f>
        <v>1761457.04</v>
      </c>
      <c r="C15" s="187">
        <f t="shared" si="2"/>
        <v>76323.331773682599</v>
      </c>
      <c r="D15" s="186">
        <f>'T21-Mobility'!E14</f>
        <v>0</v>
      </c>
      <c r="E15" s="189">
        <f>'T6b-vykon'!L13/'T6b-vykon'!L$15*'T8-TaS'!E$17</f>
        <v>0</v>
      </c>
      <c r="F15" s="573">
        <v>92755</v>
      </c>
      <c r="G15" s="574">
        <v>100000</v>
      </c>
      <c r="H15" s="192">
        <f>'T6b-vykon'!AJ13*100</f>
        <v>0</v>
      </c>
      <c r="I15" s="193">
        <f>'T6b-vykon'!AK13*100</f>
        <v>0</v>
      </c>
      <c r="J15" s="194">
        <f t="shared" si="0"/>
        <v>0</v>
      </c>
      <c r="K15" s="194">
        <v>0</v>
      </c>
      <c r="L15" s="195">
        <f t="shared" si="1"/>
        <v>0</v>
      </c>
      <c r="M15" s="571">
        <f t="shared" si="3"/>
        <v>76323.331773682599</v>
      </c>
      <c r="N15" s="572">
        <f t="shared" si="4"/>
        <v>1.2609649387400654E-2</v>
      </c>
    </row>
    <row r="16" spans="1:14" ht="15.75" thickBot="1" x14ac:dyDescent="0.3">
      <c r="A16" s="518" t="s">
        <v>2</v>
      </c>
      <c r="B16" s="332">
        <f>SUM(B6:B15)</f>
        <v>3176946.85</v>
      </c>
      <c r="C16" s="580">
        <f>SUM(C6:C15)</f>
        <v>137656.02166482917</v>
      </c>
      <c r="D16" s="180">
        <f t="shared" ref="D16:G16" si="5">SUM(D6:D15)</f>
        <v>88538</v>
      </c>
      <c r="E16" s="181">
        <f t="shared" si="5"/>
        <v>1552810.6881774641</v>
      </c>
      <c r="F16" s="332">
        <f t="shared" si="5"/>
        <v>92755</v>
      </c>
      <c r="G16" s="580">
        <f t="shared" si="5"/>
        <v>100000</v>
      </c>
      <c r="H16" s="111">
        <f>SUM(H6:H15)</f>
        <v>11.338206590213716</v>
      </c>
      <c r="I16" s="111">
        <f>SUM(I6:I15)</f>
        <v>10.705650851352413</v>
      </c>
      <c r="J16" s="180">
        <f t="shared" ref="J16:M16" si="6">SUM(J6:J15)</f>
        <v>1170965.9843957024</v>
      </c>
      <c r="K16" s="180">
        <f t="shared" si="6"/>
        <v>3102801.2289800746</v>
      </c>
      <c r="L16" s="181">
        <f t="shared" si="6"/>
        <v>4273767.2133757761</v>
      </c>
      <c r="M16" s="1001">
        <f t="shared" si="6"/>
        <v>6052771.9232180687</v>
      </c>
      <c r="N16" s="578">
        <f t="shared" ref="N16" si="7">SUM(N6:N15)</f>
        <v>1.0000000000000002</v>
      </c>
    </row>
    <row r="17" spans="1:14" s="197" customFormat="1" ht="24.75" customHeight="1" thickBot="1" x14ac:dyDescent="0.3">
      <c r="A17" s="206" t="s">
        <v>90</v>
      </c>
      <c r="B17" s="196">
        <v>27694707.730000004</v>
      </c>
      <c r="C17" s="196">
        <v>1200000</v>
      </c>
      <c r="D17" s="196">
        <v>1000000</v>
      </c>
      <c r="E17" s="196">
        <v>5000000</v>
      </c>
      <c r="F17" s="196">
        <v>5225696</v>
      </c>
      <c r="G17" s="196">
        <v>2000000</v>
      </c>
      <c r="H17" s="196">
        <v>100.00000000000001</v>
      </c>
      <c r="I17" s="196">
        <v>99.999999999999986</v>
      </c>
      <c r="J17" s="196">
        <v>10327612</v>
      </c>
      <c r="K17" s="196">
        <v>28982836</v>
      </c>
      <c r="L17" s="196">
        <v>39310448</v>
      </c>
      <c r="M17" s="196">
        <v>53736144</v>
      </c>
      <c r="N17" s="790">
        <f>M16-F16-G16</f>
        <v>5860016.9232180687</v>
      </c>
    </row>
    <row r="18" spans="1:14" ht="7.5" customHeight="1" x14ac:dyDescent="0.25">
      <c r="B18" s="152"/>
      <c r="C18" s="152"/>
      <c r="D18" s="152"/>
      <c r="E18" s="152"/>
      <c r="G18" s="109"/>
      <c r="H18" s="109"/>
      <c r="I18" s="109"/>
      <c r="J18" s="109"/>
      <c r="K18" s="109"/>
      <c r="L18" s="109"/>
    </row>
    <row r="19" spans="1:14" x14ac:dyDescent="0.25">
      <c r="C19" s="109"/>
    </row>
    <row r="20" spans="1:14" x14ac:dyDescent="0.25">
      <c r="C20" s="109"/>
    </row>
    <row r="22" spans="1:14" ht="15.75" thickBot="1" x14ac:dyDescent="0.3">
      <c r="A22" s="1" t="s">
        <v>270</v>
      </c>
    </row>
    <row r="23" spans="1:14" x14ac:dyDescent="0.25">
      <c r="A23" s="510" t="s">
        <v>2</v>
      </c>
      <c r="B23" s="560">
        <f>B5-B39</f>
        <v>-287209.64999999991</v>
      </c>
      <c r="C23" s="559">
        <f t="shared" ref="C23:N23" si="8">C5-C39</f>
        <v>-19987</v>
      </c>
      <c r="D23" s="560">
        <f t="shared" si="8"/>
        <v>1334</v>
      </c>
      <c r="E23" s="559">
        <f t="shared" si="8"/>
        <v>108693</v>
      </c>
      <c r="F23" s="558">
        <f t="shared" si="8"/>
        <v>-811</v>
      </c>
      <c r="G23" s="566">
        <f t="shared" si="8"/>
        <v>0</v>
      </c>
      <c r="H23" s="585">
        <f t="shared" si="8"/>
        <v>7.3206590213715117E-2</v>
      </c>
      <c r="I23" s="564">
        <f t="shared" si="8"/>
        <v>0.11565085135241304</v>
      </c>
      <c r="J23" s="565">
        <f t="shared" si="8"/>
        <v>95414.5</v>
      </c>
      <c r="K23" s="565">
        <f t="shared" si="8"/>
        <v>-123853.5</v>
      </c>
      <c r="L23" s="562">
        <f t="shared" si="8"/>
        <v>-28439</v>
      </c>
      <c r="M23" s="588">
        <f t="shared" si="8"/>
        <v>-131965</v>
      </c>
      <c r="N23" s="568">
        <f t="shared" si="8"/>
        <v>0</v>
      </c>
    </row>
    <row r="24" spans="1:14" x14ac:dyDescent="0.25">
      <c r="A24" s="486" t="s">
        <v>6</v>
      </c>
      <c r="B24" s="188">
        <f t="shared" ref="B24:N24" si="9">B6-B40</f>
        <v>-66064</v>
      </c>
      <c r="C24" s="187">
        <f t="shared" si="9"/>
        <v>-3273.9464467533653</v>
      </c>
      <c r="D24" s="188">
        <f t="shared" si="9"/>
        <v>-8</v>
      </c>
      <c r="E24" s="187">
        <f t="shared" si="9"/>
        <v>-10908.730274766815</v>
      </c>
      <c r="F24" s="581"/>
      <c r="G24" s="583"/>
      <c r="H24" s="586">
        <f t="shared" si="9"/>
        <v>-7.7774660857194977E-3</v>
      </c>
      <c r="I24" s="193">
        <f t="shared" si="9"/>
        <v>1.9414545184504028E-3</v>
      </c>
      <c r="J24" s="194">
        <f t="shared" si="9"/>
        <v>8139.701255736014</v>
      </c>
      <c r="K24" s="194">
        <f t="shared" si="9"/>
        <v>-13835.312875906588</v>
      </c>
      <c r="L24" s="230">
        <f t="shared" si="9"/>
        <v>-5695.6116201705881</v>
      </c>
      <c r="M24" s="589">
        <f t="shared" si="9"/>
        <v>-19886.288341690728</v>
      </c>
      <c r="N24" s="572">
        <f t="shared" si="9"/>
        <v>-1.40239501520599E-3</v>
      </c>
    </row>
    <row r="25" spans="1:14" x14ac:dyDescent="0.25">
      <c r="A25" s="486" t="s">
        <v>3</v>
      </c>
      <c r="B25" s="188">
        <f t="shared" ref="B25:N25" si="10">B7-B41</f>
        <v>-5520</v>
      </c>
      <c r="C25" s="187">
        <f t="shared" si="10"/>
        <v>-393.03448029758601</v>
      </c>
      <c r="D25" s="188">
        <f t="shared" si="10"/>
        <v>-842</v>
      </c>
      <c r="E25" s="187">
        <f t="shared" si="10"/>
        <v>73541.759852113319</v>
      </c>
      <c r="F25" s="581"/>
      <c r="G25" s="583"/>
      <c r="H25" s="586">
        <f t="shared" si="10"/>
        <v>6.0787906439755179E-2</v>
      </c>
      <c r="I25" s="193">
        <f t="shared" si="10"/>
        <v>7.8473072400733646E-2</v>
      </c>
      <c r="J25" s="194">
        <f t="shared" si="10"/>
        <v>22348.791278557474</v>
      </c>
      <c r="K25" s="194">
        <f t="shared" si="10"/>
        <v>-7230.5605921313399</v>
      </c>
      <c r="L25" s="230">
        <f t="shared" si="10"/>
        <v>15118.230686426163</v>
      </c>
      <c r="M25" s="589">
        <f t="shared" si="10"/>
        <v>87424.956058241893</v>
      </c>
      <c r="N25" s="572">
        <f t="shared" si="10"/>
        <v>1.8414407894608964E-2</v>
      </c>
    </row>
    <row r="26" spans="1:14" x14ac:dyDescent="0.25">
      <c r="A26" s="486" t="s">
        <v>5</v>
      </c>
      <c r="B26" s="188">
        <f t="shared" ref="B26:N26" si="11">B8-B42</f>
        <v>32122.280000000028</v>
      </c>
      <c r="C26" s="187">
        <f t="shared" si="11"/>
        <v>662.74369239147381</v>
      </c>
      <c r="D26" s="188">
        <f t="shared" si="11"/>
        <v>4604</v>
      </c>
      <c r="E26" s="187">
        <f t="shared" si="11"/>
        <v>12784.106881774642</v>
      </c>
      <c r="F26" s="581"/>
      <c r="G26" s="583"/>
      <c r="H26" s="586">
        <f t="shared" si="11"/>
        <v>6.9728508353652519E-2</v>
      </c>
      <c r="I26" s="193">
        <f t="shared" si="11"/>
        <v>7.8413326871892064E-2</v>
      </c>
      <c r="J26" s="194">
        <f t="shared" si="11"/>
        <v>22362.194161238032</v>
      </c>
      <c r="K26" s="194">
        <f t="shared" si="11"/>
        <v>-336.26107185386354</v>
      </c>
      <c r="L26" s="230">
        <f t="shared" si="11"/>
        <v>22025.933089384111</v>
      </c>
      <c r="M26" s="589">
        <f t="shared" si="11"/>
        <v>40076.783663550159</v>
      </c>
      <c r="N26" s="572">
        <f t="shared" si="11"/>
        <v>9.7703468906945312E-3</v>
      </c>
    </row>
    <row r="27" spans="1:14" x14ac:dyDescent="0.25">
      <c r="A27" s="486" t="s">
        <v>7</v>
      </c>
      <c r="B27" s="188">
        <f t="shared" ref="B27:N27" si="12">B9-B43</f>
        <v>-9447</v>
      </c>
      <c r="C27" s="187">
        <f t="shared" si="12"/>
        <v>-450.47208230524302</v>
      </c>
      <c r="D27" s="188">
        <f t="shared" si="12"/>
        <v>206</v>
      </c>
      <c r="E27" s="187">
        <f t="shared" si="12"/>
        <v>59479.802789681533</v>
      </c>
      <c r="F27" s="581"/>
      <c r="G27" s="583"/>
      <c r="H27" s="586">
        <f t="shared" si="12"/>
        <v>3.1861288480125038E-2</v>
      </c>
      <c r="I27" s="193">
        <f t="shared" si="12"/>
        <v>3.6272812756861672E-2</v>
      </c>
      <c r="J27" s="194">
        <f t="shared" si="12"/>
        <v>12766.687004660998</v>
      </c>
      <c r="K27" s="194">
        <f t="shared" si="12"/>
        <v>-7606.7507197440136</v>
      </c>
      <c r="L27" s="230">
        <f t="shared" si="12"/>
        <v>5159.9362849169993</v>
      </c>
      <c r="M27" s="589">
        <f t="shared" si="12"/>
        <v>64395.266992293182</v>
      </c>
      <c r="N27" s="572">
        <f t="shared" si="12"/>
        <v>1.3022639045379675E-2</v>
      </c>
    </row>
    <row r="28" spans="1:14" x14ac:dyDescent="0.25">
      <c r="A28" s="486" t="s">
        <v>0</v>
      </c>
      <c r="B28" s="188">
        <f t="shared" ref="B28:N28" si="13">B10-B44</f>
        <v>378172</v>
      </c>
      <c r="C28" s="187">
        <f t="shared" si="13"/>
        <v>15993.269614163946</v>
      </c>
      <c r="D28" s="188">
        <f t="shared" si="13"/>
        <v>-1105</v>
      </c>
      <c r="E28" s="187">
        <f t="shared" si="13"/>
        <v>-4448.7175867574406</v>
      </c>
      <c r="F28" s="581"/>
      <c r="G28" s="583"/>
      <c r="H28" s="586">
        <f t="shared" si="13"/>
        <v>-9.7645521740834518E-3</v>
      </c>
      <c r="I28" s="193">
        <f t="shared" si="13"/>
        <v>-1.1351763161546291E-2</v>
      </c>
      <c r="J28" s="194">
        <f t="shared" si="13"/>
        <v>15703.284305826004</v>
      </c>
      <c r="K28" s="194">
        <f t="shared" si="13"/>
        <v>-34356.40935303166</v>
      </c>
      <c r="L28" s="230">
        <f t="shared" si="13"/>
        <v>-18653.125047205715</v>
      </c>
      <c r="M28" s="589">
        <f t="shared" si="13"/>
        <v>-8213.5730197993107</v>
      </c>
      <c r="N28" s="572">
        <f t="shared" si="13"/>
        <v>2.712373813235941E-3</v>
      </c>
    </row>
    <row r="29" spans="1:14" x14ac:dyDescent="0.25">
      <c r="A29" s="486" t="s">
        <v>1</v>
      </c>
      <c r="B29" s="188">
        <f t="shared" ref="B29:N29" si="14">B11-B45</f>
        <v>-33252.259999999995</v>
      </c>
      <c r="C29" s="187">
        <f t="shared" si="14"/>
        <v>-1719.5199192919617</v>
      </c>
      <c r="D29" s="188">
        <f t="shared" si="14"/>
        <v>-982</v>
      </c>
      <c r="E29" s="187">
        <f t="shared" si="14"/>
        <v>4830.2311570456222</v>
      </c>
      <c r="F29" s="581"/>
      <c r="G29" s="583"/>
      <c r="H29" s="586">
        <f t="shared" si="14"/>
        <v>-5.7718701560408037E-2</v>
      </c>
      <c r="I29" s="193">
        <f t="shared" si="14"/>
        <v>-5.0732962952961813E-2</v>
      </c>
      <c r="J29" s="194">
        <f t="shared" si="14"/>
        <v>780.47763084403414</v>
      </c>
      <c r="K29" s="194">
        <f t="shared" si="14"/>
        <v>-27305.695039458195</v>
      </c>
      <c r="L29" s="230">
        <f t="shared" si="14"/>
        <v>-26525.217408614175</v>
      </c>
      <c r="M29" s="589">
        <f t="shared" si="14"/>
        <v>-24396.506170860492</v>
      </c>
      <c r="N29" s="572">
        <f t="shared" si="14"/>
        <v>-2.3446823597019772E-3</v>
      </c>
    </row>
    <row r="30" spans="1:14" x14ac:dyDescent="0.25">
      <c r="A30" s="486" t="s">
        <v>4</v>
      </c>
      <c r="B30" s="188">
        <f t="shared" ref="B30:N30" si="15">B12-B46</f>
        <v>65312</v>
      </c>
      <c r="C30" s="187">
        <f t="shared" si="15"/>
        <v>2591.2861500577865</v>
      </c>
      <c r="D30" s="188">
        <f t="shared" si="15"/>
        <v>864</v>
      </c>
      <c r="E30" s="187">
        <f t="shared" si="15"/>
        <v>-20985.55264263507</v>
      </c>
      <c r="F30" s="581"/>
      <c r="G30" s="583"/>
      <c r="H30" s="586">
        <f t="shared" si="15"/>
        <v>-5.3288193946519069E-3</v>
      </c>
      <c r="I30" s="193">
        <f t="shared" si="15"/>
        <v>-1.1837779161457007E-2</v>
      </c>
      <c r="J30" s="194">
        <f t="shared" si="15"/>
        <v>12947.219144935196</v>
      </c>
      <c r="K30" s="194">
        <f t="shared" si="15"/>
        <v>-29281.228129939758</v>
      </c>
      <c r="L30" s="230">
        <f t="shared" si="15"/>
        <v>-16334.008985004504</v>
      </c>
      <c r="M30" s="589">
        <f t="shared" si="15"/>
        <v>-33864.27547758189</v>
      </c>
      <c r="N30" s="572">
        <f t="shared" si="15"/>
        <v>-2.2934177606279416E-3</v>
      </c>
    </row>
    <row r="31" spans="1:14" x14ac:dyDescent="0.25">
      <c r="A31" s="486" t="s">
        <v>17</v>
      </c>
      <c r="B31" s="188">
        <f t="shared" ref="B31:N31" si="16">B13-B47</f>
        <v>-64682.21</v>
      </c>
      <c r="C31" s="187">
        <f t="shared" si="16"/>
        <v>-2968.2938813251958</v>
      </c>
      <c r="D31" s="188">
        <f t="shared" si="16"/>
        <v>-1403</v>
      </c>
      <c r="E31" s="187">
        <f t="shared" si="16"/>
        <v>-5600.211998991681</v>
      </c>
      <c r="F31" s="581"/>
      <c r="G31" s="583"/>
      <c r="H31" s="586">
        <f t="shared" si="16"/>
        <v>-8.5815738449563361E-3</v>
      </c>
      <c r="I31" s="193">
        <f t="shared" si="16"/>
        <v>-5.5273099195572439E-3</v>
      </c>
      <c r="J31" s="194">
        <f t="shared" si="16"/>
        <v>366.12961390456439</v>
      </c>
      <c r="K31" s="194">
        <f t="shared" si="16"/>
        <v>-3901.0532378602657</v>
      </c>
      <c r="L31" s="230">
        <f t="shared" si="16"/>
        <v>-3534.9236239556994</v>
      </c>
      <c r="M31" s="589">
        <f t="shared" si="16"/>
        <v>-13506.429504272586</v>
      </c>
      <c r="N31" s="572">
        <f t="shared" si="16"/>
        <v>-1.9326730188925882E-3</v>
      </c>
    </row>
    <row r="32" spans="1:14" x14ac:dyDescent="0.25">
      <c r="A32" s="486" t="s">
        <v>205</v>
      </c>
      <c r="B32" s="188">
        <f t="shared" ref="B32:N32" si="17">B14-B48</f>
        <v>-15843</v>
      </c>
      <c r="C32" s="187">
        <f t="shared" si="17"/>
        <v>-745.65790873695505</v>
      </c>
      <c r="D32" s="188">
        <f t="shared" si="17"/>
        <v>0</v>
      </c>
      <c r="E32" s="187">
        <f t="shared" si="17"/>
        <v>0</v>
      </c>
      <c r="F32" s="581"/>
      <c r="G32" s="583"/>
      <c r="H32" s="586">
        <f t="shared" si="17"/>
        <v>0</v>
      </c>
      <c r="I32" s="193">
        <f t="shared" si="17"/>
        <v>0</v>
      </c>
      <c r="J32" s="194">
        <f t="shared" si="17"/>
        <v>0</v>
      </c>
      <c r="K32" s="194">
        <f t="shared" si="17"/>
        <v>0</v>
      </c>
      <c r="L32" s="230">
        <f t="shared" si="17"/>
        <v>0</v>
      </c>
      <c r="M32" s="589">
        <f t="shared" si="17"/>
        <v>-745.65790873695505</v>
      </c>
      <c r="N32" s="572">
        <f t="shared" si="17"/>
        <v>-1.1883191853763003E-4</v>
      </c>
    </row>
    <row r="33" spans="1:14" x14ac:dyDescent="0.25">
      <c r="A33" s="517" t="s">
        <v>64</v>
      </c>
      <c r="B33" s="188">
        <f t="shared" ref="B33:N33" si="18">B15-B49</f>
        <v>-568006.96</v>
      </c>
      <c r="C33" s="187">
        <f t="shared" si="18"/>
        <v>-29683.353073073726</v>
      </c>
      <c r="D33" s="188">
        <f t="shared" si="18"/>
        <v>0</v>
      </c>
      <c r="E33" s="187">
        <f t="shared" si="18"/>
        <v>0</v>
      </c>
      <c r="F33" s="582">
        <f t="shared" si="18"/>
        <v>-811</v>
      </c>
      <c r="G33" s="593">
        <f t="shared" si="18"/>
        <v>0</v>
      </c>
      <c r="H33" s="586">
        <f t="shared" si="18"/>
        <v>0</v>
      </c>
      <c r="I33" s="193">
        <f t="shared" si="18"/>
        <v>0</v>
      </c>
      <c r="J33" s="194">
        <f t="shared" si="18"/>
        <v>0</v>
      </c>
      <c r="K33" s="194">
        <f t="shared" si="18"/>
        <v>0</v>
      </c>
      <c r="L33" s="230">
        <f t="shared" si="18"/>
        <v>0</v>
      </c>
      <c r="M33" s="589">
        <f t="shared" si="18"/>
        <v>-223249.35307307373</v>
      </c>
      <c r="N33" s="575">
        <f t="shared" si="18"/>
        <v>-3.5827767570952844E-2</v>
      </c>
    </row>
    <row r="34" spans="1:14" ht="15.75" thickBot="1" x14ac:dyDescent="0.3">
      <c r="A34" s="258" t="s">
        <v>2</v>
      </c>
      <c r="B34" s="332">
        <f>SUM(B24:B33)</f>
        <v>-287209.14999999997</v>
      </c>
      <c r="C34" s="580">
        <f>SUM(C24:C33)</f>
        <v>-19986.978335170825</v>
      </c>
      <c r="D34" s="332">
        <f t="shared" ref="D34:G34" si="19">SUM(D24:D33)</f>
        <v>1334</v>
      </c>
      <c r="E34" s="580">
        <f t="shared" si="19"/>
        <v>108692.68817746411</v>
      </c>
      <c r="F34" s="576">
        <f t="shared" si="19"/>
        <v>-811</v>
      </c>
      <c r="G34" s="584">
        <f t="shared" si="19"/>
        <v>0</v>
      </c>
      <c r="H34" s="587">
        <f>SUM(H24:H33)</f>
        <v>7.3206590213713507E-2</v>
      </c>
      <c r="I34" s="577">
        <f>SUM(I24:I33)</f>
        <v>0.11565085135241543</v>
      </c>
      <c r="J34" s="576">
        <f t="shared" ref="J34:N34" si="20">SUM(J24:J33)</f>
        <v>95414.484395702311</v>
      </c>
      <c r="K34" s="576">
        <f t="shared" si="20"/>
        <v>-123853.27101992568</v>
      </c>
      <c r="L34" s="580">
        <f t="shared" si="20"/>
        <v>-28438.786624223409</v>
      </c>
      <c r="M34" s="584">
        <f t="shared" si="20"/>
        <v>-131965.07678193046</v>
      </c>
      <c r="N34" s="578">
        <f t="shared" si="20"/>
        <v>1.3877787807814457E-16</v>
      </c>
    </row>
    <row r="38" spans="1:14" ht="15.75" thickBot="1" x14ac:dyDescent="0.3">
      <c r="A38" s="50" t="s">
        <v>229</v>
      </c>
    </row>
    <row r="39" spans="1:14" x14ac:dyDescent="0.25">
      <c r="A39" s="510" t="s">
        <v>2</v>
      </c>
      <c r="B39" s="560">
        <v>3464156</v>
      </c>
      <c r="C39" s="559">
        <v>157643</v>
      </c>
      <c r="D39" s="558">
        <v>87204</v>
      </c>
      <c r="E39" s="561">
        <v>1444118</v>
      </c>
      <c r="F39" s="560">
        <v>93566</v>
      </c>
      <c r="G39" s="562">
        <v>100000</v>
      </c>
      <c r="H39" s="563">
        <v>11.265000000000001</v>
      </c>
      <c r="I39" s="564">
        <v>10.59</v>
      </c>
      <c r="J39" s="565">
        <v>1075551.5</v>
      </c>
      <c r="K39" s="565">
        <v>3226654.5</v>
      </c>
      <c r="L39" s="566">
        <f t="shared" ref="L39:L49" si="21">K39+J39</f>
        <v>4302206</v>
      </c>
      <c r="M39" s="567">
        <f t="shared" ref="M39:M49" si="22">C39+D39+F39+G39+L39+E39</f>
        <v>6184737</v>
      </c>
      <c r="N39" s="590">
        <v>1</v>
      </c>
    </row>
    <row r="40" spans="1:14" x14ac:dyDescent="0.25">
      <c r="A40" s="486" t="s">
        <v>6</v>
      </c>
      <c r="B40" s="188">
        <v>188962</v>
      </c>
      <c r="C40" s="187">
        <v>8599.0748009038853</v>
      </c>
      <c r="D40" s="186">
        <v>14191</v>
      </c>
      <c r="E40" s="189">
        <v>106699</v>
      </c>
      <c r="F40" s="569"/>
      <c r="G40" s="570"/>
      <c r="H40" s="192">
        <v>1.1466989642499166</v>
      </c>
      <c r="I40" s="193">
        <v>0.9688805697589481</v>
      </c>
      <c r="J40" s="194">
        <v>109483.69205924937</v>
      </c>
      <c r="K40" s="194">
        <v>295207.06802410522</v>
      </c>
      <c r="L40" s="195">
        <f t="shared" si="21"/>
        <v>404690.7600833546</v>
      </c>
      <c r="M40" s="571">
        <f t="shared" si="22"/>
        <v>534179.83488425845</v>
      </c>
      <c r="N40" s="591">
        <f>M40/(M$50)</f>
        <v>8.6370662953696886E-2</v>
      </c>
    </row>
    <row r="41" spans="1:14" x14ac:dyDescent="0.25">
      <c r="A41" s="486" t="s">
        <v>3</v>
      </c>
      <c r="B41" s="188">
        <v>70665</v>
      </c>
      <c r="C41" s="187">
        <v>3215.7450747021785</v>
      </c>
      <c r="D41" s="186">
        <v>12702</v>
      </c>
      <c r="E41" s="189">
        <v>299116</v>
      </c>
      <c r="F41" s="569"/>
      <c r="G41" s="570"/>
      <c r="H41" s="192">
        <v>2.060670731707317</v>
      </c>
      <c r="I41" s="193">
        <v>2.0170507669831994</v>
      </c>
      <c r="J41" s="194">
        <v>196747.2256097561</v>
      </c>
      <c r="K41" s="194">
        <v>614572.79830168001</v>
      </c>
      <c r="L41" s="195">
        <f t="shared" si="21"/>
        <v>811320.02391143609</v>
      </c>
      <c r="M41" s="571">
        <f t="shared" si="22"/>
        <v>1126353.7689861383</v>
      </c>
      <c r="N41" s="591">
        <f t="shared" ref="N41:N49" si="23">M41/(M$50)</f>
        <v>0.18211829686309025</v>
      </c>
    </row>
    <row r="42" spans="1:14" x14ac:dyDescent="0.25">
      <c r="A42" s="486" t="s">
        <v>5</v>
      </c>
      <c r="B42" s="188">
        <v>334875</v>
      </c>
      <c r="C42" s="187">
        <v>15239.12307211338</v>
      </c>
      <c r="D42" s="186">
        <v>16865</v>
      </c>
      <c r="E42" s="189">
        <v>202744</v>
      </c>
      <c r="F42" s="569"/>
      <c r="G42" s="570"/>
      <c r="H42" s="192">
        <v>1.9439934847978617</v>
      </c>
      <c r="I42" s="193">
        <v>1.5519494156318481</v>
      </c>
      <c r="J42" s="194">
        <v>185607.20005011692</v>
      </c>
      <c r="K42" s="194">
        <v>472861.62093681516</v>
      </c>
      <c r="L42" s="195">
        <f t="shared" si="21"/>
        <v>658468.82098693214</v>
      </c>
      <c r="M42" s="571">
        <f t="shared" si="22"/>
        <v>893316.94405904552</v>
      </c>
      <c r="N42" s="591">
        <f t="shared" si="23"/>
        <v>0.14443895416394351</v>
      </c>
    </row>
    <row r="43" spans="1:14" x14ac:dyDescent="0.25">
      <c r="A43" s="486" t="s">
        <v>7</v>
      </c>
      <c r="B43" s="188">
        <v>18894</v>
      </c>
      <c r="C43" s="187">
        <v>859.80736491081802</v>
      </c>
      <c r="D43" s="186">
        <v>4228</v>
      </c>
      <c r="E43" s="189">
        <v>183567</v>
      </c>
      <c r="F43" s="569"/>
      <c r="G43" s="570"/>
      <c r="H43" s="192">
        <v>1.215074340126963</v>
      </c>
      <c r="I43" s="193">
        <v>1.2193197589481373</v>
      </c>
      <c r="J43" s="194">
        <v>116011.98660764005</v>
      </c>
      <c r="K43" s="194">
        <v>371513.08660518628</v>
      </c>
      <c r="L43" s="195">
        <f t="shared" si="21"/>
        <v>487525.07321282633</v>
      </c>
      <c r="M43" s="571">
        <f t="shared" si="22"/>
        <v>676179.88057773723</v>
      </c>
      <c r="N43" s="591">
        <f t="shared" si="23"/>
        <v>0.10933041786218836</v>
      </c>
    </row>
    <row r="44" spans="1:14" x14ac:dyDescent="0.25">
      <c r="A44" s="486" t="s">
        <v>0</v>
      </c>
      <c r="B44" s="188">
        <v>180409</v>
      </c>
      <c r="C44" s="187">
        <v>8209.8542868739169</v>
      </c>
      <c r="D44" s="186">
        <v>17611</v>
      </c>
      <c r="E44" s="189">
        <v>286988</v>
      </c>
      <c r="F44" s="569"/>
      <c r="G44" s="570"/>
      <c r="H44" s="192">
        <v>2.1428466421650518</v>
      </c>
      <c r="I44" s="193">
        <v>2.0905387143900658</v>
      </c>
      <c r="J44" s="194">
        <v>204593.15758993206</v>
      </c>
      <c r="K44" s="194">
        <v>636963.75356099347</v>
      </c>
      <c r="L44" s="195">
        <f t="shared" si="21"/>
        <v>841556.91115092556</v>
      </c>
      <c r="M44" s="571">
        <f t="shared" si="22"/>
        <v>1154365.7654377995</v>
      </c>
      <c r="N44" s="591">
        <f t="shared" si="23"/>
        <v>0.1866475107086687</v>
      </c>
    </row>
    <row r="45" spans="1:14" x14ac:dyDescent="0.25">
      <c r="A45" s="486" t="s">
        <v>1</v>
      </c>
      <c r="B45" s="188">
        <v>128011</v>
      </c>
      <c r="C45" s="187">
        <v>5825.3837509049827</v>
      </c>
      <c r="D45" s="186">
        <v>12201</v>
      </c>
      <c r="E45" s="189">
        <v>119319</v>
      </c>
      <c r="F45" s="569"/>
      <c r="G45" s="570"/>
      <c r="H45" s="192">
        <v>0.86441530237220188</v>
      </c>
      <c r="I45" s="193">
        <v>0.84801223520818114</v>
      </c>
      <c r="J45" s="194">
        <v>82532.017318186874</v>
      </c>
      <c r="K45" s="194">
        <v>258379.83897918189</v>
      </c>
      <c r="L45" s="195">
        <f t="shared" si="21"/>
        <v>340911.85629736877</v>
      </c>
      <c r="M45" s="571">
        <f t="shared" si="22"/>
        <v>478257.24004827376</v>
      </c>
      <c r="N45" s="591">
        <f t="shared" si="23"/>
        <v>7.7328630150040947E-2</v>
      </c>
    </row>
    <row r="46" spans="1:14" x14ac:dyDescent="0.25">
      <c r="A46" s="486" t="s">
        <v>4</v>
      </c>
      <c r="B46" s="188">
        <v>109616</v>
      </c>
      <c r="C46" s="187">
        <v>4988.2843289967313</v>
      </c>
      <c r="D46" s="186">
        <v>5009</v>
      </c>
      <c r="E46" s="189">
        <v>231262</v>
      </c>
      <c r="F46" s="569"/>
      <c r="G46" s="570"/>
      <c r="H46" s="192">
        <v>1.7307124958235884</v>
      </c>
      <c r="I46" s="193">
        <v>1.7395370708546383</v>
      </c>
      <c r="J46" s="194">
        <v>165243.71246798083</v>
      </c>
      <c r="K46" s="194">
        <v>530017.48041453608</v>
      </c>
      <c r="L46" s="195">
        <f t="shared" si="21"/>
        <v>695261.19288251689</v>
      </c>
      <c r="M46" s="571">
        <f t="shared" si="22"/>
        <v>936520.47721151367</v>
      </c>
      <c r="N46" s="591">
        <f t="shared" si="23"/>
        <v>0.15142446270738977</v>
      </c>
    </row>
    <row r="47" spans="1:14" x14ac:dyDescent="0.25">
      <c r="A47" s="486" t="s">
        <v>17</v>
      </c>
      <c r="B47" s="188">
        <v>76076</v>
      </c>
      <c r="C47" s="187">
        <v>3461.9829095456439</v>
      </c>
      <c r="D47" s="186">
        <v>4397</v>
      </c>
      <c r="E47" s="189">
        <v>14423</v>
      </c>
      <c r="F47" s="569"/>
      <c r="G47" s="570"/>
      <c r="H47" s="192">
        <v>0.1605880387570999</v>
      </c>
      <c r="I47" s="193">
        <v>0.15471146822498175</v>
      </c>
      <c r="J47" s="194">
        <v>15332.508297137765</v>
      </c>
      <c r="K47" s="194">
        <v>47138.853177501827</v>
      </c>
      <c r="L47" s="195">
        <f t="shared" si="21"/>
        <v>62471.361474639591</v>
      </c>
      <c r="M47" s="571">
        <f t="shared" si="22"/>
        <v>84753.344384185242</v>
      </c>
      <c r="N47" s="591">
        <f t="shared" si="23"/>
        <v>1.3703629496967332E-2</v>
      </c>
    </row>
    <row r="48" spans="1:14" x14ac:dyDescent="0.25">
      <c r="A48" s="486" t="s">
        <v>205</v>
      </c>
      <c r="B48" s="188">
        <v>27184</v>
      </c>
      <c r="C48" s="187">
        <v>1237.0595642921394</v>
      </c>
      <c r="D48" s="186">
        <v>0</v>
      </c>
      <c r="E48" s="189">
        <v>0</v>
      </c>
      <c r="F48" s="569"/>
      <c r="G48" s="570"/>
      <c r="H48" s="192">
        <v>0</v>
      </c>
      <c r="I48" s="193">
        <v>0</v>
      </c>
      <c r="J48" s="194">
        <v>0</v>
      </c>
      <c r="K48" s="194">
        <v>0</v>
      </c>
      <c r="L48" s="195">
        <f t="shared" si="21"/>
        <v>0</v>
      </c>
      <c r="M48" s="571">
        <f t="shared" si="22"/>
        <v>1237.0595642921394</v>
      </c>
      <c r="N48" s="591">
        <f t="shared" si="23"/>
        <v>2.0001813566076284E-4</v>
      </c>
    </row>
    <row r="49" spans="1:14" x14ac:dyDescent="0.25">
      <c r="A49" s="517" t="s">
        <v>64</v>
      </c>
      <c r="B49" s="188">
        <v>2329464</v>
      </c>
      <c r="C49" s="187">
        <v>106006.68484675632</v>
      </c>
      <c r="D49" s="186">
        <v>0</v>
      </c>
      <c r="E49" s="189">
        <v>0</v>
      </c>
      <c r="F49" s="573">
        <v>93566</v>
      </c>
      <c r="G49" s="574">
        <v>100000</v>
      </c>
      <c r="H49" s="192">
        <v>0</v>
      </c>
      <c r="I49" s="193">
        <v>0</v>
      </c>
      <c r="J49" s="194">
        <v>0</v>
      </c>
      <c r="K49" s="194">
        <v>0</v>
      </c>
      <c r="L49" s="195">
        <f t="shared" si="21"/>
        <v>0</v>
      </c>
      <c r="M49" s="571">
        <f t="shared" si="22"/>
        <v>299572.68484675634</v>
      </c>
      <c r="N49" s="591">
        <f t="shared" si="23"/>
        <v>4.8437416958353498E-2</v>
      </c>
    </row>
    <row r="50" spans="1:14" ht="15.75" thickBot="1" x14ac:dyDescent="0.3">
      <c r="A50" s="258" t="s">
        <v>2</v>
      </c>
      <c r="B50" s="332">
        <f>SUM(B40:B49)</f>
        <v>3464156</v>
      </c>
      <c r="C50" s="580">
        <f>SUM(C40:C49)</f>
        <v>157643</v>
      </c>
      <c r="D50" s="576">
        <f t="shared" ref="D50:G50" si="24">SUM(D40:D49)</f>
        <v>87204</v>
      </c>
      <c r="E50" s="584">
        <f t="shared" si="24"/>
        <v>1444118</v>
      </c>
      <c r="F50" s="332">
        <f t="shared" si="24"/>
        <v>93566</v>
      </c>
      <c r="G50" s="580">
        <f t="shared" si="24"/>
        <v>100000</v>
      </c>
      <c r="H50" s="577">
        <f>SUM(H40:H49)</f>
        <v>11.265000000000001</v>
      </c>
      <c r="I50" s="577">
        <f>SUM(I40:I49)</f>
        <v>10.589999999999998</v>
      </c>
      <c r="J50" s="576">
        <f t="shared" ref="J50:N50" si="25">SUM(J40:J49)</f>
        <v>1075551.5</v>
      </c>
      <c r="K50" s="576">
        <f t="shared" si="25"/>
        <v>3226654.5</v>
      </c>
      <c r="L50" s="584">
        <f t="shared" si="25"/>
        <v>4302206</v>
      </c>
      <c r="M50" s="579">
        <f t="shared" si="25"/>
        <v>6184737</v>
      </c>
      <c r="N50" s="592">
        <f t="shared" si="25"/>
        <v>0.99999999999999989</v>
      </c>
    </row>
  </sheetData>
  <sheetProtection algorithmName="SHA-512" hashValue="tSJ/Bp9ieWuUnRtqZI99XN9IV3nILttx40rv2iqC34WFGxuAiKd6jomJSVfZc5iks/TCoiBsLlMWWAvAVban2Q==" saltValue="qPFgjfBttdUmHT9JsL7fWA==" spinCount="100000" sheet="1" objects="1" scenarios="1"/>
  <mergeCells count="8">
    <mergeCell ref="D1:E1"/>
    <mergeCell ref="H1:J1"/>
    <mergeCell ref="C2:D2"/>
    <mergeCell ref="E2:G2"/>
    <mergeCell ref="A3:A4"/>
    <mergeCell ref="B3:C3"/>
    <mergeCell ref="F3:G3"/>
    <mergeCell ref="H3:L3"/>
  </mergeCells>
  <conditionalFormatting sqref="A23:XFD34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1. RD2021</vt:lpstr>
      <vt:lpstr>2. RD rozdiel</vt:lpstr>
      <vt:lpstr>3. R-STU</vt:lpstr>
      <vt:lpstr>4. Aktivity</vt:lpstr>
      <vt:lpstr>5. TM_%</vt:lpstr>
      <vt:lpstr>T5b-studenti</vt:lpstr>
      <vt:lpstr>T6b-vykon</vt:lpstr>
      <vt:lpstr>T7-mzdy</vt:lpstr>
      <vt:lpstr>T8-TaS</vt:lpstr>
      <vt:lpstr>T11-Sumar_SD</vt:lpstr>
      <vt:lpstr>T14-VVZ</vt:lpstr>
      <vt:lpstr>T14aa-VVZ-6r</vt:lpstr>
      <vt:lpstr>T14c-vstup_DG-ZG</vt:lpstr>
      <vt:lpstr>T15-Soc_stip</vt:lpstr>
      <vt:lpstr>T16-KIVC</vt:lpstr>
      <vt:lpstr>T18-Mot_stip</vt:lpstr>
      <vt:lpstr>T20-Publik</vt:lpstr>
      <vt:lpstr>T21-Mobility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Ferino</cp:lastModifiedBy>
  <cp:lastPrinted>2021-02-13T10:27:48Z</cp:lastPrinted>
  <dcterms:created xsi:type="dcterms:W3CDTF">2021-02-12T17:09:17Z</dcterms:created>
  <dcterms:modified xsi:type="dcterms:W3CDTF">2021-04-09T16:19:53Z</dcterms:modified>
</cp:coreProperties>
</file>