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NPI">'[21]priplatky20'!$B$7</definedName>
    <definedName name="NPII">'[21]priplatky20'!$C$7</definedName>
    <definedName name="_xlnm.Print_Area" localSheetId="1">'súhrnná po AS'!$A$1:$S$114</definedName>
    <definedName name="_xlnm.Print_Area" localSheetId="0">'úpravy'!$A$1:$Q$184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<sst xmlns="http://schemas.openxmlformats.org/spreadsheetml/2006/main" count="455" uniqueCount="246">
  <si>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</si>
  <si>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</si>
  <si>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</si>
  <si>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</si>
  <si>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</si>
  <si>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</si>
  <si>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</si>
  <si>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</si>
  <si>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</si>
  <si>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</si>
  <si>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R+CUP bez účelSTU</t>
  </si>
  <si>
    <t>účel STU*/</t>
  </si>
  <si>
    <t>S T U</t>
  </si>
  <si>
    <t>Bežné a kapitálové výdavky spolu</t>
  </si>
  <si>
    <t>Bežné výdavky spolu</t>
  </si>
  <si>
    <t>BV z toho: veda a výskum</t>
  </si>
  <si>
    <t xml:space="preserve">Program  077 </t>
  </si>
  <si>
    <t>Podprogram  07712 - veda a technika</t>
  </si>
  <si>
    <t>FR do 07711</t>
  </si>
  <si>
    <t>Podprogram  077 13 - rozvoj VŠ</t>
  </si>
  <si>
    <t>0771501 - sociálne štipendiá</t>
  </si>
  <si>
    <t>ÚZ ŠDaJ</t>
  </si>
  <si>
    <t>R+CUP</t>
  </si>
  <si>
    <t>Rezerva</t>
  </si>
  <si>
    <t>STU spolu</t>
  </si>
  <si>
    <t>P/PP</t>
  </si>
  <si>
    <t>interné úpravy dotácie mimo DZ:</t>
  </si>
  <si>
    <t>interné úpravy dotácie dľa DZ:</t>
  </si>
  <si>
    <t>štip.DrŠ-nové miesta-rez.</t>
  </si>
  <si>
    <t>úpravy - vzájomné výkony vo vzdel. MP</t>
  </si>
  <si>
    <t>úpravy- vzájomné výkony vo vzd. odvody</t>
  </si>
  <si>
    <t>presun mezi programami  - odvody</t>
  </si>
  <si>
    <t>presuny z Fondu rektora -odvody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</si>
  <si>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</si>
  <si>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</si>
  <si>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</si>
  <si>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</si>
  <si>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>kv+bv</t>
  </si>
  <si>
    <t>spolu BV+KV</t>
  </si>
  <si>
    <t>kontrola celkom</t>
  </si>
  <si>
    <t>príl. č. 2</t>
  </si>
  <si>
    <t>v €</t>
  </si>
  <si>
    <t>vstupy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</si>
  <si>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</si>
  <si>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</si>
  <si>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</si>
  <si>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</si>
  <si>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</si>
  <si>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</si>
  <si>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</si>
  <si>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Kapitálové výdavky 077</t>
  </si>
  <si>
    <t>kontrola</t>
  </si>
  <si>
    <t>077 12 02 - VEGA</t>
  </si>
  <si>
    <t>077 12 05 - KEGA</t>
  </si>
  <si>
    <t xml:space="preserve">    077 11- odvody z miezd</t>
  </si>
  <si>
    <t xml:space="preserve">    077 11-TaS</t>
  </si>
  <si>
    <t xml:space="preserve">Podprogram  077 11 - VŠ vzdelávanie </t>
  </si>
  <si>
    <t xml:space="preserve">    077 11- mzdy</t>
  </si>
  <si>
    <t>Podprogram  077 15 - sociálne služby</t>
  </si>
  <si>
    <t xml:space="preserve">     077 15 03 - ŠD - odvody</t>
  </si>
  <si>
    <t xml:space="preserve">     077 15 03 - ŠD - na ubyt. študentov</t>
  </si>
  <si>
    <t>077 15 03 - kultúra,šport</t>
  </si>
  <si>
    <t>presun mezi programami  - FR</t>
  </si>
  <si>
    <t>Úpravy po AS</t>
  </si>
  <si>
    <t>presuny z Fondu rektora -mzdy</t>
  </si>
  <si>
    <t>projekty APVV</t>
  </si>
  <si>
    <t>presun mezi programami  - TaS</t>
  </si>
  <si>
    <t>CUVTIS</t>
  </si>
  <si>
    <t>UZ Technik</t>
  </si>
  <si>
    <t>Vládni štipendisti</t>
  </si>
  <si>
    <t>06K 11</t>
  </si>
  <si>
    <t>interné úpravy -VEGA</t>
  </si>
  <si>
    <t xml:space="preserve">DOTÁCIE KV SPOLU k  </t>
  </si>
  <si>
    <t>prierezové projekty</t>
  </si>
  <si>
    <t>fond obnovy</t>
  </si>
  <si>
    <t>Nerozd.účel MŠ</t>
  </si>
  <si>
    <t>Know-how centrum</t>
  </si>
  <si>
    <t>Postdoktorandský program</t>
  </si>
  <si>
    <t xml:space="preserve">0771502 - motivačné štipendiá </t>
  </si>
  <si>
    <t>k</t>
  </si>
  <si>
    <t xml:space="preserve">DOTÁCIE BV SPOLU k </t>
  </si>
  <si>
    <t xml:space="preserve">DOTÁCIE BV SPOLU PODĽA DZ                                               k </t>
  </si>
  <si>
    <t xml:space="preserve">DOTÁCIE KV SPOLU PODĽA  DZ k </t>
  </si>
  <si>
    <t>Nerozd.účel MŠ + fond obnovy</t>
  </si>
  <si>
    <t>05T 08</t>
  </si>
  <si>
    <t>021 02 03</t>
  </si>
  <si>
    <t>06K 12</t>
  </si>
  <si>
    <t>077 12 01</t>
  </si>
  <si>
    <t>077 11</t>
  </si>
  <si>
    <t>SIVVPP  energie</t>
  </si>
  <si>
    <t>Iné univerzitné aktivity</t>
  </si>
  <si>
    <t xml:space="preserve">     077 15 03 - ŠD - na prevádzku</t>
  </si>
  <si>
    <t>077 15 03 - strav. príspevok / 09606</t>
  </si>
  <si>
    <t xml:space="preserve">               077 15 03 - ŠD - mzdy</t>
  </si>
  <si>
    <t>presun do rektorátu za posk.služby - 610</t>
  </si>
  <si>
    <t>presun do rektorátu za posk.služby - 620</t>
  </si>
  <si>
    <t>presun do rektorátu za posk.služby - 630</t>
  </si>
  <si>
    <t xml:space="preserve"> á</t>
  </si>
  <si>
    <t>v tom integrátori AIS, SIVVP</t>
  </si>
  <si>
    <t>UVP</t>
  </si>
  <si>
    <t>Fak.,UM,UVP spolu</t>
  </si>
  <si>
    <t>AS</t>
  </si>
  <si>
    <t>Mladý výskumník a excelentné tímy</t>
  </si>
  <si>
    <t>Podpora študentských organizácii</t>
  </si>
  <si>
    <t xml:space="preserve">     v tom účel z MŠVVaŠ</t>
  </si>
  <si>
    <t>v tom FR</t>
  </si>
  <si>
    <t>Účel MŠVVaŠ - špičkové tímy</t>
  </si>
  <si>
    <t>podpora tímov H2020 + MVTS</t>
  </si>
  <si>
    <t>Vedec roka + najlepšia publikácia+umelecký výkon</t>
  </si>
  <si>
    <t>Projektové stredisko</t>
  </si>
  <si>
    <t>0771502 - motivačné štipendiá pre vybrané štud. odbory</t>
  </si>
  <si>
    <t>077 15 03 /0810</t>
  </si>
  <si>
    <t xml:space="preserve">         v tom:    valorizácia ŠDaJ</t>
  </si>
  <si>
    <t xml:space="preserve">        v  tom:     valorizácia ŠJ</t>
  </si>
  <si>
    <t>projekty DAAD, vládne štipendiá</t>
  </si>
  <si>
    <t>BV</t>
  </si>
  <si>
    <t>KV</t>
  </si>
  <si>
    <t>spolu</t>
  </si>
  <si>
    <t xml:space="preserve">     077 15 03 - ŠD</t>
  </si>
  <si>
    <t>077 15 03   ŠD+str.prísp. / 09606</t>
  </si>
  <si>
    <t>Stuba Green Team</t>
  </si>
  <si>
    <t>0771201 - inštituc. veda spolu        v tom:</t>
  </si>
  <si>
    <t>mladý výskumník + excelentné tímy</t>
  </si>
  <si>
    <t xml:space="preserve">077 11 </t>
  </si>
  <si>
    <t>presun medzi súčasťami, VEGA</t>
  </si>
  <si>
    <t>presun mezi programami  - mzdy</t>
  </si>
  <si>
    <t xml:space="preserve">presun mezi programami </t>
  </si>
  <si>
    <t>/v zmysle Dotačnej zmluvy/prerozdelenie prostriedkov na šport</t>
  </si>
  <si>
    <t>presun medzi súčasťami, KEGA</t>
  </si>
  <si>
    <t>presuny z CAŠ-Majstorstvá -mzdy</t>
  </si>
  <si>
    <t>presuny z CAŠ-Majstorstvá -odvody</t>
  </si>
  <si>
    <t>presuny z AS - mzdy</t>
  </si>
  <si>
    <t>presuny z AS - odvody</t>
  </si>
  <si>
    <t>077 11 / 620</t>
  </si>
  <si>
    <t>ŠD bez str.prísp.</t>
  </si>
  <si>
    <t>ÚPRAVY  DOTÁCIE  BEŽNÝCH  VÝDAVKOV  ROK 2019</t>
  </si>
  <si>
    <t>úprava na dotačnú zmluvu</t>
  </si>
  <si>
    <t>07 711/610</t>
  </si>
  <si>
    <t>077 11/620</t>
  </si>
  <si>
    <t>077 11/630</t>
  </si>
  <si>
    <t>077 15 02</t>
  </si>
  <si>
    <t>úpravy - vzájomné výkony vo vzdel. MP/2017</t>
  </si>
  <si>
    <t>úpravy- vzájomné výkony vo vzd. odvody/2017</t>
  </si>
  <si>
    <t>077 15 03</t>
  </si>
  <si>
    <t>Dodatok č. 1 -úprava platových stupníc na nové platové triedy/mzdy+odvody/</t>
  </si>
  <si>
    <t>Dodatok č. 1 -úprava platových stupníc na nové platové triedy - štipendiá doktorandov</t>
  </si>
  <si>
    <t>úpravy v zmysle Smerice rektora č. 8/2017 /mzdy+odvody/</t>
  </si>
  <si>
    <t>presun medzi súčasťami, APVV</t>
  </si>
  <si>
    <t>Dodatok č. 2 - VEGA</t>
  </si>
  <si>
    <t>Dodatok č. 2 - KEGA</t>
  </si>
  <si>
    <t xml:space="preserve">077 12 02 </t>
  </si>
  <si>
    <t>077 12 05</t>
  </si>
  <si>
    <t xml:space="preserve">Súhrnná tabuľka o rozpise dotácie STU k  </t>
  </si>
  <si>
    <t>v tom účel. z MŠ</t>
  </si>
  <si>
    <t>v tom štud.špecif.potr. MŠ</t>
  </si>
  <si>
    <t>Činnosti VR (Útvar vedy)</t>
  </si>
  <si>
    <t>Zahraničné SC vedenia STU, členské STU v medzinárodných organizáciách EUA a  SEFI, zahraničné aktivity STU (Útvar medzin.mobility štud).</t>
  </si>
  <si>
    <t>Inzercia, propag. mat. STU, PR a mediálne porad., STU na veľtrhoch, výstavách, monit. médií, corporate identity, prieskum verejnej mienky o STU (Útvar práce s verjenosťou)</t>
  </si>
  <si>
    <t>Vydavateľstvo SPEKTRUM</t>
  </si>
  <si>
    <t>Archív STU - 2. etapa digital.</t>
  </si>
  <si>
    <t>Súdne spory a poplatky</t>
  </si>
  <si>
    <t>Špičkové výkony (karent 1Q, 2Q, patent, umel.výk.)</t>
  </si>
  <si>
    <t>Špičkové tímy STU</t>
  </si>
  <si>
    <t>Knižničné liciencie a databázy</t>
  </si>
  <si>
    <t>ANSIS, MATLAB, ARL, LabView, e-Porady</t>
  </si>
  <si>
    <t xml:space="preserve"> Propag. vedy STU, market. podpora H2020, Univerzitná vedecká knižnica</t>
  </si>
  <si>
    <t>CVT - upgrade hardvéru</t>
  </si>
  <si>
    <t>InQb</t>
  </si>
  <si>
    <t>Projekt EIT</t>
  </si>
  <si>
    <t>Projekt  Digitálna koalícia, spoluúč. - odvody</t>
  </si>
  <si>
    <t>Centrum akademického športu</t>
  </si>
  <si>
    <t>Dotačná zmluva 2019_AS</t>
  </si>
  <si>
    <t>Vedec roka+najlepšia publikácia+umelecký výkon</t>
  </si>
  <si>
    <t>077 12 02</t>
  </si>
  <si>
    <t>úpravy za prorektorov- mzdy</t>
  </si>
  <si>
    <t>úpravy za prorektorov- odvody</t>
  </si>
  <si>
    <t>Projekt "STU ako líder digitálnej koalície"-odvody</t>
  </si>
  <si>
    <t>presun medzi praogramami - Digitálna koalícia</t>
  </si>
  <si>
    <t>v tom: Projekt "STU ako líder digitálnej koalície"-odvody</t>
  </si>
  <si>
    <t>interná úprava medzi pracoviskami ÚVP a R STU</t>
  </si>
  <si>
    <t>interná úprava medzi pracoviskami ÚVP a R STU - mzdy a odvody</t>
  </si>
  <si>
    <t xml:space="preserve">077 12 01 </t>
  </si>
  <si>
    <t>mat.a org.zabezp.vzdel.čin. pre STU (Útvar vzdelávania)</t>
  </si>
  <si>
    <t>INQb - úprava medzi programami</t>
  </si>
  <si>
    <t>CAŠ-presun medzi programami</t>
  </si>
  <si>
    <t>Dodatok č. 3 - VEGA</t>
  </si>
  <si>
    <t>Dodatok č. 3 - Prísppevok na rekreáciu</t>
  </si>
  <si>
    <t>077 15 03 / 08202</t>
  </si>
  <si>
    <t>Dodatok č. 4 - Kompletná rek. bokov A1-A4, ŠD Mladosť, RI 37403</t>
  </si>
  <si>
    <t>Dodatok č. 4 - Komplexná rek. izieb  blokov B1-B4 a bloku B10, ŠD Mladosť, RI 37404</t>
  </si>
  <si>
    <t>Dodatok č. 4 - Rek, blokov A9 a suterén v bloku A5-A8, ŠD Mladosť, RI 37405</t>
  </si>
  <si>
    <t>Dodatok č. 4 - Komplexná rek. ŠD Dobrovičova-rek. fasády s výmenou okien, RI 37411</t>
  </si>
  <si>
    <t>Dodatok č. 4 - Komplexná rek. ŠD Dobrovičova - rek. izieb, RI 37411</t>
  </si>
  <si>
    <t>Dodatok č. 4 - Požiarne schodisko ŠD/A, M. Uhra, Trnava, RI 39941</t>
  </si>
  <si>
    <t>fond obnovy - presun medzi programami</t>
  </si>
  <si>
    <t>Dodatok č. 5 - Odstránenie havarijnej situácie špeciálnych laboratórií, FEI, RI 40027</t>
  </si>
  <si>
    <t>Dodatok č. 5 - rek.kanalizácke a angl.dvorčekov pri ťažkých laboratóriách, SjF, RI 40052</t>
  </si>
  <si>
    <t>Dodatok č. 4 - príspevok na vycestovanie pre TECHNIK</t>
  </si>
  <si>
    <t>Dodatok č. 5 - zúčtovanie motivačných štipendií §96a, ods.1, prísm.a), rok 2019</t>
  </si>
  <si>
    <t>Dodatok č. 5 - zúčtovanie motivačných štipendií §96a, ods.1, prísm.b), rok 2018</t>
  </si>
  <si>
    <t>Dodatok č. 6 - príspevok na rekreácie - 5.,6.,7.mesiac</t>
  </si>
  <si>
    <t>Dodatok č. 6 - zvýšenie drš štipendií od 1.9.2019</t>
  </si>
  <si>
    <t>Dodatok č. 6 -úprava na nové stupnice platových taríf od 1.9.2019 (mzdy+odvody/</t>
  </si>
  <si>
    <t>presun medzi programami - integrátori AIS, SIVVP-účelové</t>
  </si>
  <si>
    <t>Dodatok č. 7 - materiálne vybavenie Materskej skôlky STU</t>
  </si>
  <si>
    <t>Dodatok č.8-požiíarne schodisko ŠD/A, M.Uhra,Trnava, RI 39941, účelová</t>
  </si>
  <si>
    <t>Dodatok č. 8 - Komplexná rek. izieb  blokov B1-B4 a bloku B10, ŠD Mladosť, RI 37404-účelová</t>
  </si>
  <si>
    <t>Dodatok č. 4 - Kompletná rek. bokov A1-A4, ŠD Mladosť, RI 37403, účelová</t>
  </si>
  <si>
    <t>Dodatok č. 4 - Komplexná rek. izieb  blokov B1-B4 a bloku B10, ŠD Mladosť, RI 37404,účelová</t>
  </si>
  <si>
    <t>Dodatok č. 4 - Rek, blokov A9 a suterén v bloku A5-A8, ŠD Mladosť, RI 37405,účelová</t>
  </si>
  <si>
    <t>Dodatok č. 4 - Komplexná rek. ŠD Dobrovičova-rek. fasády s výmenou okien, RI 37411,účelová</t>
  </si>
  <si>
    <t>Dodatok č. 4 - Komplexná rek. ŠD Dobrovičova - rek. izieb, RI 37411,účelová</t>
  </si>
  <si>
    <t>Dodatok č. 4 - Požiarne schodisko ŠD/A, M. Uhra, Trnava, RI 39941,účelová</t>
  </si>
  <si>
    <t>Dodatok č. 5 - Odstránenie havarijnej situácie špeciálnych laboratórií, FEI, RI 40027,účelová</t>
  </si>
  <si>
    <t>Dodatok č. 5 - rek.kanalizácke a angl.dvorčekov pri ťažkých laboratóriách, SjF, RI 40052,účelová</t>
  </si>
  <si>
    <t>Dodatok č.8-ZF Race CAMP 2019-medzinárodné súťaže,účelová</t>
  </si>
  <si>
    <t>Dodatok č.8-Formula ATA 2019-medzinárodné súťaže,účelová</t>
  </si>
  <si>
    <t>Dodatok č.8-Formula STUDENT Czech 2019-medzinárodné súťaže,účelová</t>
  </si>
  <si>
    <t>Dodatok č.8-Autonomous Racing Workshop-medzinárodné súťaže,účelová</t>
  </si>
  <si>
    <t>Dodatok č.8-Kircheim 2019-medzinárodné súťaže,účelová</t>
  </si>
  <si>
    <t>Dodatok č.8-FSG Driverless Starters Workshop-medzinárodné súťaže,účelová</t>
  </si>
  <si>
    <t>Dodatok č.8-príspevky na rekreáciu za 8-10/2019-účelová</t>
  </si>
  <si>
    <t>Dodatok č.8-2/0119/19-Diverzita a distribúcia druhov... VEGA-účelová</t>
  </si>
  <si>
    <t xml:space="preserve">úpravy -excelentné tímy </t>
  </si>
  <si>
    <t>Dodatok č. 9 - Komplexná rek. izieb  blokov B1-B4 a bloku B10, ŠD Mladosť, RI 37404-účelová (zdroj 131H)</t>
  </si>
  <si>
    <t>Dodatok č. 9 - Rek. Inž. Sietí, komunikácii, vonk.osvetlenia, parkovísk, ŠD Mladosť, RI 37406-účelová(zdroj 131H)</t>
  </si>
  <si>
    <t>Dodatok č. 9 - Rekonštrukcia a zateplenie strechy SD J.Hronca, BA, RI 37409-účelová(zdroj 131H)</t>
  </si>
  <si>
    <t>Dodatok č. 9 - Oprava izieb a spojovacej chodby na ŠD Mladá garda, RI 38739-účelová(zdroj 131H)</t>
  </si>
  <si>
    <t>Dodatok č. 9 - Rek. Blokov A9 a suterén v bloku A5-A8, ŠD Mladosť, BA, RI 37405-účelová(zdroj 131H)</t>
  </si>
  <si>
    <t>Dodatok č. 9 -Rek. OST v bloku A6 a B9 na ŠD Mladosť, RI 37426-účelová(zdroj 131H)</t>
  </si>
  <si>
    <t>rekreačný poplatok</t>
  </si>
  <si>
    <t>Dodatok č.8-predpoklad potreby -príspevky na rekreáciu za 11-12/2019-účelová</t>
  </si>
  <si>
    <t>Dodatok č.9-rozvojový projekt na podporu zapojenia sa do in.Europ.univ.</t>
  </si>
  <si>
    <t>Dodatok č.9-dofinancovanie vzdelávacej činnosti</t>
  </si>
  <si>
    <t>077 13</t>
  </si>
  <si>
    <t>Dodatok č. 9 - komplexná rek. izieb  blokov A1-A4, ŠD Mladosť, RI 37404-účelová (zdroj 131I)</t>
  </si>
  <si>
    <t>Dodatok č. 9 - komplexná rek. ŠD Dobrovičova - rek. Fasády s výmenou okien</t>
  </si>
  <si>
    <t>Dodatok č. 9 - Komplexná rek. izieb  blokov A1-A4 , RI 37404-účelová (zdroj 131I)</t>
  </si>
  <si>
    <t>Dodatok č. 9 - Komplexná rekonštrukcia fasády s výmenou okien, RI 37411-účelová (zdroj 131I)</t>
  </si>
  <si>
    <t>kultúra/0820</t>
  </si>
  <si>
    <t>/09607</t>
  </si>
  <si>
    <t>sport/0810</t>
  </si>
  <si>
    <t>ok</t>
  </si>
  <si>
    <t>0k</t>
  </si>
  <si>
    <t>Schválená dotácia AS 2019</t>
  </si>
  <si>
    <t>077 11 / 610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</si>
</sst>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0000"/>
    <numFmt numFmtId="175" formatCode="0.0"/>
    <numFmt numFmtId="176" formatCode="0.0000_ ;[Red]\-0.0000\ "/>
    <numFmt numFmtId="177" formatCode="0_ ;[Red]\-0\ "/>
    <numFmt numFmtId="178" formatCode="#,##0.000"/>
    <numFmt numFmtId="179" formatCode="#,##0.0000"/>
    <numFmt numFmtId="180" formatCode="#,##0.0"/>
    <numFmt numFmtId="181" formatCode="0.0000"/>
    <numFmt numFmtId="182" formatCode="#,##0.00000"/>
    <numFmt numFmtId="183" formatCode="#,##0.000000"/>
    <numFmt numFmtId="184" formatCode="#,##0.000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4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57"/>
      <name val="Arial CE"/>
      <family val="2"/>
    </font>
    <font>
      <b/>
      <sz val="12"/>
      <name val="Arial CE"/>
      <family val="2"/>
    </font>
    <font>
      <b/>
      <sz val="10"/>
      <color indexed="4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i/>
      <sz val="10"/>
      <color indexed="48"/>
      <name val="Arial CE"/>
      <family val="2"/>
    </font>
    <font>
      <sz val="11"/>
      <color indexed="48"/>
      <name val="Arial CE"/>
      <family val="2"/>
    </font>
    <font>
      <b/>
      <sz val="11"/>
      <name val="Arial CE"/>
      <family val="2"/>
    </font>
    <font>
      <sz val="10"/>
      <color indexed="48"/>
      <name val="Arial CE"/>
      <family val="2"/>
    </font>
    <font>
      <b/>
      <sz val="10"/>
      <color indexed="36"/>
      <name val="Arial CE"/>
      <family val="2"/>
    </font>
    <font>
      <u val="single"/>
      <sz val="10"/>
      <name val="Arial CE"/>
      <family val="2"/>
    </font>
    <font>
      <b/>
      <i/>
      <sz val="11"/>
      <name val="Times New Roman"/>
      <family val="1"/>
    </font>
    <font>
      <b/>
      <sz val="11"/>
      <name val="Times New Roman CE"/>
      <family val="1"/>
    </font>
    <font>
      <i/>
      <sz val="10"/>
      <color indexed="10"/>
      <name val="Arial CE"/>
      <family val="2"/>
    </font>
    <font>
      <sz val="10"/>
      <color indexed="36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color indexed="4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2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2"/>
      <name val="Times New Roman"/>
      <family val="1"/>
    </font>
    <font>
      <b/>
      <sz val="11"/>
      <color indexed="60"/>
      <name val="Arial CE"/>
      <family val="2"/>
    </font>
    <font>
      <sz val="10"/>
      <color indexed="8"/>
      <name val="Arial CE"/>
      <family val="2"/>
    </font>
    <font>
      <b/>
      <sz val="10"/>
      <color indexed="62"/>
      <name val="Arial CE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1"/>
      <color rgb="FFFF0000"/>
      <name val="Times New Roman"/>
      <family val="1"/>
    </font>
    <font>
      <b/>
      <sz val="10"/>
      <color rgb="FFFF0000"/>
      <name val="Arial CE"/>
      <family val="2"/>
    </font>
    <font>
      <b/>
      <sz val="10"/>
      <color rgb="FF7030A0"/>
      <name val="Arial CE"/>
      <family val="2"/>
    </font>
    <font>
      <sz val="11"/>
      <color theme="3" tint="0.39998000860214233"/>
      <name val="Times New Roman"/>
      <family val="1"/>
    </font>
    <font>
      <b/>
      <i/>
      <sz val="10"/>
      <color theme="6" tint="-0.4999699890613556"/>
      <name val="Times New Roman"/>
      <family val="1"/>
    </font>
    <font>
      <b/>
      <i/>
      <sz val="10"/>
      <color theme="3" tint="0.39998000860214233"/>
      <name val="Times New Roman"/>
      <family val="1"/>
    </font>
    <font>
      <b/>
      <sz val="11"/>
      <color theme="5" tint="-0.24997000396251678"/>
      <name val="Arial CE"/>
      <family val="2"/>
    </font>
    <font>
      <sz val="10"/>
      <color theme="1"/>
      <name val="Arial CE"/>
      <family val="2"/>
    </font>
    <font>
      <b/>
      <sz val="10"/>
      <color theme="4" tint="-0.24997000396251678"/>
      <name val="Arial CE"/>
      <family val="2"/>
    </font>
    <font>
      <i/>
      <sz val="10"/>
      <color rgb="FFFF0000"/>
      <name val="Arial CE"/>
      <family val="2"/>
    </font>
    <font>
      <sz val="12"/>
      <color rgb="FFFF0000"/>
      <name val="Arial CE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3" borderId="5" applyNumberFormat="0" applyFont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4" borderId="8" applyNumberFormat="0" applyAlignment="0" applyProtection="0"/>
    <xf numFmtId="0" fontId="89" fillId="25" borderId="8" applyNumberFormat="0" applyAlignment="0" applyProtection="0"/>
    <xf numFmtId="0" fontId="90" fillId="25" borderId="9" applyNumberFormat="0" applyAlignment="0" applyProtection="0"/>
    <xf numFmtId="0" fontId="91" fillId="0" borderId="0" applyNumberFormat="0" applyFill="0" applyBorder="0" applyAlignment="0" applyProtection="0"/>
    <xf numFmtId="0" fontId="92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5" fillId="0" borderId="0" xfId="48" applyFont="1">
      <alignment/>
      <protection/>
    </xf>
    <xf numFmtId="0" fontId="0" fillId="0" borderId="0" xfId="0" applyFont="1" applyAlignment="1">
      <alignment/>
    </xf>
    <xf numFmtId="0" fontId="27" fillId="0" borderId="0" xfId="48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2" fillId="0" borderId="10" xfId="48" applyNumberFormat="1" applyFont="1" applyFill="1" applyBorder="1">
      <alignment/>
      <protection/>
    </xf>
    <xf numFmtId="0" fontId="28" fillId="0" borderId="0" xfId="0" applyFont="1" applyAlignment="1">
      <alignment/>
    </xf>
    <xf numFmtId="0" fontId="2" fillId="0" borderId="11" xfId="48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0" borderId="11" xfId="48" applyFont="1" applyFill="1" applyBorder="1">
      <alignment/>
      <protection/>
    </xf>
    <xf numFmtId="0" fontId="2" fillId="0" borderId="12" xfId="48" applyFont="1" applyFill="1" applyBorder="1">
      <alignment/>
      <protection/>
    </xf>
    <xf numFmtId="4" fontId="2" fillId="0" borderId="13" xfId="48" applyNumberFormat="1" applyFont="1" applyBorder="1">
      <alignment/>
      <protection/>
    </xf>
    <xf numFmtId="0" fontId="2" fillId="33" borderId="14" xfId="48" applyFont="1" applyFill="1" applyBorder="1">
      <alignment/>
      <protection/>
    </xf>
    <xf numFmtId="0" fontId="27" fillId="0" borderId="0" xfId="48" applyFont="1" applyAlignment="1">
      <alignment horizontal="right"/>
      <protection/>
    </xf>
    <xf numFmtId="4" fontId="27" fillId="0" borderId="0" xfId="48" applyNumberFormat="1" applyFont="1">
      <alignment/>
      <protection/>
    </xf>
    <xf numFmtId="0" fontId="30" fillId="0" borderId="0" xfId="48" applyFont="1">
      <alignment/>
      <protection/>
    </xf>
    <xf numFmtId="0" fontId="29" fillId="0" borderId="0" xfId="0" applyFont="1" applyAlignment="1">
      <alignment/>
    </xf>
    <xf numFmtId="4" fontId="25" fillId="0" borderId="0" xfId="48" applyNumberFormat="1" applyFont="1">
      <alignment/>
      <protection/>
    </xf>
    <xf numFmtId="0" fontId="31" fillId="0" borderId="0" xfId="0" applyFont="1" applyAlignment="1">
      <alignment/>
    </xf>
    <xf numFmtId="4" fontId="27" fillId="0" borderId="0" xfId="48" applyNumberFormat="1" applyFont="1" applyFill="1" applyBorder="1">
      <alignment/>
      <protection/>
    </xf>
    <xf numFmtId="0" fontId="2" fillId="0" borderId="0" xfId="49">
      <alignment/>
      <protection/>
    </xf>
    <xf numFmtId="0" fontId="4" fillId="0" borderId="0" xfId="49" applyFont="1" applyBorder="1" applyAlignment="1">
      <alignment horizontal="left"/>
      <protection/>
    </xf>
    <xf numFmtId="0" fontId="4" fillId="0" borderId="0" xfId="49" applyFont="1" applyBorder="1" applyAlignment="1">
      <alignment horizontal="center"/>
      <protection/>
    </xf>
    <xf numFmtId="4" fontId="3" fillId="0" borderId="0" xfId="49" applyNumberFormat="1" applyFont="1" applyBorder="1" applyAlignment="1">
      <alignment horizontal="center"/>
      <protection/>
    </xf>
    <xf numFmtId="0" fontId="26" fillId="0" borderId="15" xfId="49" applyFont="1" applyBorder="1">
      <alignment/>
      <protection/>
    </xf>
    <xf numFmtId="0" fontId="8" fillId="0" borderId="0" xfId="49" applyFont="1">
      <alignment/>
      <protection/>
    </xf>
    <xf numFmtId="4" fontId="11" fillId="34" borderId="16" xfId="49" applyNumberFormat="1" applyFont="1" applyFill="1" applyBorder="1" applyAlignment="1">
      <alignment horizontal="center"/>
      <protection/>
    </xf>
    <xf numFmtId="4" fontId="12" fillId="34" borderId="16" xfId="49" applyNumberFormat="1" applyFont="1" applyFill="1" applyBorder="1" applyAlignment="1">
      <alignment horizontal="center" wrapText="1"/>
      <protection/>
    </xf>
    <xf numFmtId="4" fontId="14" fillId="34" borderId="17" xfId="49" applyNumberFormat="1" applyFont="1" applyFill="1" applyBorder="1" applyAlignment="1">
      <alignment horizontal="right"/>
      <protection/>
    </xf>
    <xf numFmtId="0" fontId="32" fillId="0" borderId="0" xfId="49" applyFont="1">
      <alignment/>
      <protection/>
    </xf>
    <xf numFmtId="4" fontId="14" fillId="34" borderId="16" xfId="49" applyNumberFormat="1" applyFont="1" applyFill="1" applyBorder="1">
      <alignment/>
      <protection/>
    </xf>
    <xf numFmtId="0" fontId="15" fillId="0" borderId="0" xfId="49" applyFont="1">
      <alignment/>
      <protection/>
    </xf>
    <xf numFmtId="4" fontId="19" fillId="0" borderId="18" xfId="49" applyNumberFormat="1" applyFont="1" applyFill="1" applyBorder="1">
      <alignment/>
      <protection/>
    </xf>
    <xf numFmtId="4" fontId="5" fillId="0" borderId="13" xfId="49" applyNumberFormat="1" applyFont="1" applyBorder="1">
      <alignment/>
      <protection/>
    </xf>
    <xf numFmtId="0" fontId="5" fillId="0" borderId="0" xfId="49" applyFont="1">
      <alignment/>
      <protection/>
    </xf>
    <xf numFmtId="4" fontId="19" fillId="35" borderId="18" xfId="49" applyNumberFormat="1" applyFont="1" applyFill="1" applyBorder="1">
      <alignment/>
      <protection/>
    </xf>
    <xf numFmtId="0" fontId="33" fillId="0" borderId="0" xfId="49" applyFont="1">
      <alignment/>
      <protection/>
    </xf>
    <xf numFmtId="0" fontId="15" fillId="34" borderId="0" xfId="49" applyFont="1" applyFill="1">
      <alignment/>
      <protection/>
    </xf>
    <xf numFmtId="4" fontId="19" fillId="34" borderId="13" xfId="49" applyNumberFormat="1" applyFont="1" applyFill="1" applyBorder="1">
      <alignment/>
      <protection/>
    </xf>
    <xf numFmtId="4" fontId="19" fillId="0" borderId="19" xfId="49" applyNumberFormat="1" applyFont="1" applyFill="1" applyBorder="1">
      <alignment/>
      <protection/>
    </xf>
    <xf numFmtId="0" fontId="34" fillId="0" borderId="0" xfId="49" applyFont="1">
      <alignment/>
      <protection/>
    </xf>
    <xf numFmtId="4" fontId="20" fillId="0" borderId="20" xfId="49" applyNumberFormat="1" applyFont="1" applyFill="1" applyBorder="1">
      <alignment/>
      <protection/>
    </xf>
    <xf numFmtId="4" fontId="19" fillId="0" borderId="13" xfId="49" applyNumberFormat="1" applyFont="1" applyFill="1" applyBorder="1">
      <alignment/>
      <protection/>
    </xf>
    <xf numFmtId="4" fontId="24" fillId="0" borderId="13" xfId="49" applyNumberFormat="1" applyFont="1" applyBorder="1">
      <alignment/>
      <protection/>
    </xf>
    <xf numFmtId="0" fontId="6" fillId="0" borderId="0" xfId="49" applyFont="1">
      <alignment/>
      <protection/>
    </xf>
    <xf numFmtId="0" fontId="2" fillId="0" borderId="0" xfId="49" applyFill="1">
      <alignment/>
      <protection/>
    </xf>
    <xf numFmtId="0" fontId="2" fillId="0" borderId="0" xfId="49" applyFont="1" applyFill="1">
      <alignment/>
      <protection/>
    </xf>
    <xf numFmtId="4" fontId="20" fillId="0" borderId="13" xfId="49" applyNumberFormat="1" applyFont="1" applyFill="1" applyBorder="1">
      <alignment/>
      <protection/>
    </xf>
    <xf numFmtId="0" fontId="9" fillId="0" borderId="0" xfId="49" applyFont="1">
      <alignment/>
      <protection/>
    </xf>
    <xf numFmtId="4" fontId="19" fillId="0" borderId="20" xfId="49" applyNumberFormat="1" applyFont="1" applyFill="1" applyBorder="1">
      <alignment/>
      <protection/>
    </xf>
    <xf numFmtId="4" fontId="19" fillId="0" borderId="13" xfId="49" applyNumberFormat="1" applyFont="1" applyBorder="1">
      <alignment/>
      <protection/>
    </xf>
    <xf numFmtId="4" fontId="19" fillId="35" borderId="13" xfId="49" applyNumberFormat="1" applyFont="1" applyFill="1" applyBorder="1">
      <alignment/>
      <protection/>
    </xf>
    <xf numFmtId="4" fontId="2" fillId="36" borderId="21" xfId="49" applyNumberFormat="1" applyFill="1" applyBorder="1">
      <alignment/>
      <protection/>
    </xf>
    <xf numFmtId="4" fontId="2" fillId="0" borderId="0" xfId="49" applyNumberFormat="1">
      <alignment/>
      <protection/>
    </xf>
    <xf numFmtId="4" fontId="37" fillId="0" borderId="0" xfId="48" applyNumberFormat="1" applyFont="1">
      <alignment/>
      <protection/>
    </xf>
    <xf numFmtId="4" fontId="19" fillId="34" borderId="10" xfId="49" applyNumberFormat="1" applyFont="1" applyFill="1" applyBorder="1">
      <alignment/>
      <protection/>
    </xf>
    <xf numFmtId="4" fontId="19" fillId="34" borderId="10" xfId="49" applyNumberFormat="1" applyFont="1" applyFill="1" applyBorder="1">
      <alignment/>
      <protection/>
    </xf>
    <xf numFmtId="4" fontId="15" fillId="34" borderId="10" xfId="49" applyNumberFormat="1" applyFont="1" applyFill="1" applyBorder="1">
      <alignment/>
      <protection/>
    </xf>
    <xf numFmtId="0" fontId="2" fillId="0" borderId="22" xfId="48" applyFont="1" applyFill="1" applyBorder="1">
      <alignment/>
      <protection/>
    </xf>
    <xf numFmtId="0" fontId="2" fillId="0" borderId="0" xfId="49" applyFont="1" applyAlignment="1">
      <alignment horizontal="right"/>
      <protection/>
    </xf>
    <xf numFmtId="2" fontId="8" fillId="0" borderId="15" xfId="49" applyNumberFormat="1" applyFont="1" applyBorder="1" applyAlignment="1">
      <alignment horizontal="left"/>
      <protection/>
    </xf>
    <xf numFmtId="4" fontId="2" fillId="0" borderId="13" xfId="49" applyNumberFormat="1" applyFont="1" applyFill="1" applyBorder="1">
      <alignment/>
      <protection/>
    </xf>
    <xf numFmtId="4" fontId="2" fillId="0" borderId="13" xfId="48" applyNumberFormat="1" applyFont="1" applyFill="1" applyBorder="1">
      <alignment/>
      <protection/>
    </xf>
    <xf numFmtId="4" fontId="2" fillId="0" borderId="18" xfId="48" applyNumberFormat="1" applyFont="1" applyFill="1" applyBorder="1">
      <alignment/>
      <protection/>
    </xf>
    <xf numFmtId="0" fontId="2" fillId="0" borderId="22" xfId="48" applyFont="1" applyFill="1" applyBorder="1" applyAlignment="1">
      <alignment wrapText="1"/>
      <protection/>
    </xf>
    <xf numFmtId="4" fontId="38" fillId="34" borderId="0" xfId="49" applyNumberFormat="1" applyFont="1" applyFill="1">
      <alignment/>
      <protection/>
    </xf>
    <xf numFmtId="4" fontId="19" fillId="34" borderId="18" xfId="49" applyNumberFormat="1" applyFont="1" applyFill="1" applyBorder="1">
      <alignment/>
      <protection/>
    </xf>
    <xf numFmtId="4" fontId="2" fillId="36" borderId="17" xfId="53" applyNumberFormat="1" applyFont="1" applyFill="1" applyBorder="1" applyAlignment="1">
      <alignment/>
    </xf>
    <xf numFmtId="4" fontId="2" fillId="36" borderId="17" xfId="49" applyNumberFormat="1" applyFill="1" applyBorder="1">
      <alignment/>
      <protection/>
    </xf>
    <xf numFmtId="4" fontId="19" fillId="36" borderId="17" xfId="49" applyNumberFormat="1" applyFont="1" applyFill="1" applyBorder="1">
      <alignment/>
      <protection/>
    </xf>
    <xf numFmtId="0" fontId="9" fillId="0" borderId="23" xfId="49" applyFont="1" applyBorder="1" applyAlignment="1">
      <alignment horizontal="left"/>
      <protection/>
    </xf>
    <xf numFmtId="4" fontId="2" fillId="35" borderId="21" xfId="49" applyNumberFormat="1" applyFill="1" applyBorder="1">
      <alignment/>
      <protection/>
    </xf>
    <xf numFmtId="0" fontId="6" fillId="36" borderId="23" xfId="48" applyFont="1" applyFill="1" applyBorder="1">
      <alignment/>
      <protection/>
    </xf>
    <xf numFmtId="4" fontId="19" fillId="0" borderId="18" xfId="49" applyNumberFormat="1" applyFont="1" applyFill="1" applyBorder="1">
      <alignment/>
      <protection/>
    </xf>
    <xf numFmtId="4" fontId="17" fillId="34" borderId="13" xfId="49" applyNumberFormat="1" applyFont="1" applyFill="1" applyBorder="1">
      <alignment/>
      <protection/>
    </xf>
    <xf numFmtId="0" fontId="6" fillId="0" borderId="0" xfId="48" applyFont="1">
      <alignment/>
      <protection/>
    </xf>
    <xf numFmtId="4" fontId="19" fillId="36" borderId="16" xfId="49" applyNumberFormat="1" applyFont="1" applyFill="1" applyBorder="1">
      <alignment/>
      <protection/>
    </xf>
    <xf numFmtId="4" fontId="14" fillId="37" borderId="16" xfId="49" applyNumberFormat="1" applyFont="1" applyFill="1" applyBorder="1">
      <alignment/>
      <protection/>
    </xf>
    <xf numFmtId="4" fontId="17" fillId="33" borderId="16" xfId="49" applyNumberFormat="1" applyFont="1" applyFill="1" applyBorder="1" applyAlignment="1">
      <alignment horizontal="right" vertical="center" wrapText="1"/>
      <protection/>
    </xf>
    <xf numFmtId="4" fontId="17" fillId="33" borderId="16" xfId="49" applyNumberFormat="1" applyFont="1" applyFill="1" applyBorder="1">
      <alignment/>
      <protection/>
    </xf>
    <xf numFmtId="4" fontId="17" fillId="0" borderId="13" xfId="49" applyNumberFormat="1" applyFont="1" applyFill="1" applyBorder="1">
      <alignment/>
      <protection/>
    </xf>
    <xf numFmtId="4" fontId="17" fillId="0" borderId="19" xfId="49" applyNumberFormat="1" applyFont="1" applyFill="1" applyBorder="1">
      <alignment/>
      <protection/>
    </xf>
    <xf numFmtId="4" fontId="19" fillId="0" borderId="20" xfId="50" applyNumberFormat="1" applyFont="1" applyFill="1" applyBorder="1">
      <alignment/>
      <protection/>
    </xf>
    <xf numFmtId="4" fontId="19" fillId="0" borderId="13" xfId="50" applyNumberFormat="1" applyFont="1" applyFill="1" applyBorder="1">
      <alignment/>
      <protection/>
    </xf>
    <xf numFmtId="4" fontId="14" fillId="38" borderId="16" xfId="49" applyNumberFormat="1" applyFont="1" applyFill="1" applyBorder="1">
      <alignment/>
      <protection/>
    </xf>
    <xf numFmtId="4" fontId="14" fillId="38" borderId="24" xfId="49" applyNumberFormat="1" applyFont="1" applyFill="1" applyBorder="1">
      <alignment/>
      <protection/>
    </xf>
    <xf numFmtId="4" fontId="19" fillId="34" borderId="19" xfId="49" applyNumberFormat="1" applyFont="1" applyFill="1" applyBorder="1">
      <alignment/>
      <protection/>
    </xf>
    <xf numFmtId="4" fontId="35" fillId="0" borderId="13" xfId="49" applyNumberFormat="1" applyFont="1" applyFill="1" applyBorder="1">
      <alignment/>
      <protection/>
    </xf>
    <xf numFmtId="4" fontId="35" fillId="0" borderId="19" xfId="49" applyNumberFormat="1" applyFont="1" applyFill="1" applyBorder="1">
      <alignment/>
      <protection/>
    </xf>
    <xf numFmtId="4" fontId="39" fillId="34" borderId="13" xfId="49" applyNumberFormat="1" applyFont="1" applyFill="1" applyBorder="1">
      <alignment/>
      <protection/>
    </xf>
    <xf numFmtId="4" fontId="19" fillId="0" borderId="20" xfId="49" applyNumberFormat="1" applyFont="1" applyBorder="1">
      <alignment/>
      <protection/>
    </xf>
    <xf numFmtId="4" fontId="9" fillId="0" borderId="14" xfId="49" applyNumberFormat="1" applyFont="1" applyBorder="1" applyAlignment="1">
      <alignment horizontal="left"/>
      <protection/>
    </xf>
    <xf numFmtId="4" fontId="9" fillId="0" borderId="23" xfId="49" applyNumberFormat="1" applyFont="1" applyBorder="1" applyAlignment="1">
      <alignment horizontal="center"/>
      <protection/>
    </xf>
    <xf numFmtId="4" fontId="10" fillId="34" borderId="25" xfId="49" applyNumberFormat="1" applyFont="1" applyFill="1" applyBorder="1" applyAlignment="1">
      <alignment horizontal="center"/>
      <protection/>
    </xf>
    <xf numFmtId="4" fontId="14" fillId="34" borderId="16" xfId="49" applyNumberFormat="1" applyFont="1" applyFill="1" applyBorder="1" applyAlignment="1">
      <alignment horizontal="left" vertical="center" wrapText="1"/>
      <protection/>
    </xf>
    <xf numFmtId="4" fontId="17" fillId="36" borderId="18" xfId="49" applyNumberFormat="1" applyFont="1" applyFill="1" applyBorder="1" applyAlignment="1">
      <alignment horizontal="left" vertical="center" wrapText="1"/>
      <protection/>
    </xf>
    <xf numFmtId="4" fontId="2" fillId="0" borderId="0" xfId="49" applyNumberFormat="1" applyFont="1">
      <alignment/>
      <protection/>
    </xf>
    <xf numFmtId="4" fontId="2" fillId="0" borderId="0" xfId="49" applyNumberFormat="1" applyFont="1" applyAlignment="1">
      <alignment horizontal="right"/>
      <protection/>
    </xf>
    <xf numFmtId="4" fontId="19" fillId="39" borderId="13" xfId="49" applyNumberFormat="1" applyFont="1" applyFill="1" applyBorder="1">
      <alignment/>
      <protection/>
    </xf>
    <xf numFmtId="0" fontId="2" fillId="40" borderId="22" xfId="48" applyFont="1" applyFill="1" applyBorder="1" applyAlignment="1">
      <alignment wrapText="1"/>
      <protection/>
    </xf>
    <xf numFmtId="4" fontId="5" fillId="40" borderId="18" xfId="50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23" xfId="48" applyFont="1" applyBorder="1">
      <alignment/>
      <protection/>
    </xf>
    <xf numFmtId="4" fontId="7" fillId="34" borderId="16" xfId="49" applyNumberFormat="1" applyFont="1" applyFill="1" applyBorder="1" applyAlignment="1">
      <alignment horizontal="center" wrapText="1"/>
      <protection/>
    </xf>
    <xf numFmtId="4" fontId="6" fillId="0" borderId="18" xfId="48" applyNumberFormat="1" applyFont="1" applyFill="1" applyBorder="1">
      <alignment/>
      <protection/>
    </xf>
    <xf numFmtId="4" fontId="2" fillId="0" borderId="0" xfId="0" applyNumberFormat="1" applyFont="1" applyAlignment="1">
      <alignment/>
    </xf>
    <xf numFmtId="0" fontId="6" fillId="33" borderId="23" xfId="48" applyFont="1" applyFill="1" applyBorder="1">
      <alignment/>
      <protection/>
    </xf>
    <xf numFmtId="4" fontId="6" fillId="33" borderId="16" xfId="48" applyNumberFormat="1" applyFont="1" applyFill="1" applyBorder="1">
      <alignment/>
      <protection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41" fillId="34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/>
    </xf>
    <xf numFmtId="4" fontId="6" fillId="0" borderId="13" xfId="48" applyNumberFormat="1" applyFont="1" applyFill="1" applyBorder="1">
      <alignment/>
      <protection/>
    </xf>
    <xf numFmtId="4" fontId="6" fillId="0" borderId="19" xfId="48" applyNumberFormat="1" applyFont="1" applyFill="1" applyBorder="1">
      <alignment/>
      <protection/>
    </xf>
    <xf numFmtId="4" fontId="36" fillId="0" borderId="0" xfId="0" applyNumberFormat="1" applyFont="1" applyAlignment="1">
      <alignment/>
    </xf>
    <xf numFmtId="4" fontId="2" fillId="0" borderId="21" xfId="48" applyNumberFormat="1" applyFont="1" applyBorder="1">
      <alignment/>
      <protection/>
    </xf>
    <xf numFmtId="4" fontId="5" fillId="0" borderId="21" xfId="48" applyNumberFormat="1" applyFont="1" applyBorder="1">
      <alignment/>
      <protection/>
    </xf>
    <xf numFmtId="4" fontId="30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6" fillId="0" borderId="26" xfId="48" applyFont="1" applyBorder="1">
      <alignment/>
      <protection/>
    </xf>
    <xf numFmtId="4" fontId="6" fillId="0" borderId="24" xfId="48" applyNumberFormat="1" applyFont="1" applyBorder="1" applyAlignment="1">
      <alignment horizontal="center"/>
      <protection/>
    </xf>
    <xf numFmtId="0" fontId="6" fillId="41" borderId="26" xfId="48" applyFont="1" applyFill="1" applyBorder="1">
      <alignment/>
      <protection/>
    </xf>
    <xf numFmtId="4" fontId="6" fillId="41" borderId="16" xfId="48" applyNumberFormat="1" applyFont="1" applyFill="1" applyBorder="1">
      <alignment/>
      <protection/>
    </xf>
    <xf numFmtId="0" fontId="2" fillId="0" borderId="27" xfId="48" applyFont="1" applyFill="1" applyBorder="1">
      <alignment/>
      <protection/>
    </xf>
    <xf numFmtId="4" fontId="2" fillId="0" borderId="10" xfId="48" applyNumberFormat="1" applyFont="1" applyFill="1" applyBorder="1">
      <alignment/>
      <protection/>
    </xf>
    <xf numFmtId="4" fontId="2" fillId="0" borderId="19" xfId="48" applyNumberFormat="1" applyFont="1" applyBorder="1">
      <alignment/>
      <protection/>
    </xf>
    <xf numFmtId="49" fontId="2" fillId="0" borderId="13" xfId="48" applyNumberFormat="1" applyFont="1" applyFill="1" applyBorder="1" applyAlignment="1">
      <alignment horizontal="right"/>
      <protection/>
    </xf>
    <xf numFmtId="4" fontId="2" fillId="0" borderId="15" xfId="48" applyNumberFormat="1" applyFont="1" applyBorder="1">
      <alignment/>
      <protection/>
    </xf>
    <xf numFmtId="4" fontId="6" fillId="0" borderId="21" xfId="48" applyNumberFormat="1" applyFont="1" applyFill="1" applyBorder="1">
      <alignment/>
      <protection/>
    </xf>
    <xf numFmtId="0" fontId="5" fillId="42" borderId="23" xfId="48" applyFont="1" applyFill="1" applyBorder="1">
      <alignment/>
      <protection/>
    </xf>
    <xf numFmtId="0" fontId="5" fillId="33" borderId="14" xfId="48" applyFont="1" applyFill="1" applyBorder="1">
      <alignment/>
      <protection/>
    </xf>
    <xf numFmtId="4" fontId="6" fillId="0" borderId="0" xfId="48" applyNumberFormat="1" applyFont="1" applyFill="1" applyBorder="1">
      <alignment/>
      <protection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" fillId="43" borderId="0" xfId="0" applyNumberFormat="1" applyFont="1" applyFill="1" applyAlignment="1">
      <alignment/>
    </xf>
    <xf numFmtId="4" fontId="16" fillId="34" borderId="10" xfId="49" applyNumberFormat="1" applyFont="1" applyFill="1" applyBorder="1">
      <alignment/>
      <protection/>
    </xf>
    <xf numFmtId="4" fontId="17" fillId="0" borderId="18" xfId="49" applyNumberFormat="1" applyFont="1" applyFill="1" applyBorder="1">
      <alignment/>
      <protection/>
    </xf>
    <xf numFmtId="4" fontId="23" fillId="0" borderId="10" xfId="49" applyNumberFormat="1" applyFont="1" applyFill="1" applyBorder="1">
      <alignment/>
      <protection/>
    </xf>
    <xf numFmtId="4" fontId="11" fillId="40" borderId="16" xfId="49" applyNumberFormat="1" applyFont="1" applyFill="1" applyBorder="1" applyAlignment="1">
      <alignment horizontal="center"/>
      <protection/>
    </xf>
    <xf numFmtId="0" fontId="15" fillId="40" borderId="0" xfId="49" applyFont="1" applyFill="1">
      <alignment/>
      <protection/>
    </xf>
    <xf numFmtId="4" fontId="6" fillId="16" borderId="16" xfId="49" applyNumberFormat="1" applyFont="1" applyFill="1" applyBorder="1" applyAlignment="1">
      <alignment horizontal="center"/>
      <protection/>
    </xf>
    <xf numFmtId="0" fontId="35" fillId="0" borderId="0" xfId="49" applyFont="1">
      <alignment/>
      <protection/>
    </xf>
    <xf numFmtId="4" fontId="17" fillId="36" borderId="17" xfId="49" applyNumberFormat="1" applyFont="1" applyFill="1" applyBorder="1">
      <alignment/>
      <protection/>
    </xf>
    <xf numFmtId="4" fontId="6" fillId="0" borderId="0" xfId="49" applyNumberFormat="1" applyFont="1">
      <alignment/>
      <protection/>
    </xf>
    <xf numFmtId="4" fontId="6" fillId="40" borderId="19" xfId="48" applyNumberFormat="1" applyFont="1" applyFill="1" applyBorder="1">
      <alignment/>
      <protection/>
    </xf>
    <xf numFmtId="4" fontId="2" fillId="40" borderId="0" xfId="0" applyNumberFormat="1" applyFont="1" applyFill="1" applyAlignment="1">
      <alignment/>
    </xf>
    <xf numFmtId="0" fontId="0" fillId="40" borderId="0" xfId="0" applyFill="1" applyAlignment="1">
      <alignment/>
    </xf>
    <xf numFmtId="4" fontId="19" fillId="0" borderId="18" xfId="51" applyNumberFormat="1" applyFont="1" applyFill="1" applyBorder="1">
      <alignment/>
      <protection/>
    </xf>
    <xf numFmtId="4" fontId="19" fillId="0" borderId="10" xfId="51" applyNumberFormat="1" applyFont="1" applyFill="1" applyBorder="1">
      <alignment/>
      <protection/>
    </xf>
    <xf numFmtId="4" fontId="39" fillId="41" borderId="16" xfId="51" applyNumberFormat="1" applyFont="1" applyFill="1" applyBorder="1">
      <alignment/>
      <protection/>
    </xf>
    <xf numFmtId="4" fontId="17" fillId="0" borderId="20" xfId="51" applyNumberFormat="1" applyFont="1" applyFill="1" applyBorder="1">
      <alignment/>
      <protection/>
    </xf>
    <xf numFmtId="4" fontId="5" fillId="0" borderId="13" xfId="51" applyNumberFormat="1" applyFont="1" applyBorder="1">
      <alignment/>
      <protection/>
    </xf>
    <xf numFmtId="4" fontId="24" fillId="0" borderId="13" xfId="51" applyNumberFormat="1" applyFont="1" applyBorder="1">
      <alignment/>
      <protection/>
    </xf>
    <xf numFmtId="4" fontId="19" fillId="0" borderId="13" xfId="51" applyNumberFormat="1" applyFont="1" applyFill="1" applyBorder="1">
      <alignment/>
      <protection/>
    </xf>
    <xf numFmtId="4" fontId="39" fillId="40" borderId="18" xfId="49" applyNumberFormat="1" applyFont="1" applyFill="1" applyBorder="1">
      <alignment/>
      <protection/>
    </xf>
    <xf numFmtId="4" fontId="6" fillId="34" borderId="16" xfId="49" applyNumberFormat="1" applyFont="1" applyFill="1" applyBorder="1">
      <alignment/>
      <protection/>
    </xf>
    <xf numFmtId="4" fontId="5" fillId="0" borderId="18" xfId="51" applyNumberFormat="1" applyFont="1" applyBorder="1">
      <alignment/>
      <protection/>
    </xf>
    <xf numFmtId="0" fontId="2" fillId="40" borderId="11" xfId="48" applyFont="1" applyFill="1" applyBorder="1" applyAlignment="1">
      <alignment wrapText="1"/>
      <protection/>
    </xf>
    <xf numFmtId="4" fontId="6" fillId="39" borderId="20" xfId="48" applyNumberFormat="1" applyFont="1" applyFill="1" applyBorder="1">
      <alignment/>
      <protection/>
    </xf>
    <xf numFmtId="0" fontId="2" fillId="0" borderId="27" xfId="48" applyFont="1" applyFill="1" applyBorder="1" applyAlignment="1">
      <alignment wrapText="1"/>
      <protection/>
    </xf>
    <xf numFmtId="4" fontId="6" fillId="0" borderId="28" xfId="48" applyNumberFormat="1" applyFont="1" applyBorder="1">
      <alignment/>
      <protection/>
    </xf>
    <xf numFmtId="4" fontId="5" fillId="44" borderId="16" xfId="48" applyNumberFormat="1" applyFont="1" applyFill="1" applyBorder="1">
      <alignment/>
      <protection/>
    </xf>
    <xf numFmtId="4" fontId="5" fillId="33" borderId="17" xfId="48" applyNumberFormat="1" applyFont="1" applyFill="1" applyBorder="1">
      <alignment/>
      <protection/>
    </xf>
    <xf numFmtId="4" fontId="6" fillId="36" borderId="16" xfId="48" applyNumberFormat="1" applyFont="1" applyFill="1" applyBorder="1">
      <alignment/>
      <protection/>
    </xf>
    <xf numFmtId="4" fontId="6" fillId="0" borderId="16" xfId="48" applyNumberFormat="1" applyFont="1" applyBorder="1">
      <alignment/>
      <protection/>
    </xf>
    <xf numFmtId="4" fontId="6" fillId="0" borderId="0" xfId="48" applyNumberFormat="1" applyFont="1" applyBorder="1">
      <alignment/>
      <protection/>
    </xf>
    <xf numFmtId="0" fontId="2" fillId="44" borderId="23" xfId="48" applyFont="1" applyFill="1" applyBorder="1">
      <alignment/>
      <protection/>
    </xf>
    <xf numFmtId="4" fontId="39" fillId="0" borderId="13" xfId="49" applyNumberFormat="1" applyFont="1" applyFill="1" applyBorder="1">
      <alignment/>
      <protection/>
    </xf>
    <xf numFmtId="0" fontId="10" fillId="34" borderId="23" xfId="49" applyFont="1" applyFill="1" applyBorder="1" applyAlignment="1">
      <alignment horizontal="center"/>
      <protection/>
    </xf>
    <xf numFmtId="4" fontId="13" fillId="34" borderId="14" xfId="49" applyNumberFormat="1" applyFont="1" applyFill="1" applyBorder="1" applyAlignment="1">
      <alignment horizontal="center"/>
      <protection/>
    </xf>
    <xf numFmtId="4" fontId="22" fillId="34" borderId="18" xfId="49" applyNumberFormat="1" applyFont="1" applyFill="1" applyBorder="1" applyAlignment="1">
      <alignment horizontal="right"/>
      <protection/>
    </xf>
    <xf numFmtId="4" fontId="23" fillId="35" borderId="18" xfId="49" applyNumberFormat="1" applyFont="1" applyFill="1" applyBorder="1" applyAlignment="1">
      <alignment horizontal="right"/>
      <protection/>
    </xf>
    <xf numFmtId="4" fontId="21" fillId="34" borderId="13" xfId="49" applyNumberFormat="1" applyFont="1" applyFill="1" applyBorder="1">
      <alignment/>
      <protection/>
    </xf>
    <xf numFmtId="4" fontId="21" fillId="0" borderId="13" xfId="49" applyNumberFormat="1" applyFont="1" applyFill="1" applyBorder="1">
      <alignment/>
      <protection/>
    </xf>
    <xf numFmtId="4" fontId="19" fillId="0" borderId="20" xfId="49" applyNumberFormat="1" applyFont="1" applyFill="1" applyBorder="1" applyAlignment="1">
      <alignment horizontal="right"/>
      <protection/>
    </xf>
    <xf numFmtId="4" fontId="19" fillId="0" borderId="13" xfId="49" applyNumberFormat="1" applyFont="1" applyFill="1" applyBorder="1" applyAlignment="1">
      <alignment horizontal="right"/>
      <protection/>
    </xf>
    <xf numFmtId="4" fontId="19" fillId="40" borderId="18" xfId="51" applyNumberFormat="1" applyFont="1" applyFill="1" applyBorder="1">
      <alignment/>
      <protection/>
    </xf>
    <xf numFmtId="4" fontId="19" fillId="0" borderId="18" xfId="50" applyNumberFormat="1" applyFont="1" applyFill="1" applyBorder="1">
      <alignment/>
      <protection/>
    </xf>
    <xf numFmtId="4" fontId="20" fillId="0" borderId="13" xfId="49" applyNumberFormat="1" applyFont="1" applyFill="1" applyBorder="1">
      <alignment/>
      <protection/>
    </xf>
    <xf numFmtId="4" fontId="20" fillId="34" borderId="13" xfId="49" applyNumberFormat="1" applyFont="1" applyFill="1" applyBorder="1">
      <alignment/>
      <protection/>
    </xf>
    <xf numFmtId="4" fontId="15" fillId="34" borderId="19" xfId="49" applyNumberFormat="1" applyFont="1" applyFill="1" applyBorder="1">
      <alignment/>
      <protection/>
    </xf>
    <xf numFmtId="4" fontId="19" fillId="24" borderId="13" xfId="49" applyNumberFormat="1" applyFont="1" applyFill="1" applyBorder="1">
      <alignment/>
      <protection/>
    </xf>
    <xf numFmtId="4" fontId="19" fillId="24" borderId="13" xfId="51" applyNumberFormat="1" applyFont="1" applyFill="1" applyBorder="1">
      <alignment/>
      <protection/>
    </xf>
    <xf numFmtId="4" fontId="19" fillId="24" borderId="18" xfId="49" applyNumberFormat="1" applyFont="1" applyFill="1" applyBorder="1">
      <alignment/>
      <protection/>
    </xf>
    <xf numFmtId="4" fontId="20" fillId="24" borderId="13" xfId="49" applyNumberFormat="1" applyFont="1" applyFill="1" applyBorder="1">
      <alignment/>
      <protection/>
    </xf>
    <xf numFmtId="0" fontId="32" fillId="0" borderId="0" xfId="49" applyFont="1" applyFill="1">
      <alignment/>
      <protection/>
    </xf>
    <xf numFmtId="4" fontId="5" fillId="33" borderId="14" xfId="48" applyNumberFormat="1" applyFont="1" applyFill="1" applyBorder="1">
      <alignment/>
      <protection/>
    </xf>
    <xf numFmtId="4" fontId="6" fillId="36" borderId="23" xfId="48" applyNumberFormat="1" applyFont="1" applyFill="1" applyBorder="1">
      <alignment/>
      <protection/>
    </xf>
    <xf numFmtId="4" fontId="6" fillId="0" borderId="23" xfId="48" applyNumberFormat="1" applyFont="1" applyBorder="1">
      <alignment/>
      <protection/>
    </xf>
    <xf numFmtId="4" fontId="2" fillId="34" borderId="18" xfId="48" applyNumberFormat="1" applyFont="1" applyFill="1" applyBorder="1">
      <alignment/>
      <protection/>
    </xf>
    <xf numFmtId="4" fontId="5" fillId="0" borderId="13" xfId="48" applyNumberFormat="1" applyFont="1" applyBorder="1">
      <alignment/>
      <protection/>
    </xf>
    <xf numFmtId="4" fontId="7" fillId="0" borderId="13" xfId="48" applyNumberFormat="1" applyFont="1" applyFill="1" applyBorder="1">
      <alignment/>
      <protection/>
    </xf>
    <xf numFmtId="4" fontId="6" fillId="40" borderId="13" xfId="48" applyNumberFormat="1" applyFont="1" applyFill="1" applyBorder="1">
      <alignment/>
      <protection/>
    </xf>
    <xf numFmtId="4" fontId="6" fillId="36" borderId="20" xfId="48" applyNumberFormat="1" applyFont="1" applyFill="1" applyBorder="1">
      <alignment/>
      <protection/>
    </xf>
    <xf numFmtId="4" fontId="2" fillId="0" borderId="13" xfId="48" applyNumberFormat="1" applyFont="1" applyFill="1" applyBorder="1" applyAlignment="1">
      <alignment wrapText="1"/>
      <protection/>
    </xf>
    <xf numFmtId="4" fontId="2" fillId="40" borderId="13" xfId="48" applyNumberFormat="1" applyFont="1" applyFill="1" applyBorder="1">
      <alignment/>
      <protection/>
    </xf>
    <xf numFmtId="4" fontId="5" fillId="0" borderId="13" xfId="48" applyNumberFormat="1" applyFont="1" applyFill="1" applyBorder="1">
      <alignment/>
      <protection/>
    </xf>
    <xf numFmtId="4" fontId="93" fillId="0" borderId="13" xfId="48" applyNumberFormat="1" applyFont="1" applyBorder="1">
      <alignment/>
      <protection/>
    </xf>
    <xf numFmtId="4" fontId="2" fillId="0" borderId="29" xfId="48" applyNumberFormat="1" applyFont="1" applyBorder="1">
      <alignment/>
      <protection/>
    </xf>
    <xf numFmtId="4" fontId="6" fillId="36" borderId="25" xfId="48" applyNumberFormat="1" applyFont="1" applyFill="1" applyBorder="1">
      <alignment/>
      <protection/>
    </xf>
    <xf numFmtId="4" fontId="6" fillId="0" borderId="25" xfId="48" applyNumberFormat="1" applyFont="1" applyBorder="1">
      <alignment/>
      <protection/>
    </xf>
    <xf numFmtId="4" fontId="25" fillId="0" borderId="13" xfId="48" applyNumberFormat="1" applyFont="1" applyFill="1" applyBorder="1">
      <alignment/>
      <protection/>
    </xf>
    <xf numFmtId="4" fontId="27" fillId="0" borderId="13" xfId="48" applyNumberFormat="1" applyFont="1" applyFill="1" applyBorder="1">
      <alignment/>
      <protection/>
    </xf>
    <xf numFmtId="4" fontId="2" fillId="0" borderId="13" xfId="0" applyNumberFormat="1" applyFont="1" applyBorder="1" applyAlignment="1">
      <alignment/>
    </xf>
    <xf numFmtId="0" fontId="6" fillId="44" borderId="23" xfId="48" applyFont="1" applyFill="1" applyBorder="1">
      <alignment/>
      <protection/>
    </xf>
    <xf numFmtId="0" fontId="7" fillId="44" borderId="23" xfId="48" applyFont="1" applyFill="1" applyBorder="1">
      <alignment/>
      <protection/>
    </xf>
    <xf numFmtId="0" fontId="5" fillId="0" borderId="22" xfId="48" applyFont="1" applyFill="1" applyBorder="1">
      <alignment/>
      <protection/>
    </xf>
    <xf numFmtId="0" fontId="2" fillId="0" borderId="30" xfId="48" applyFont="1" applyFill="1" applyBorder="1">
      <alignment/>
      <protection/>
    </xf>
    <xf numFmtId="0" fontId="2" fillId="0" borderId="31" xfId="48" applyFont="1" applyFill="1" applyBorder="1">
      <alignment/>
      <protection/>
    </xf>
    <xf numFmtId="0" fontId="6" fillId="0" borderId="16" xfId="48" applyFont="1" applyBorder="1">
      <alignment/>
      <protection/>
    </xf>
    <xf numFmtId="0" fontId="6" fillId="36" borderId="16" xfId="48" applyFont="1" applyFill="1" applyBorder="1">
      <alignment/>
      <protection/>
    </xf>
    <xf numFmtId="0" fontId="6" fillId="33" borderId="16" xfId="48" applyFont="1" applyFill="1" applyBorder="1" applyAlignment="1">
      <alignment wrapText="1"/>
      <protection/>
    </xf>
    <xf numFmtId="49" fontId="7" fillId="0" borderId="13" xfId="48" applyNumberFormat="1" applyFont="1" applyFill="1" applyBorder="1" applyAlignment="1">
      <alignment horizontal="right"/>
      <protection/>
    </xf>
    <xf numFmtId="49" fontId="5" fillId="44" borderId="16" xfId="48" applyNumberFormat="1" applyFont="1" applyFill="1" applyBorder="1">
      <alignment/>
      <protection/>
    </xf>
    <xf numFmtId="49" fontId="5" fillId="33" borderId="17" xfId="48" applyNumberFormat="1" applyFont="1" applyFill="1" applyBorder="1">
      <alignment/>
      <protection/>
    </xf>
    <xf numFmtId="4" fontId="2" fillId="0" borderId="13" xfId="0" applyNumberFormat="1" applyFont="1" applyFill="1" applyBorder="1" applyAlignment="1">
      <alignment/>
    </xf>
    <xf numFmtId="4" fontId="2" fillId="0" borderId="32" xfId="48" applyNumberFormat="1" applyFont="1" applyFill="1" applyBorder="1">
      <alignment/>
      <protection/>
    </xf>
    <xf numFmtId="4" fontId="2" fillId="0" borderId="32" xfId="48" applyNumberFormat="1" applyFont="1" applyBorder="1">
      <alignment/>
      <protection/>
    </xf>
    <xf numFmtId="4" fontId="2" fillId="0" borderId="33" xfId="48" applyNumberFormat="1" applyFont="1" applyBorder="1">
      <alignment/>
      <protection/>
    </xf>
    <xf numFmtId="4" fontId="5" fillId="33" borderId="15" xfId="48" applyNumberFormat="1" applyFont="1" applyFill="1" applyBorder="1">
      <alignment/>
      <protection/>
    </xf>
    <xf numFmtId="4" fontId="2" fillId="40" borderId="13" xfId="49" applyNumberFormat="1" applyFont="1" applyFill="1" applyBorder="1">
      <alignment/>
      <protection/>
    </xf>
    <xf numFmtId="4" fontId="2" fillId="0" borderId="17" xfId="48" applyNumberFormat="1" applyFont="1" applyBorder="1">
      <alignment/>
      <protection/>
    </xf>
    <xf numFmtId="4" fontId="6" fillId="42" borderId="16" xfId="48" applyNumberFormat="1" applyFont="1" applyFill="1" applyBorder="1">
      <alignment/>
      <protection/>
    </xf>
    <xf numFmtId="4" fontId="6" fillId="0" borderId="23" xfId="48" applyNumberFormat="1" applyFont="1" applyBorder="1" applyAlignment="1">
      <alignment horizontal="center"/>
      <protection/>
    </xf>
    <xf numFmtId="4" fontId="6" fillId="42" borderId="23" xfId="48" applyNumberFormat="1" applyFont="1" applyFill="1" applyBorder="1">
      <alignment/>
      <protection/>
    </xf>
    <xf numFmtId="4" fontId="6" fillId="0" borderId="16" xfId="48" applyNumberFormat="1" applyFont="1" applyBorder="1" applyAlignment="1">
      <alignment horizontal="center"/>
      <protection/>
    </xf>
    <xf numFmtId="4" fontId="2" fillId="0" borderId="17" xfId="48" applyNumberFormat="1" applyFont="1" applyFill="1" applyBorder="1">
      <alignment/>
      <protection/>
    </xf>
    <xf numFmtId="4" fontId="6" fillId="0" borderId="25" xfId="48" applyNumberFormat="1" applyFont="1" applyBorder="1" applyAlignment="1">
      <alignment horizontal="center"/>
      <protection/>
    </xf>
    <xf numFmtId="4" fontId="6" fillId="41" borderId="25" xfId="48" applyNumberFormat="1" applyFont="1" applyFill="1" applyBorder="1">
      <alignment/>
      <protection/>
    </xf>
    <xf numFmtId="4" fontId="2" fillId="0" borderId="0" xfId="48" applyNumberFormat="1" applyFont="1" applyFill="1" applyBorder="1">
      <alignment/>
      <protection/>
    </xf>
    <xf numFmtId="4" fontId="6" fillId="42" borderId="25" xfId="48" applyNumberFormat="1" applyFont="1" applyFill="1" applyBorder="1">
      <alignment/>
      <protection/>
    </xf>
    <xf numFmtId="4" fontId="19" fillId="34" borderId="21" xfId="49" applyNumberFormat="1" applyFont="1" applyFill="1" applyBorder="1">
      <alignment/>
      <protection/>
    </xf>
    <xf numFmtId="4" fontId="5" fillId="40" borderId="13" xfId="51" applyNumberFormat="1" applyFont="1" applyFill="1" applyBorder="1">
      <alignment/>
      <protection/>
    </xf>
    <xf numFmtId="4" fontId="39" fillId="0" borderId="20" xfId="51" applyNumberFormat="1" applyFont="1" applyFill="1" applyBorder="1">
      <alignment/>
      <protection/>
    </xf>
    <xf numFmtId="4" fontId="20" fillId="0" borderId="20" xfId="51" applyNumberFormat="1" applyFont="1" applyFill="1" applyBorder="1">
      <alignment/>
      <protection/>
    </xf>
    <xf numFmtId="4" fontId="24" fillId="0" borderId="18" xfId="51" applyNumberFormat="1" applyFont="1" applyBorder="1">
      <alignment/>
      <protection/>
    </xf>
    <xf numFmtId="4" fontId="14" fillId="34" borderId="16" xfId="49" applyNumberFormat="1" applyFont="1" applyFill="1" applyBorder="1" applyAlignment="1">
      <alignment horizontal="right"/>
      <protection/>
    </xf>
    <xf numFmtId="4" fontId="16" fillId="0" borderId="10" xfId="49" applyNumberFormat="1" applyFont="1" applyFill="1" applyBorder="1">
      <alignment/>
      <protection/>
    </xf>
    <xf numFmtId="4" fontId="15" fillId="0" borderId="13" xfId="49" applyNumberFormat="1" applyFont="1" applyFill="1" applyBorder="1">
      <alignment/>
      <protection/>
    </xf>
    <xf numFmtId="4" fontId="35" fillId="33" borderId="16" xfId="49" applyNumberFormat="1" applyFont="1" applyFill="1" applyBorder="1">
      <alignment/>
      <protection/>
    </xf>
    <xf numFmtId="4" fontId="2" fillId="0" borderId="18" xfId="49" applyNumberFormat="1" applyFill="1" applyBorder="1">
      <alignment/>
      <protection/>
    </xf>
    <xf numFmtId="4" fontId="19" fillId="0" borderId="20" xfId="49" applyNumberFormat="1" applyFont="1" applyFill="1" applyBorder="1">
      <alignment/>
      <protection/>
    </xf>
    <xf numFmtId="4" fontId="94" fillId="0" borderId="18" xfId="49" applyNumberFormat="1" applyFont="1" applyFill="1" applyBorder="1">
      <alignment/>
      <protection/>
    </xf>
    <xf numFmtId="4" fontId="15" fillId="24" borderId="13" xfId="49" applyNumberFormat="1" applyFont="1" applyFill="1" applyBorder="1">
      <alignment/>
      <protection/>
    </xf>
    <xf numFmtId="4" fontId="9" fillId="0" borderId="16" xfId="49" applyNumberFormat="1" applyFont="1" applyBorder="1">
      <alignment/>
      <protection/>
    </xf>
    <xf numFmtId="4" fontId="6" fillId="34" borderId="16" xfId="49" applyNumberFormat="1" applyFont="1" applyFill="1" applyBorder="1" applyAlignment="1">
      <alignment horizontal="center"/>
      <protection/>
    </xf>
    <xf numFmtId="4" fontId="22" fillId="34" borderId="10" xfId="49" applyNumberFormat="1" applyFont="1" applyFill="1" applyBorder="1" applyAlignment="1">
      <alignment horizontal="right"/>
      <protection/>
    </xf>
    <xf numFmtId="4" fontId="40" fillId="41" borderId="16" xfId="49" applyNumberFormat="1" applyFont="1" applyFill="1" applyBorder="1">
      <alignment/>
      <protection/>
    </xf>
    <xf numFmtId="4" fontId="21" fillId="34" borderId="19" xfId="49" applyNumberFormat="1" applyFont="1" applyFill="1" applyBorder="1">
      <alignment/>
      <protection/>
    </xf>
    <xf numFmtId="4" fontId="17" fillId="0" borderId="10" xfId="49" applyNumberFormat="1" applyFont="1" applyFill="1" applyBorder="1">
      <alignment/>
      <protection/>
    </xf>
    <xf numFmtId="4" fontId="40" fillId="0" borderId="13" xfId="49" applyNumberFormat="1" applyFont="1" applyFill="1" applyBorder="1">
      <alignment/>
      <protection/>
    </xf>
    <xf numFmtId="4" fontId="15" fillId="0" borderId="0" xfId="49" applyNumberFormat="1" applyFont="1">
      <alignment/>
      <protection/>
    </xf>
    <xf numFmtId="4" fontId="35" fillId="0" borderId="0" xfId="49" applyNumberFormat="1" applyFont="1">
      <alignment/>
      <protection/>
    </xf>
    <xf numFmtId="49" fontId="2" fillId="0" borderId="13" xfId="48" applyNumberFormat="1" applyFont="1" applyFill="1" applyBorder="1" applyAlignment="1">
      <alignment horizontal="left"/>
      <protection/>
    </xf>
    <xf numFmtId="49" fontId="2" fillId="0" borderId="13" xfId="48" applyNumberFormat="1" applyFont="1" applyFill="1" applyBorder="1" applyAlignment="1">
      <alignment horizontal="left" wrapText="1"/>
      <protection/>
    </xf>
    <xf numFmtId="4" fontId="95" fillId="0" borderId="13" xfId="48" applyNumberFormat="1" applyFont="1" applyFill="1" applyBorder="1">
      <alignment/>
      <protection/>
    </xf>
    <xf numFmtId="4" fontId="32" fillId="0" borderId="0" xfId="49" applyNumberFormat="1" applyFont="1" applyFill="1">
      <alignment/>
      <protection/>
    </xf>
    <xf numFmtId="4" fontId="32" fillId="0" borderId="0" xfId="49" applyNumberFormat="1" applyFont="1">
      <alignment/>
      <protection/>
    </xf>
    <xf numFmtId="4" fontId="15" fillId="45" borderId="13" xfId="49" applyNumberFormat="1" applyFont="1" applyFill="1" applyBorder="1">
      <alignment/>
      <protection/>
    </xf>
    <xf numFmtId="4" fontId="11" fillId="34" borderId="26" xfId="49" applyNumberFormat="1" applyFont="1" applyFill="1" applyBorder="1" applyAlignment="1">
      <alignment horizontal="center"/>
      <protection/>
    </xf>
    <xf numFmtId="4" fontId="14" fillId="34" borderId="34" xfId="49" applyNumberFormat="1" applyFont="1" applyFill="1" applyBorder="1" applyAlignment="1">
      <alignment horizontal="right"/>
      <protection/>
    </xf>
    <xf numFmtId="4" fontId="14" fillId="34" borderId="26" xfId="49" applyNumberFormat="1" applyFont="1" applyFill="1" applyBorder="1">
      <alignment/>
      <protection/>
    </xf>
    <xf numFmtId="4" fontId="14" fillId="37" borderId="26" xfId="49" applyNumberFormat="1" applyFont="1" applyFill="1" applyBorder="1">
      <alignment/>
      <protection/>
    </xf>
    <xf numFmtId="4" fontId="17" fillId="33" borderId="26" xfId="49" applyNumberFormat="1" applyFont="1" applyFill="1" applyBorder="1">
      <alignment/>
      <protection/>
    </xf>
    <xf numFmtId="4" fontId="14" fillId="38" borderId="26" xfId="49" applyNumberFormat="1" applyFont="1" applyFill="1" applyBorder="1">
      <alignment/>
      <protection/>
    </xf>
    <xf numFmtId="4" fontId="14" fillId="12" borderId="18" xfId="49" applyNumberFormat="1" applyFont="1" applyFill="1" applyBorder="1" applyAlignment="1">
      <alignment horizontal="left" vertical="center" wrapText="1"/>
      <protection/>
    </xf>
    <xf numFmtId="4" fontId="14" fillId="12" borderId="13" xfId="49" applyNumberFormat="1" applyFont="1" applyFill="1" applyBorder="1" applyAlignment="1">
      <alignment horizontal="right" vertical="center" wrapText="1"/>
      <protection/>
    </xf>
    <xf numFmtId="4" fontId="14" fillId="12" borderId="35" xfId="49" applyNumberFormat="1" applyFont="1" applyFill="1" applyBorder="1" applyAlignment="1">
      <alignment horizontal="right" vertical="center" wrapText="1"/>
      <protection/>
    </xf>
    <xf numFmtId="4" fontId="14" fillId="12" borderId="18" xfId="49" applyNumberFormat="1" applyFont="1" applyFill="1" applyBorder="1" applyAlignment="1">
      <alignment horizontal="right" vertical="center" wrapText="1"/>
      <protection/>
    </xf>
    <xf numFmtId="4" fontId="19" fillId="39" borderId="13" xfId="51" applyNumberFormat="1" applyFont="1" applyFill="1" applyBorder="1">
      <alignment/>
      <protection/>
    </xf>
    <xf numFmtId="4" fontId="19" fillId="39" borderId="18" xfId="49" applyNumberFormat="1" applyFont="1" applyFill="1" applyBorder="1">
      <alignment/>
      <protection/>
    </xf>
    <xf numFmtId="4" fontId="20" fillId="39" borderId="13" xfId="49" applyNumberFormat="1" applyFont="1" applyFill="1" applyBorder="1">
      <alignment/>
      <protection/>
    </xf>
    <xf numFmtId="4" fontId="15" fillId="39" borderId="13" xfId="49" applyNumberFormat="1" applyFont="1" applyFill="1" applyBorder="1">
      <alignment/>
      <protection/>
    </xf>
    <xf numFmtId="4" fontId="17" fillId="0" borderId="13" xfId="51" applyNumberFormat="1" applyFont="1" applyFill="1" applyBorder="1">
      <alignment/>
      <protection/>
    </xf>
    <xf numFmtId="4" fontId="17" fillId="0" borderId="18" xfId="49" applyNumberFormat="1" applyFont="1" applyFill="1" applyBorder="1" applyAlignment="1">
      <alignment horizontal="right" vertical="center" wrapText="1"/>
      <protection/>
    </xf>
    <xf numFmtId="4" fontId="19" fillId="46" borderId="13" xfId="49" applyNumberFormat="1" applyFont="1" applyFill="1" applyBorder="1">
      <alignment/>
      <protection/>
    </xf>
    <xf numFmtId="4" fontId="20" fillId="46" borderId="13" xfId="49" applyNumberFormat="1" applyFont="1" applyFill="1" applyBorder="1">
      <alignment/>
      <protection/>
    </xf>
    <xf numFmtId="4" fontId="15" fillId="46" borderId="13" xfId="49" applyNumberFormat="1" applyFont="1" applyFill="1" applyBorder="1">
      <alignment/>
      <protection/>
    </xf>
    <xf numFmtId="4" fontId="17" fillId="10" borderId="16" xfId="49" applyNumberFormat="1" applyFont="1" applyFill="1" applyBorder="1">
      <alignment/>
      <protection/>
    </xf>
    <xf numFmtId="4" fontId="19" fillId="10" borderId="16" xfId="49" applyNumberFormat="1" applyFont="1" applyFill="1" applyBorder="1">
      <alignment/>
      <protection/>
    </xf>
    <xf numFmtId="4" fontId="19" fillId="10" borderId="16" xfId="49" applyNumberFormat="1" applyFont="1" applyFill="1" applyBorder="1">
      <alignment/>
      <protection/>
    </xf>
    <xf numFmtId="4" fontId="19" fillId="10" borderId="10" xfId="49" applyNumberFormat="1" applyFont="1" applyFill="1" applyBorder="1">
      <alignment/>
      <protection/>
    </xf>
    <xf numFmtId="4" fontId="19" fillId="10" borderId="10" xfId="49" applyNumberFormat="1" applyFont="1" applyFill="1" applyBorder="1">
      <alignment/>
      <protection/>
    </xf>
    <xf numFmtId="4" fontId="6" fillId="10" borderId="13" xfId="48" applyNumberFormat="1" applyFont="1" applyFill="1" applyBorder="1">
      <alignment/>
      <protection/>
    </xf>
    <xf numFmtId="4" fontId="15" fillId="10" borderId="16" xfId="49" applyNumberFormat="1" applyFont="1" applyFill="1" applyBorder="1">
      <alignment/>
      <protection/>
    </xf>
    <xf numFmtId="4" fontId="15" fillId="10" borderId="16" xfId="49" applyNumberFormat="1" applyFont="1" applyFill="1" applyBorder="1">
      <alignment/>
      <protection/>
    </xf>
    <xf numFmtId="4" fontId="19" fillId="45" borderId="13" xfId="49" applyNumberFormat="1" applyFont="1" applyFill="1" applyBorder="1">
      <alignment/>
      <protection/>
    </xf>
    <xf numFmtId="4" fontId="19" fillId="45" borderId="13" xfId="51" applyNumberFormat="1" applyFont="1" applyFill="1" applyBorder="1">
      <alignment/>
      <protection/>
    </xf>
    <xf numFmtId="4" fontId="19" fillId="45" borderId="18" xfId="49" applyNumberFormat="1" applyFont="1" applyFill="1" applyBorder="1">
      <alignment/>
      <protection/>
    </xf>
    <xf numFmtId="4" fontId="20" fillId="45" borderId="13" xfId="49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4" fontId="6" fillId="0" borderId="0" xfId="48" applyNumberFormat="1" applyFont="1">
      <alignment/>
      <protection/>
    </xf>
    <xf numFmtId="4" fontId="6" fillId="34" borderId="18" xfId="48" applyNumberFormat="1" applyFont="1" applyFill="1" applyBorder="1">
      <alignment/>
      <protection/>
    </xf>
    <xf numFmtId="4" fontId="6" fillId="0" borderId="18" xfId="48" applyNumberFormat="1" applyFont="1" applyFill="1" applyBorder="1" applyAlignment="1">
      <alignment wrapText="1"/>
      <protection/>
    </xf>
    <xf numFmtId="4" fontId="7" fillId="0" borderId="19" xfId="48" applyNumberFormat="1" applyFont="1" applyFill="1" applyBorder="1">
      <alignment/>
      <protection/>
    </xf>
    <xf numFmtId="4" fontId="7" fillId="0" borderId="21" xfId="48" applyNumberFormat="1" applyFont="1" applyFill="1" applyBorder="1">
      <alignment/>
      <protection/>
    </xf>
    <xf numFmtId="4" fontId="5" fillId="42" borderId="16" xfId="48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4" fontId="2" fillId="0" borderId="0" xfId="48" applyNumberFormat="1" applyFont="1">
      <alignment/>
      <protection/>
    </xf>
    <xf numFmtId="4" fontId="6" fillId="34" borderId="16" xfId="49" applyNumberFormat="1" applyFont="1" applyFill="1" applyBorder="1" applyAlignment="1">
      <alignment horizontal="center"/>
      <protection/>
    </xf>
    <xf numFmtId="4" fontId="7" fillId="34" borderId="16" xfId="51" applyNumberFormat="1" applyFont="1" applyFill="1" applyBorder="1" applyAlignment="1">
      <alignment wrapText="1"/>
      <protection/>
    </xf>
    <xf numFmtId="4" fontId="27" fillId="0" borderId="18" xfId="48" applyNumberFormat="1" applyFont="1" applyFill="1" applyBorder="1" applyAlignment="1">
      <alignment wrapText="1"/>
      <protection/>
    </xf>
    <xf numFmtId="4" fontId="2" fillId="0" borderId="18" xfId="48" applyNumberFormat="1" applyFont="1" applyFill="1" applyBorder="1" applyAlignment="1">
      <alignment wrapText="1"/>
      <protection/>
    </xf>
    <xf numFmtId="4" fontId="2" fillId="0" borderId="0" xfId="49" applyNumberFormat="1" applyFont="1" applyBorder="1" applyAlignment="1">
      <alignment horizontal="right"/>
      <protection/>
    </xf>
    <xf numFmtId="4" fontId="8" fillId="0" borderId="15" xfId="49" applyNumberFormat="1" applyFont="1" applyBorder="1">
      <alignment/>
      <protection/>
    </xf>
    <xf numFmtId="4" fontId="8" fillId="0" borderId="15" xfId="49" applyNumberFormat="1" applyFont="1" applyBorder="1">
      <alignment/>
      <protection/>
    </xf>
    <xf numFmtId="4" fontId="2" fillId="0" borderId="15" xfId="49" applyNumberFormat="1" applyFont="1" applyBorder="1" applyAlignment="1">
      <alignment horizontal="center"/>
      <protection/>
    </xf>
    <xf numFmtId="4" fontId="8" fillId="0" borderId="0" xfId="49" applyNumberFormat="1" applyFont="1">
      <alignment/>
      <protection/>
    </xf>
    <xf numFmtId="4" fontId="6" fillId="34" borderId="16" xfId="51" applyNumberFormat="1" applyFont="1" applyFill="1" applyBorder="1" applyAlignment="1">
      <alignment wrapText="1"/>
      <protection/>
    </xf>
    <xf numFmtId="4" fontId="5" fillId="0" borderId="11" xfId="51" applyNumberFormat="1" applyFont="1" applyBorder="1">
      <alignment/>
      <protection/>
    </xf>
    <xf numFmtId="4" fontId="33" fillId="0" borderId="0" xfId="49" applyNumberFormat="1" applyFont="1">
      <alignment/>
      <protection/>
    </xf>
    <xf numFmtId="4" fontId="5" fillId="40" borderId="11" xfId="51" applyNumberFormat="1" applyFont="1" applyFill="1" applyBorder="1">
      <alignment/>
      <protection/>
    </xf>
    <xf numFmtId="4" fontId="5" fillId="0" borderId="22" xfId="51" applyNumberFormat="1" applyFont="1" applyBorder="1">
      <alignment/>
      <protection/>
    </xf>
    <xf numFmtId="4" fontId="34" fillId="0" borderId="0" xfId="49" applyNumberFormat="1" applyFont="1">
      <alignment/>
      <protection/>
    </xf>
    <xf numFmtId="4" fontId="2" fillId="0" borderId="13" xfId="51" applyNumberFormat="1" applyFont="1" applyBorder="1">
      <alignment/>
      <protection/>
    </xf>
    <xf numFmtId="4" fontId="2" fillId="0" borderId="0" xfId="49" applyNumberFormat="1" applyFill="1">
      <alignment/>
      <protection/>
    </xf>
    <xf numFmtId="4" fontId="9" fillId="0" borderId="0" xfId="49" applyNumberFormat="1" applyFont="1">
      <alignment/>
      <protection/>
    </xf>
    <xf numFmtId="4" fontId="2" fillId="34" borderId="0" xfId="49" applyNumberFormat="1" applyFill="1">
      <alignment/>
      <protection/>
    </xf>
    <xf numFmtId="4" fontId="6" fillId="34" borderId="0" xfId="49" applyNumberFormat="1" applyFont="1" applyFill="1">
      <alignment/>
      <protection/>
    </xf>
    <xf numFmtId="4" fontId="19" fillId="0" borderId="36" xfId="51" applyNumberFormat="1" applyFont="1" applyFill="1" applyBorder="1">
      <alignment/>
      <protection/>
    </xf>
    <xf numFmtId="4" fontId="11" fillId="34" borderId="25" xfId="49" applyNumberFormat="1" applyFont="1" applyFill="1" applyBorder="1" applyAlignment="1">
      <alignment horizontal="center"/>
      <protection/>
    </xf>
    <xf numFmtId="4" fontId="14" fillId="34" borderId="15" xfId="49" applyNumberFormat="1" applyFont="1" applyFill="1" applyBorder="1" applyAlignment="1">
      <alignment horizontal="right"/>
      <protection/>
    </xf>
    <xf numFmtId="4" fontId="14" fillId="34" borderId="25" xfId="49" applyNumberFormat="1" applyFont="1" applyFill="1" applyBorder="1">
      <alignment/>
      <protection/>
    </xf>
    <xf numFmtId="4" fontId="14" fillId="37" borderId="25" xfId="49" applyNumberFormat="1" applyFont="1" applyFill="1" applyBorder="1">
      <alignment/>
      <protection/>
    </xf>
    <xf numFmtId="4" fontId="19" fillId="0" borderId="0" xfId="51" applyNumberFormat="1" applyFont="1" applyFill="1" applyBorder="1">
      <alignment/>
      <protection/>
    </xf>
    <xf numFmtId="4" fontId="19" fillId="0" borderId="36" xfId="49" applyNumberFormat="1" applyFont="1" applyFill="1" applyBorder="1">
      <alignment/>
      <protection/>
    </xf>
    <xf numFmtId="4" fontId="19" fillId="35" borderId="36" xfId="49" applyNumberFormat="1" applyFont="1" applyFill="1" applyBorder="1">
      <alignment/>
      <protection/>
    </xf>
    <xf numFmtId="4" fontId="19" fillId="34" borderId="32" xfId="49" applyNumberFormat="1" applyFont="1" applyFill="1" applyBorder="1">
      <alignment/>
      <protection/>
    </xf>
    <xf numFmtId="4" fontId="19" fillId="0" borderId="33" xfId="49" applyNumberFormat="1" applyFont="1" applyFill="1" applyBorder="1">
      <alignment/>
      <protection/>
    </xf>
    <xf numFmtId="4" fontId="17" fillId="0" borderId="37" xfId="51" applyNumberFormat="1" applyFont="1" applyFill="1" applyBorder="1">
      <alignment/>
      <protection/>
    </xf>
    <xf numFmtId="4" fontId="19" fillId="40" borderId="36" xfId="51" applyNumberFormat="1" applyFont="1" applyFill="1" applyBorder="1">
      <alignment/>
      <protection/>
    </xf>
    <xf numFmtId="4" fontId="19" fillId="0" borderId="32" xfId="49" applyNumberFormat="1" applyFont="1" applyFill="1" applyBorder="1">
      <alignment/>
      <protection/>
    </xf>
    <xf numFmtId="4" fontId="17" fillId="0" borderId="32" xfId="49" applyNumberFormat="1" applyFont="1" applyFill="1" applyBorder="1">
      <alignment/>
      <protection/>
    </xf>
    <xf numFmtId="4" fontId="14" fillId="12" borderId="32" xfId="49" applyNumberFormat="1" applyFont="1" applyFill="1" applyBorder="1" applyAlignment="1">
      <alignment horizontal="right" vertical="center" wrapText="1"/>
      <protection/>
    </xf>
    <xf numFmtId="4" fontId="19" fillId="24" borderId="32" xfId="49" applyNumberFormat="1" applyFont="1" applyFill="1" applyBorder="1">
      <alignment/>
      <protection/>
    </xf>
    <xf numFmtId="4" fontId="19" fillId="45" borderId="32" xfId="51" applyNumberFormat="1" applyFont="1" applyFill="1" applyBorder="1">
      <alignment/>
      <protection/>
    </xf>
    <xf numFmtId="4" fontId="19" fillId="45" borderId="32" xfId="49" applyNumberFormat="1" applyFont="1" applyFill="1" applyBorder="1">
      <alignment/>
      <protection/>
    </xf>
    <xf numFmtId="4" fontId="19" fillId="39" borderId="32" xfId="49" applyNumberFormat="1" applyFont="1" applyFill="1" applyBorder="1">
      <alignment/>
      <protection/>
    </xf>
    <xf numFmtId="4" fontId="19" fillId="46" borderId="32" xfId="49" applyNumberFormat="1" applyFont="1" applyFill="1" applyBorder="1">
      <alignment/>
      <protection/>
    </xf>
    <xf numFmtId="4" fontId="19" fillId="0" borderId="32" xfId="51" applyNumberFormat="1" applyFont="1" applyFill="1" applyBorder="1">
      <alignment/>
      <protection/>
    </xf>
    <xf numFmtId="4" fontId="19" fillId="10" borderId="25" xfId="49" applyNumberFormat="1" applyFont="1" applyFill="1" applyBorder="1">
      <alignment/>
      <protection/>
    </xf>
    <xf numFmtId="4" fontId="19" fillId="10" borderId="0" xfId="49" applyNumberFormat="1" applyFont="1" applyFill="1" applyBorder="1">
      <alignment/>
      <protection/>
    </xf>
    <xf numFmtId="4" fontId="19" fillId="34" borderId="0" xfId="49" applyNumberFormat="1" applyFont="1" applyFill="1" applyBorder="1">
      <alignment/>
      <protection/>
    </xf>
    <xf numFmtId="4" fontId="14" fillId="38" borderId="25" xfId="49" applyNumberFormat="1" applyFont="1" applyFill="1" applyBorder="1">
      <alignment/>
      <protection/>
    </xf>
    <xf numFmtId="4" fontId="14" fillId="38" borderId="38" xfId="49" applyNumberFormat="1" applyFont="1" applyFill="1" applyBorder="1">
      <alignment/>
      <protection/>
    </xf>
    <xf numFmtId="4" fontId="19" fillId="0" borderId="37" xfId="49" applyNumberFormat="1" applyFont="1" applyFill="1" applyBorder="1">
      <alignment/>
      <protection/>
    </xf>
    <xf numFmtId="4" fontId="2" fillId="0" borderId="0" xfId="48" applyNumberFormat="1" applyFont="1" applyFill="1" applyBorder="1">
      <alignment/>
      <protection/>
    </xf>
    <xf numFmtId="4" fontId="2" fillId="36" borderId="29" xfId="49" applyNumberFormat="1" applyFill="1" applyBorder="1">
      <alignment/>
      <protection/>
    </xf>
    <xf numFmtId="4" fontId="16" fillId="34" borderId="33" xfId="49" applyNumberFormat="1" applyFont="1" applyFill="1" applyBorder="1">
      <alignment/>
      <protection/>
    </xf>
    <xf numFmtId="4" fontId="19" fillId="34" borderId="0" xfId="49" applyNumberFormat="1" applyFont="1" applyFill="1" applyBorder="1">
      <alignment/>
      <protection/>
    </xf>
    <xf numFmtId="4" fontId="17" fillId="36" borderId="26" xfId="49" applyNumberFormat="1" applyFont="1" applyFill="1" applyBorder="1">
      <alignment/>
      <protection/>
    </xf>
    <xf numFmtId="4" fontId="12" fillId="34" borderId="39" xfId="51" applyNumberFormat="1" applyFont="1" applyFill="1" applyBorder="1" applyAlignment="1">
      <alignment horizontal="right"/>
      <protection/>
    </xf>
    <xf numFmtId="4" fontId="12" fillId="34" borderId="40" xfId="51" applyNumberFormat="1" applyFont="1" applyFill="1" applyBorder="1" applyAlignment="1">
      <alignment horizontal="right"/>
      <protection/>
    </xf>
    <xf numFmtId="4" fontId="12" fillId="0" borderId="39" xfId="49" applyNumberFormat="1" applyFont="1" applyFill="1" applyBorder="1" applyAlignment="1">
      <alignment horizontal="right"/>
      <protection/>
    </xf>
    <xf numFmtId="4" fontId="12" fillId="35" borderId="39" xfId="49" applyNumberFormat="1" applyFont="1" applyFill="1" applyBorder="1" applyAlignment="1">
      <alignment horizontal="right"/>
      <protection/>
    </xf>
    <xf numFmtId="4" fontId="12" fillId="0" borderId="40" xfId="49" applyNumberFormat="1" applyFont="1" applyFill="1" applyBorder="1" applyAlignment="1">
      <alignment horizontal="right"/>
      <protection/>
    </xf>
    <xf numFmtId="4" fontId="17" fillId="0" borderId="41" xfId="51" applyNumberFormat="1" applyFont="1" applyFill="1" applyBorder="1">
      <alignment/>
      <protection/>
    </xf>
    <xf numFmtId="4" fontId="17" fillId="0" borderId="35" xfId="51" applyNumberFormat="1" applyFont="1" applyFill="1" applyBorder="1">
      <alignment/>
      <protection/>
    </xf>
    <xf numFmtId="4" fontId="17" fillId="33" borderId="26" xfId="49" applyNumberFormat="1" applyFont="1" applyFill="1" applyBorder="1">
      <alignment/>
      <protection/>
    </xf>
    <xf numFmtId="4" fontId="17" fillId="0" borderId="40" xfId="49" applyNumberFormat="1" applyFont="1" applyFill="1" applyBorder="1">
      <alignment/>
      <protection/>
    </xf>
    <xf numFmtId="4" fontId="17" fillId="33" borderId="26" xfId="49" applyNumberFormat="1" applyFont="1" applyFill="1" applyBorder="1" applyAlignment="1">
      <alignment vertical="center"/>
      <protection/>
    </xf>
    <xf numFmtId="4" fontId="39" fillId="0" borderId="41" xfId="51" applyNumberFormat="1" applyFont="1" applyFill="1" applyBorder="1">
      <alignment/>
      <protection/>
    </xf>
    <xf numFmtId="4" fontId="39" fillId="0" borderId="35" xfId="51" applyNumberFormat="1" applyFont="1" applyFill="1" applyBorder="1">
      <alignment/>
      <protection/>
    </xf>
    <xf numFmtId="4" fontId="39" fillId="24" borderId="39" xfId="49" applyNumberFormat="1" applyFont="1" applyFill="1" applyBorder="1">
      <alignment/>
      <protection/>
    </xf>
    <xf numFmtId="4" fontId="20" fillId="45" borderId="39" xfId="51" applyNumberFormat="1" applyFont="1" applyFill="1" applyBorder="1">
      <alignment/>
      <protection/>
    </xf>
    <xf numFmtId="4" fontId="39" fillId="45" borderId="39" xfId="49" applyNumberFormat="1" applyFont="1" applyFill="1" applyBorder="1">
      <alignment/>
      <protection/>
    </xf>
    <xf numFmtId="4" fontId="39" fillId="39" borderId="39" xfId="49" applyNumberFormat="1" applyFont="1" applyFill="1" applyBorder="1">
      <alignment/>
      <protection/>
    </xf>
    <xf numFmtId="4" fontId="39" fillId="46" borderId="35" xfId="49" applyNumberFormat="1" applyFont="1" applyFill="1" applyBorder="1">
      <alignment/>
      <protection/>
    </xf>
    <xf numFmtId="4" fontId="39" fillId="0" borderId="35" xfId="49" applyNumberFormat="1" applyFont="1" applyFill="1" applyBorder="1">
      <alignment/>
      <protection/>
    </xf>
    <xf numFmtId="4" fontId="39" fillId="0" borderId="35" xfId="49" applyNumberFormat="1" applyFont="1" applyFill="1" applyBorder="1">
      <alignment/>
      <protection/>
    </xf>
    <xf numFmtId="4" fontId="17" fillId="10" borderId="26" xfId="49" applyNumberFormat="1" applyFont="1" applyFill="1" applyBorder="1">
      <alignment/>
      <protection/>
    </xf>
    <xf numFmtId="4" fontId="17" fillId="34" borderId="40" xfId="49" applyNumberFormat="1" applyFont="1" applyFill="1" applyBorder="1">
      <alignment/>
      <protection/>
    </xf>
    <xf numFmtId="4" fontId="17" fillId="34" borderId="35" xfId="49" applyNumberFormat="1" applyFont="1" applyFill="1" applyBorder="1">
      <alignment/>
      <protection/>
    </xf>
    <xf numFmtId="4" fontId="17" fillId="36" borderId="34" xfId="49" applyNumberFormat="1" applyFont="1" applyFill="1" applyBorder="1">
      <alignment/>
      <protection/>
    </xf>
    <xf numFmtId="4" fontId="17" fillId="0" borderId="13" xfId="49" applyNumberFormat="1" applyFont="1" applyFill="1" applyBorder="1" applyAlignment="1">
      <alignment horizontal="right" vertical="center" wrapText="1"/>
      <protection/>
    </xf>
    <xf numFmtId="4" fontId="17" fillId="10" borderId="10" xfId="49" applyNumberFormat="1" applyFont="1" applyFill="1" applyBorder="1">
      <alignment/>
      <protection/>
    </xf>
    <xf numFmtId="4" fontId="96" fillId="0" borderId="0" xfId="0" applyNumberFormat="1" applyFont="1" applyAlignment="1">
      <alignment/>
    </xf>
    <xf numFmtId="4" fontId="41" fillId="34" borderId="0" xfId="0" applyNumberFormat="1" applyFont="1" applyFill="1" applyAlignment="1">
      <alignment wrapText="1"/>
    </xf>
    <xf numFmtId="4" fontId="6" fillId="34" borderId="18" xfId="48" applyNumberFormat="1" applyFont="1" applyFill="1" applyBorder="1" applyAlignment="1">
      <alignment wrapText="1"/>
      <protection/>
    </xf>
    <xf numFmtId="4" fontId="5" fillId="0" borderId="0" xfId="0" applyNumberFormat="1" applyFont="1" applyAlignment="1">
      <alignment wrapText="1"/>
    </xf>
    <xf numFmtId="4" fontId="25" fillId="40" borderId="0" xfId="48" applyNumberFormat="1" applyFont="1" applyFill="1">
      <alignment/>
      <protection/>
    </xf>
    <xf numFmtId="49" fontId="2" fillId="40" borderId="13" xfId="48" applyNumberFormat="1" applyFont="1" applyFill="1" applyBorder="1" applyAlignment="1">
      <alignment horizontal="left"/>
      <protection/>
    </xf>
    <xf numFmtId="49" fontId="5" fillId="0" borderId="13" xfId="48" applyNumberFormat="1" applyFont="1" applyFill="1" applyBorder="1" applyAlignment="1">
      <alignment horizontal="left"/>
      <protection/>
    </xf>
    <xf numFmtId="49" fontId="2" fillId="40" borderId="13" xfId="48" applyNumberFormat="1" applyFont="1" applyFill="1" applyBorder="1" applyAlignment="1">
      <alignment horizontal="left" wrapText="1"/>
      <protection/>
    </xf>
    <xf numFmtId="49" fontId="2" fillId="40" borderId="19" xfId="48" applyNumberFormat="1" applyFont="1" applyFill="1" applyBorder="1" applyAlignment="1">
      <alignment horizontal="left"/>
      <protection/>
    </xf>
    <xf numFmtId="4" fontId="19" fillId="36" borderId="26" xfId="49" applyNumberFormat="1" applyFont="1" applyFill="1" applyBorder="1">
      <alignment/>
      <protection/>
    </xf>
    <xf numFmtId="4" fontId="19" fillId="0" borderId="39" xfId="51" applyNumberFormat="1" applyFont="1" applyFill="1" applyBorder="1">
      <alignment/>
      <protection/>
    </xf>
    <xf numFmtId="4" fontId="19" fillId="0" borderId="40" xfId="51" applyNumberFormat="1" applyFont="1" applyFill="1" applyBorder="1">
      <alignment/>
      <protection/>
    </xf>
    <xf numFmtId="4" fontId="19" fillId="0" borderId="39" xfId="49" applyNumberFormat="1" applyFont="1" applyFill="1" applyBorder="1">
      <alignment/>
      <protection/>
    </xf>
    <xf numFmtId="4" fontId="19" fillId="35" borderId="39" xfId="49" applyNumberFormat="1" applyFont="1" applyFill="1" applyBorder="1">
      <alignment/>
      <protection/>
    </xf>
    <xf numFmtId="4" fontId="17" fillId="0" borderId="41" xfId="51" applyNumberFormat="1" applyFont="1" applyFill="1" applyBorder="1">
      <alignment/>
      <protection/>
    </xf>
    <xf numFmtId="4" fontId="19" fillId="40" borderId="39" xfId="51" applyNumberFormat="1" applyFont="1" applyFill="1" applyBorder="1">
      <alignment/>
      <protection/>
    </xf>
    <xf numFmtId="4" fontId="17" fillId="0" borderId="39" xfId="49" applyNumberFormat="1" applyFont="1" applyFill="1" applyBorder="1">
      <alignment/>
      <protection/>
    </xf>
    <xf numFmtId="4" fontId="23" fillId="0" borderId="40" xfId="49" applyNumberFormat="1" applyFont="1" applyFill="1" applyBorder="1">
      <alignment/>
      <protection/>
    </xf>
    <xf numFmtId="4" fontId="19" fillId="24" borderId="39" xfId="49" applyNumberFormat="1" applyFont="1" applyFill="1" applyBorder="1">
      <alignment/>
      <protection/>
    </xf>
    <xf numFmtId="4" fontId="19" fillId="45" borderId="39" xfId="51" applyNumberFormat="1" applyFont="1" applyFill="1" applyBorder="1">
      <alignment/>
      <protection/>
    </xf>
    <xf numFmtId="4" fontId="19" fillId="45" borderId="39" xfId="49" applyNumberFormat="1" applyFont="1" applyFill="1" applyBorder="1">
      <alignment/>
      <protection/>
    </xf>
    <xf numFmtId="4" fontId="19" fillId="39" borderId="39" xfId="49" applyNumberFormat="1" applyFont="1" applyFill="1" applyBorder="1">
      <alignment/>
      <protection/>
    </xf>
    <xf numFmtId="4" fontId="19" fillId="46" borderId="35" xfId="49" applyNumberFormat="1" applyFont="1" applyFill="1" applyBorder="1">
      <alignment/>
      <protection/>
    </xf>
    <xf numFmtId="4" fontId="17" fillId="0" borderId="35" xfId="49" applyNumberFormat="1" applyFont="1" applyFill="1" applyBorder="1">
      <alignment/>
      <protection/>
    </xf>
    <xf numFmtId="4" fontId="19" fillId="0" borderId="35" xfId="49" applyNumberFormat="1" applyFont="1" applyFill="1" applyBorder="1">
      <alignment/>
      <protection/>
    </xf>
    <xf numFmtId="4" fontId="19" fillId="10" borderId="26" xfId="49" applyNumberFormat="1" applyFont="1" applyFill="1" applyBorder="1">
      <alignment/>
      <protection/>
    </xf>
    <xf numFmtId="4" fontId="19" fillId="10" borderId="40" xfId="49" applyNumberFormat="1" applyFont="1" applyFill="1" applyBorder="1">
      <alignment/>
      <protection/>
    </xf>
    <xf numFmtId="4" fontId="19" fillId="34" borderId="40" xfId="49" applyNumberFormat="1" applyFont="1" applyFill="1" applyBorder="1">
      <alignment/>
      <protection/>
    </xf>
    <xf numFmtId="4" fontId="19" fillId="34" borderId="35" xfId="49" applyNumberFormat="1" applyFont="1" applyFill="1" applyBorder="1">
      <alignment/>
      <protection/>
    </xf>
    <xf numFmtId="4" fontId="2" fillId="0" borderId="40" xfId="48" applyNumberFormat="1" applyFont="1" applyFill="1" applyBorder="1">
      <alignment/>
      <protection/>
    </xf>
    <xf numFmtId="4" fontId="19" fillId="35" borderId="35" xfId="49" applyNumberFormat="1" applyFont="1" applyFill="1" applyBorder="1">
      <alignment/>
      <protection/>
    </xf>
    <xf numFmtId="4" fontId="2" fillId="36" borderId="34" xfId="49" applyNumberFormat="1" applyFill="1" applyBorder="1">
      <alignment/>
      <protection/>
    </xf>
    <xf numFmtId="4" fontId="11" fillId="10" borderId="26" xfId="49" applyNumberFormat="1" applyFont="1" applyFill="1" applyBorder="1" applyAlignment="1">
      <alignment horizontal="center" wrapText="1"/>
      <protection/>
    </xf>
    <xf numFmtId="4" fontId="17" fillId="33" borderId="24" xfId="49" applyNumberFormat="1" applyFont="1" applyFill="1" applyBorder="1" applyAlignment="1">
      <alignment horizontal="right" vertical="center" wrapText="1"/>
      <protection/>
    </xf>
    <xf numFmtId="4" fontId="17" fillId="33" borderId="38" xfId="49" applyNumberFormat="1" applyFont="1" applyFill="1" applyBorder="1" applyAlignment="1">
      <alignment horizontal="right" vertical="center" wrapText="1"/>
      <protection/>
    </xf>
    <xf numFmtId="4" fontId="17" fillId="33" borderId="42" xfId="49" applyNumberFormat="1" applyFont="1" applyFill="1" applyBorder="1" applyAlignment="1">
      <alignment horizontal="right" vertical="center" wrapText="1"/>
      <protection/>
    </xf>
    <xf numFmtId="4" fontId="2" fillId="40" borderId="18" xfId="51" applyNumberFormat="1" applyFont="1" applyFill="1" applyBorder="1">
      <alignment/>
      <protection/>
    </xf>
    <xf numFmtId="4" fontId="2" fillId="40" borderId="39" xfId="51" applyNumberFormat="1" applyFont="1" applyFill="1" applyBorder="1">
      <alignment/>
      <protection/>
    </xf>
    <xf numFmtId="4" fontId="17" fillId="9" borderId="18" xfId="51" applyNumberFormat="1" applyFont="1" applyFill="1" applyBorder="1">
      <alignment/>
      <protection/>
    </xf>
    <xf numFmtId="4" fontId="17" fillId="9" borderId="43" xfId="51" applyNumberFormat="1" applyFont="1" applyFill="1" applyBorder="1">
      <alignment/>
      <protection/>
    </xf>
    <xf numFmtId="4" fontId="17" fillId="9" borderId="39" xfId="51" applyNumberFormat="1" applyFont="1" applyFill="1" applyBorder="1">
      <alignment/>
      <protection/>
    </xf>
    <xf numFmtId="4" fontId="19" fillId="11" borderId="13" xfId="49" applyNumberFormat="1" applyFont="1" applyFill="1" applyBorder="1">
      <alignment/>
      <protection/>
    </xf>
    <xf numFmtId="4" fontId="19" fillId="11" borderId="32" xfId="49" applyNumberFormat="1" applyFont="1" applyFill="1" applyBorder="1">
      <alignment/>
      <protection/>
    </xf>
    <xf numFmtId="4" fontId="19" fillId="11" borderId="13" xfId="51" applyNumberFormat="1" applyFont="1" applyFill="1" applyBorder="1">
      <alignment/>
      <protection/>
    </xf>
    <xf numFmtId="4" fontId="19" fillId="11" borderId="18" xfId="49" applyNumberFormat="1" applyFont="1" applyFill="1" applyBorder="1">
      <alignment/>
      <protection/>
    </xf>
    <xf numFmtId="4" fontId="19" fillId="11" borderId="39" xfId="49" applyNumberFormat="1" applyFont="1" applyFill="1" applyBorder="1">
      <alignment/>
      <protection/>
    </xf>
    <xf numFmtId="4" fontId="39" fillId="11" borderId="39" xfId="49" applyNumberFormat="1" applyFont="1" applyFill="1" applyBorder="1">
      <alignment/>
      <protection/>
    </xf>
    <xf numFmtId="4" fontId="20" fillId="11" borderId="13" xfId="49" applyNumberFormat="1" applyFont="1" applyFill="1" applyBorder="1">
      <alignment/>
      <protection/>
    </xf>
    <xf numFmtId="4" fontId="15" fillId="11" borderId="13" xfId="49" applyNumberFormat="1" applyFont="1" applyFill="1" applyBorder="1">
      <alignment/>
      <protection/>
    </xf>
    <xf numFmtId="4" fontId="17" fillId="47" borderId="39" xfId="51" applyNumberFormat="1" applyFont="1" applyFill="1" applyBorder="1">
      <alignment/>
      <protection/>
    </xf>
    <xf numFmtId="4" fontId="17" fillId="47" borderId="35" xfId="51" applyNumberFormat="1" applyFont="1" applyFill="1" applyBorder="1">
      <alignment/>
      <protection/>
    </xf>
    <xf numFmtId="4" fontId="19" fillId="47" borderId="18" xfId="49" applyNumberFormat="1" applyFont="1" applyFill="1" applyBorder="1">
      <alignment/>
      <protection/>
    </xf>
    <xf numFmtId="4" fontId="5" fillId="47" borderId="13" xfId="50" applyNumberFormat="1" applyFont="1" applyFill="1" applyBorder="1">
      <alignment/>
      <protection/>
    </xf>
    <xf numFmtId="4" fontId="40" fillId="47" borderId="13" xfId="49" applyNumberFormat="1" applyFont="1" applyFill="1" applyBorder="1">
      <alignment/>
      <protection/>
    </xf>
    <xf numFmtId="4" fontId="19" fillId="47" borderId="13" xfId="51" applyNumberFormat="1" applyFont="1" applyFill="1" applyBorder="1">
      <alignment/>
      <protection/>
    </xf>
    <xf numFmtId="4" fontId="19" fillId="47" borderId="18" xfId="51" applyNumberFormat="1" applyFont="1" applyFill="1" applyBorder="1">
      <alignment/>
      <protection/>
    </xf>
    <xf numFmtId="4" fontId="19" fillId="0" borderId="43" xfId="51" applyNumberFormat="1" applyFont="1" applyFill="1" applyBorder="1">
      <alignment/>
      <protection/>
    </xf>
    <xf numFmtId="4" fontId="19" fillId="40" borderId="18" xfId="49" applyNumberFormat="1" applyFont="1" applyFill="1" applyBorder="1">
      <alignment/>
      <protection/>
    </xf>
    <xf numFmtId="4" fontId="22" fillId="40" borderId="18" xfId="49" applyNumberFormat="1" applyFont="1" applyFill="1" applyBorder="1" applyAlignment="1">
      <alignment horizontal="right"/>
      <protection/>
    </xf>
    <xf numFmtId="4" fontId="20" fillId="0" borderId="44" xfId="51" applyNumberFormat="1" applyFont="1" applyFill="1" applyBorder="1">
      <alignment/>
      <protection/>
    </xf>
    <xf numFmtId="4" fontId="17" fillId="47" borderId="18" xfId="49" applyNumberFormat="1" applyFont="1" applyFill="1" applyBorder="1">
      <alignment/>
      <protection/>
    </xf>
    <xf numFmtId="4" fontId="7" fillId="47" borderId="13" xfId="51" applyNumberFormat="1" applyFont="1" applyFill="1" applyBorder="1">
      <alignment/>
      <protection/>
    </xf>
    <xf numFmtId="4" fontId="7" fillId="47" borderId="13" xfId="50" applyNumberFormat="1" applyFont="1" applyFill="1" applyBorder="1">
      <alignment/>
      <protection/>
    </xf>
    <xf numFmtId="4" fontId="93" fillId="40" borderId="13" xfId="48" applyNumberFormat="1" applyFont="1" applyFill="1" applyBorder="1">
      <alignment/>
      <protection/>
    </xf>
    <xf numFmtId="4" fontId="2" fillId="40" borderId="13" xfId="48" applyNumberFormat="1" applyFont="1" applyFill="1" applyBorder="1">
      <alignment/>
      <protection/>
    </xf>
    <xf numFmtId="4" fontId="13" fillId="34" borderId="25" xfId="49" applyNumberFormat="1" applyFont="1" applyFill="1" applyBorder="1" applyAlignment="1">
      <alignment horizontal="left"/>
      <protection/>
    </xf>
    <xf numFmtId="4" fontId="13" fillId="37" borderId="25" xfId="49" applyNumberFormat="1" applyFont="1" applyFill="1" applyBorder="1" applyAlignment="1">
      <alignment horizontal="left"/>
      <protection/>
    </xf>
    <xf numFmtId="4" fontId="18" fillId="33" borderId="38" xfId="49" applyNumberFormat="1" applyFont="1" applyFill="1" applyBorder="1" applyAlignment="1">
      <alignment horizontal="right" vertical="center" wrapText="1"/>
      <protection/>
    </xf>
    <xf numFmtId="4" fontId="18" fillId="33" borderId="25" xfId="49" applyNumberFormat="1" applyFont="1" applyFill="1" applyBorder="1" applyAlignment="1">
      <alignment horizontal="left"/>
      <protection/>
    </xf>
    <xf numFmtId="4" fontId="18" fillId="33" borderId="25" xfId="49" applyNumberFormat="1" applyFont="1" applyFill="1" applyBorder="1" applyAlignment="1">
      <alignment horizontal="right" vertical="center" wrapText="1"/>
      <protection/>
    </xf>
    <xf numFmtId="4" fontId="18" fillId="34" borderId="36" xfId="49" applyNumberFormat="1" applyFont="1" applyFill="1" applyBorder="1" applyAlignment="1">
      <alignment vertical="center" wrapText="1"/>
      <protection/>
    </xf>
    <xf numFmtId="4" fontId="14" fillId="37" borderId="16" xfId="49" applyNumberFormat="1" applyFont="1" applyFill="1" applyBorder="1" applyAlignment="1">
      <alignment horizontal="left" vertical="center" wrapText="1"/>
      <protection/>
    </xf>
    <xf numFmtId="4" fontId="13" fillId="38" borderId="25" xfId="49" applyNumberFormat="1" applyFont="1" applyFill="1" applyBorder="1" applyAlignment="1">
      <alignment horizontal="left"/>
      <protection/>
    </xf>
    <xf numFmtId="4" fontId="13" fillId="38" borderId="38" xfId="49" applyNumberFormat="1" applyFont="1" applyFill="1" applyBorder="1" applyAlignment="1">
      <alignment horizontal="left"/>
      <protection/>
    </xf>
    <xf numFmtId="4" fontId="6" fillId="0" borderId="18" xfId="48" applyNumberFormat="1" applyFont="1" applyFill="1" applyBorder="1">
      <alignment/>
      <protection/>
    </xf>
    <xf numFmtId="4" fontId="2" fillId="0" borderId="13" xfId="48" applyNumberFormat="1" applyFont="1" applyFill="1" applyBorder="1">
      <alignment/>
      <protection/>
    </xf>
    <xf numFmtId="4" fontId="44" fillId="0" borderId="10" xfId="49" applyNumberFormat="1" applyFont="1" applyBorder="1" applyAlignment="1">
      <alignment horizontal="left" vertical="center" wrapText="1"/>
      <protection/>
    </xf>
    <xf numFmtId="4" fontId="14" fillId="33" borderId="24" xfId="49" applyNumberFormat="1" applyFont="1" applyFill="1" applyBorder="1" applyAlignment="1">
      <alignment horizontal="left" vertical="center" wrapText="1"/>
      <protection/>
    </xf>
    <xf numFmtId="3" fontId="45" fillId="0" borderId="18" xfId="51" applyNumberFormat="1" applyFont="1" applyBorder="1" applyAlignment="1">
      <alignment horizontal="right" vertical="center" wrapText="1"/>
      <protection/>
    </xf>
    <xf numFmtId="4" fontId="45" fillId="0" borderId="18" xfId="49" applyNumberFormat="1" applyFont="1" applyBorder="1" applyAlignment="1">
      <alignment horizontal="right" vertical="center" wrapText="1"/>
      <protection/>
    </xf>
    <xf numFmtId="4" fontId="44" fillId="39" borderId="13" xfId="49" applyNumberFormat="1" applyFont="1" applyFill="1" applyBorder="1" applyAlignment="1">
      <alignment horizontal="left" vertical="center" wrapText="1"/>
      <protection/>
    </xf>
    <xf numFmtId="4" fontId="44" fillId="0" borderId="13" xfId="49" applyNumberFormat="1" applyFont="1" applyBorder="1" applyAlignment="1">
      <alignment horizontal="left" vertical="center" wrapText="1"/>
      <protection/>
    </xf>
    <xf numFmtId="4" fontId="44" fillId="0" borderId="19" xfId="49" applyNumberFormat="1" applyFont="1" applyBorder="1" applyAlignment="1">
      <alignment horizontal="left" vertical="center" wrapText="1"/>
      <protection/>
    </xf>
    <xf numFmtId="4" fontId="46" fillId="0" borderId="13" xfId="49" applyNumberFormat="1" applyFont="1" applyBorder="1" applyAlignment="1">
      <alignment horizontal="right" vertical="center" wrapText="1"/>
      <protection/>
    </xf>
    <xf numFmtId="4" fontId="47" fillId="0" borderId="19" xfId="49" applyNumberFormat="1" applyFont="1" applyBorder="1" applyAlignment="1">
      <alignment horizontal="right" vertical="center" wrapText="1"/>
      <protection/>
    </xf>
    <xf numFmtId="4" fontId="14" fillId="33" borderId="16" xfId="49" applyNumberFormat="1" applyFont="1" applyFill="1" applyBorder="1" applyAlignment="1">
      <alignment horizontal="left" vertical="center" wrapText="1"/>
      <protection/>
    </xf>
    <xf numFmtId="4" fontId="14" fillId="34" borderId="18" xfId="49" applyNumberFormat="1" applyFont="1" applyFill="1" applyBorder="1" applyAlignment="1">
      <alignment horizontal="left" vertical="center" wrapText="1"/>
      <protection/>
    </xf>
    <xf numFmtId="4" fontId="14" fillId="10" borderId="16" xfId="49" applyNumberFormat="1" applyFont="1" applyFill="1" applyBorder="1">
      <alignment/>
      <protection/>
    </xf>
    <xf numFmtId="4" fontId="14" fillId="10" borderId="10" xfId="49" applyNumberFormat="1" applyFont="1" applyFill="1" applyBorder="1" applyAlignment="1">
      <alignment horizontal="left" vertical="center" wrapText="1"/>
      <protection/>
    </xf>
    <xf numFmtId="4" fontId="14" fillId="10" borderId="16" xfId="49" applyNumberFormat="1" applyFont="1" applyFill="1" applyBorder="1" applyAlignment="1">
      <alignment horizontal="left" vertical="center" wrapText="1"/>
      <protection/>
    </xf>
    <xf numFmtId="4" fontId="14" fillId="34" borderId="27" xfId="49" applyNumberFormat="1" applyFont="1" applyFill="1" applyBorder="1" applyAlignment="1">
      <alignment horizontal="left" vertical="center" wrapText="1"/>
      <protection/>
    </xf>
    <xf numFmtId="4" fontId="14" fillId="36" borderId="21" xfId="49" applyNumberFormat="1" applyFont="1" applyFill="1" applyBorder="1">
      <alignment/>
      <protection/>
    </xf>
    <xf numFmtId="4" fontId="14" fillId="33" borderId="16" xfId="49" applyNumberFormat="1" applyFont="1" applyFill="1" applyBorder="1" applyAlignment="1">
      <alignment horizontal="left" vertical="center" wrapText="1"/>
      <protection/>
    </xf>
    <xf numFmtId="3" fontId="44" fillId="0" borderId="20" xfId="51" applyNumberFormat="1" applyFont="1" applyFill="1" applyBorder="1" applyAlignment="1">
      <alignment horizontal="left" vertical="center" wrapText="1"/>
      <protection/>
    </xf>
    <xf numFmtId="3" fontId="44" fillId="0" borderId="13" xfId="51" applyNumberFormat="1" applyFont="1" applyFill="1" applyBorder="1" applyAlignment="1">
      <alignment horizontal="left" vertical="center" wrapText="1"/>
      <protection/>
    </xf>
    <xf numFmtId="4" fontId="44" fillId="11" borderId="18" xfId="49" applyNumberFormat="1" applyFont="1" applyFill="1" applyBorder="1" applyAlignment="1">
      <alignment horizontal="left" vertical="center" wrapText="1"/>
      <protection/>
    </xf>
    <xf numFmtId="4" fontId="44" fillId="24" borderId="18" xfId="49" applyNumberFormat="1" applyFont="1" applyFill="1" applyBorder="1" applyAlignment="1">
      <alignment horizontal="left" vertical="center" wrapText="1"/>
      <protection/>
    </xf>
    <xf numFmtId="3" fontId="44" fillId="45" borderId="13" xfId="51" applyNumberFormat="1" applyFont="1" applyFill="1" applyBorder="1" applyAlignment="1">
      <alignment horizontal="left" vertical="center" wrapText="1"/>
      <protection/>
    </xf>
    <xf numFmtId="4" fontId="44" fillId="45" borderId="18" xfId="49" applyNumberFormat="1" applyFont="1" applyFill="1" applyBorder="1" applyAlignment="1">
      <alignment horizontal="left" vertical="center" wrapText="1"/>
      <protection/>
    </xf>
    <xf numFmtId="4" fontId="44" fillId="39" borderId="13" xfId="49" applyNumberFormat="1" applyFont="1" applyFill="1" applyBorder="1" applyAlignment="1">
      <alignment horizontal="left" vertical="center" wrapText="1"/>
      <protection/>
    </xf>
    <xf numFmtId="4" fontId="44" fillId="46" borderId="13" xfId="49" applyNumberFormat="1" applyFont="1" applyFill="1" applyBorder="1" applyAlignment="1">
      <alignment horizontal="left" vertical="center" wrapText="1"/>
      <protection/>
    </xf>
    <xf numFmtId="4" fontId="44" fillId="0" borderId="13" xfId="49" applyNumberFormat="1" applyFont="1" applyBorder="1" applyAlignment="1">
      <alignment horizontal="left" vertical="center" wrapText="1"/>
      <protection/>
    </xf>
    <xf numFmtId="4" fontId="14" fillId="38" borderId="16" xfId="49" applyNumberFormat="1" applyFont="1" applyFill="1" applyBorder="1" applyAlignment="1">
      <alignment horizontal="left" vertical="center" wrapText="1"/>
      <protection/>
    </xf>
    <xf numFmtId="4" fontId="14" fillId="44" borderId="16" xfId="49" applyNumberFormat="1" applyFont="1" applyFill="1" applyBorder="1" applyAlignment="1">
      <alignment horizontal="left" vertical="center" wrapText="1"/>
      <protection/>
    </xf>
    <xf numFmtId="4" fontId="18" fillId="44" borderId="25" xfId="49" applyNumberFormat="1" applyFont="1" applyFill="1" applyBorder="1" applyAlignment="1">
      <alignment horizontal="left"/>
      <protection/>
    </xf>
    <xf numFmtId="4" fontId="17" fillId="44" borderId="16" xfId="51" applyNumberFormat="1" applyFont="1" applyFill="1" applyBorder="1">
      <alignment/>
      <protection/>
    </xf>
    <xf numFmtId="4" fontId="39" fillId="44" borderId="26" xfId="51" applyNumberFormat="1" applyFont="1" applyFill="1" applyBorder="1">
      <alignment/>
      <protection/>
    </xf>
    <xf numFmtId="4" fontId="17" fillId="44" borderId="16" xfId="49" applyNumberFormat="1" applyFont="1" applyFill="1" applyBorder="1">
      <alignment/>
      <protection/>
    </xf>
    <xf numFmtId="4" fontId="39" fillId="44" borderId="16" xfId="51" applyNumberFormat="1" applyFont="1" applyFill="1" applyBorder="1">
      <alignment/>
      <protection/>
    </xf>
    <xf numFmtId="4" fontId="17" fillId="44" borderId="16" xfId="49" applyNumberFormat="1" applyFont="1" applyFill="1" applyBorder="1">
      <alignment/>
      <protection/>
    </xf>
    <xf numFmtId="4" fontId="40" fillId="44" borderId="16" xfId="49" applyNumberFormat="1" applyFont="1" applyFill="1" applyBorder="1">
      <alignment/>
      <protection/>
    </xf>
    <xf numFmtId="4" fontId="14" fillId="0" borderId="17" xfId="49" applyNumberFormat="1" applyFont="1" applyFill="1" applyBorder="1" applyAlignment="1">
      <alignment horizontal="left" vertical="center" wrapText="1"/>
      <protection/>
    </xf>
    <xf numFmtId="4" fontId="10" fillId="0" borderId="0" xfId="49" applyNumberFormat="1" applyFont="1" applyFill="1" applyBorder="1" applyAlignment="1">
      <alignment horizontal="left" vertical="center" wrapText="1"/>
      <protection/>
    </xf>
    <xf numFmtId="4" fontId="23" fillId="0" borderId="18" xfId="49" applyNumberFormat="1" applyFont="1" applyFill="1" applyBorder="1">
      <alignment/>
      <protection/>
    </xf>
    <xf numFmtId="4" fontId="23" fillId="0" borderId="36" xfId="49" applyNumberFormat="1" applyFont="1" applyFill="1" applyBorder="1">
      <alignment/>
      <protection/>
    </xf>
    <xf numFmtId="4" fontId="21" fillId="0" borderId="18" xfId="49" applyNumberFormat="1" applyFont="1" applyFill="1" applyBorder="1">
      <alignment/>
      <protection/>
    </xf>
    <xf numFmtId="4" fontId="18" fillId="33" borderId="25" xfId="49" applyNumberFormat="1" applyFont="1" applyFill="1" applyBorder="1" applyAlignment="1">
      <alignment horizontal="left" vertical="center" wrapText="1"/>
      <protection/>
    </xf>
    <xf numFmtId="4" fontId="17" fillId="33" borderId="25" xfId="49" applyNumberFormat="1" applyFont="1" applyFill="1" applyBorder="1">
      <alignment/>
      <protection/>
    </xf>
    <xf numFmtId="4" fontId="12" fillId="34" borderId="23" xfId="49" applyNumberFormat="1" applyFont="1" applyFill="1" applyBorder="1" applyAlignment="1">
      <alignment horizontal="center" wrapText="1"/>
      <protection/>
    </xf>
    <xf numFmtId="4" fontId="14" fillId="34" borderId="14" xfId="49" applyNumberFormat="1" applyFont="1" applyFill="1" applyBorder="1" applyAlignment="1">
      <alignment horizontal="right"/>
      <protection/>
    </xf>
    <xf numFmtId="4" fontId="11" fillId="34" borderId="23" xfId="49" applyNumberFormat="1" applyFont="1" applyFill="1" applyBorder="1" applyAlignment="1">
      <alignment horizontal="center"/>
      <protection/>
    </xf>
    <xf numFmtId="4" fontId="14" fillId="34" borderId="23" xfId="49" applyNumberFormat="1" applyFont="1" applyFill="1" applyBorder="1">
      <alignment/>
      <protection/>
    </xf>
    <xf numFmtId="4" fontId="19" fillId="36" borderId="23" xfId="49" applyNumberFormat="1" applyFont="1" applyFill="1" applyBorder="1">
      <alignment/>
      <protection/>
    </xf>
    <xf numFmtId="4" fontId="17" fillId="33" borderId="45" xfId="49" applyNumberFormat="1" applyFont="1" applyFill="1" applyBorder="1" applyAlignment="1">
      <alignment horizontal="right" vertical="center" wrapText="1"/>
      <protection/>
    </xf>
    <xf numFmtId="4" fontId="17" fillId="44" borderId="23" xfId="49" applyNumberFormat="1" applyFont="1" applyFill="1" applyBorder="1">
      <alignment/>
      <protection/>
    </xf>
    <xf numFmtId="4" fontId="12" fillId="34" borderId="26" xfId="51" applyNumberFormat="1" applyFont="1" applyFill="1" applyBorder="1" applyAlignment="1">
      <alignment horizontal="center" wrapText="1"/>
      <protection/>
    </xf>
    <xf numFmtId="4" fontId="6" fillId="34" borderId="26" xfId="49" applyNumberFormat="1" applyFont="1" applyFill="1" applyBorder="1">
      <alignment/>
      <protection/>
    </xf>
    <xf numFmtId="4" fontId="39" fillId="44" borderId="26" xfId="51" applyNumberFormat="1" applyFont="1" applyFill="1" applyBorder="1">
      <alignment/>
      <protection/>
    </xf>
    <xf numFmtId="4" fontId="5" fillId="0" borderId="21" xfId="51" applyNumberFormat="1" applyFont="1" applyBorder="1">
      <alignment/>
      <protection/>
    </xf>
    <xf numFmtId="4" fontId="19" fillId="0" borderId="22" xfId="49" applyNumberFormat="1" applyFont="1" applyFill="1" applyBorder="1">
      <alignment/>
      <protection/>
    </xf>
    <xf numFmtId="4" fontId="19" fillId="40" borderId="22" xfId="49" applyNumberFormat="1" applyFont="1" applyFill="1" applyBorder="1">
      <alignment/>
      <protection/>
    </xf>
    <xf numFmtId="4" fontId="19" fillId="0" borderId="27" xfId="49" applyNumberFormat="1" applyFont="1" applyFill="1" applyBorder="1">
      <alignment/>
      <protection/>
    </xf>
    <xf numFmtId="4" fontId="19" fillId="0" borderId="30" xfId="49" applyNumberFormat="1" applyFont="1" applyFill="1" applyBorder="1">
      <alignment/>
      <protection/>
    </xf>
    <xf numFmtId="4" fontId="19" fillId="0" borderId="19" xfId="51" applyNumberFormat="1" applyFont="1" applyFill="1" applyBorder="1">
      <alignment/>
      <protection/>
    </xf>
    <xf numFmtId="4" fontId="5" fillId="0" borderId="36" xfId="51" applyNumberFormat="1" applyFont="1" applyBorder="1">
      <alignment/>
      <protection/>
    </xf>
    <xf numFmtId="4" fontId="5" fillId="0" borderId="32" xfId="51" applyNumberFormat="1" applyFont="1" applyBorder="1">
      <alignment/>
      <protection/>
    </xf>
    <xf numFmtId="4" fontId="5" fillId="0" borderId="33" xfId="51" applyNumberFormat="1" applyFont="1" applyBorder="1">
      <alignment/>
      <protection/>
    </xf>
    <xf numFmtId="4" fontId="39" fillId="41" borderId="23" xfId="51" applyNumberFormat="1" applyFont="1" applyFill="1" applyBorder="1">
      <alignment/>
      <protection/>
    </xf>
    <xf numFmtId="4" fontId="22" fillId="34" borderId="20" xfId="49" applyNumberFormat="1" applyFont="1" applyFill="1" applyBorder="1" applyAlignment="1">
      <alignment horizontal="right"/>
      <protection/>
    </xf>
    <xf numFmtId="4" fontId="22" fillId="34" borderId="13" xfId="49" applyNumberFormat="1" applyFont="1" applyFill="1" applyBorder="1" applyAlignment="1">
      <alignment horizontal="right"/>
      <protection/>
    </xf>
    <xf numFmtId="4" fontId="22" fillId="34" borderId="19" xfId="49" applyNumberFormat="1" applyFont="1" applyFill="1" applyBorder="1" applyAlignment="1">
      <alignment horizontal="right"/>
      <protection/>
    </xf>
    <xf numFmtId="4" fontId="97" fillId="0" borderId="46" xfId="51" applyNumberFormat="1" applyFont="1" applyFill="1" applyBorder="1">
      <alignment/>
      <protection/>
    </xf>
    <xf numFmtId="4" fontId="17" fillId="41" borderId="23" xfId="51" applyNumberFormat="1" applyFont="1" applyFill="1" applyBorder="1">
      <alignment/>
      <protection/>
    </xf>
    <xf numFmtId="4" fontId="97" fillId="0" borderId="47" xfId="51" applyNumberFormat="1" applyFont="1" applyFill="1" applyBorder="1">
      <alignment/>
      <protection/>
    </xf>
    <xf numFmtId="4" fontId="19" fillId="0" borderId="33" xfId="51" applyNumberFormat="1" applyFont="1" applyFill="1" applyBorder="1">
      <alignment/>
      <protection/>
    </xf>
    <xf numFmtId="4" fontId="97" fillId="0" borderId="48" xfId="51" applyNumberFormat="1" applyFont="1" applyFill="1" applyBorder="1">
      <alignment/>
      <protection/>
    </xf>
    <xf numFmtId="4" fontId="19" fillId="0" borderId="20" xfId="51" applyNumberFormat="1" applyFont="1" applyFill="1" applyBorder="1">
      <alignment/>
      <protection/>
    </xf>
    <xf numFmtId="4" fontId="19" fillId="0" borderId="21" xfId="51" applyNumberFormat="1" applyFont="1" applyFill="1" applyBorder="1">
      <alignment/>
      <protection/>
    </xf>
    <xf numFmtId="4" fontId="19" fillId="40" borderId="32" xfId="51" applyNumberFormat="1" applyFont="1" applyFill="1" applyBorder="1">
      <alignment/>
      <protection/>
    </xf>
    <xf numFmtId="4" fontId="5" fillId="40" borderId="32" xfId="51" applyNumberFormat="1" applyFont="1" applyFill="1" applyBorder="1">
      <alignment/>
      <protection/>
    </xf>
    <xf numFmtId="4" fontId="19" fillId="40" borderId="13" xfId="49" applyNumberFormat="1" applyFont="1" applyFill="1" applyBorder="1">
      <alignment/>
      <protection/>
    </xf>
    <xf numFmtId="4" fontId="22" fillId="40" borderId="13" xfId="49" applyNumberFormat="1" applyFont="1" applyFill="1" applyBorder="1" applyAlignment="1">
      <alignment horizontal="right"/>
      <protection/>
    </xf>
    <xf numFmtId="4" fontId="5" fillId="40" borderId="0" xfId="49" applyNumberFormat="1" applyFont="1" applyFill="1">
      <alignment/>
      <protection/>
    </xf>
    <xf numFmtId="0" fontId="5" fillId="40" borderId="0" xfId="49" applyFont="1" applyFill="1">
      <alignment/>
      <protection/>
    </xf>
    <xf numFmtId="4" fontId="14" fillId="39" borderId="23" xfId="49" applyNumberFormat="1" applyFont="1" applyFill="1" applyBorder="1" applyAlignment="1">
      <alignment horizontal="left" vertical="center" wrapText="1"/>
      <protection/>
    </xf>
    <xf numFmtId="4" fontId="14" fillId="46" borderId="23" xfId="49" applyNumberFormat="1" applyFont="1" applyFill="1" applyBorder="1" applyAlignment="1">
      <alignment horizontal="left" vertical="center" wrapText="1"/>
      <protection/>
    </xf>
    <xf numFmtId="4" fontId="18" fillId="36" borderId="23" xfId="49" applyNumberFormat="1" applyFont="1" applyFill="1" applyBorder="1" applyAlignment="1">
      <alignment horizontal="left" vertical="center" wrapText="1"/>
      <protection/>
    </xf>
    <xf numFmtId="4" fontId="5" fillId="0" borderId="35" xfId="51" applyNumberFormat="1" applyFont="1" applyBorder="1">
      <alignment/>
      <protection/>
    </xf>
    <xf numFmtId="4" fontId="2" fillId="0" borderId="35" xfId="51" applyNumberFormat="1" applyFont="1" applyBorder="1">
      <alignment/>
      <protection/>
    </xf>
    <xf numFmtId="4" fontId="2" fillId="36" borderId="49" xfId="49" applyNumberFormat="1" applyFill="1" applyBorder="1">
      <alignment/>
      <protection/>
    </xf>
    <xf numFmtId="4" fontId="19" fillId="35" borderId="22" xfId="49" applyNumberFormat="1" applyFont="1" applyFill="1" applyBorder="1">
      <alignment/>
      <protection/>
    </xf>
    <xf numFmtId="4" fontId="16" fillId="34" borderId="27" xfId="49" applyNumberFormat="1" applyFont="1" applyFill="1" applyBorder="1">
      <alignment/>
      <protection/>
    </xf>
    <xf numFmtId="4" fontId="17" fillId="33" borderId="23" xfId="49" applyNumberFormat="1" applyFont="1" applyFill="1" applyBorder="1">
      <alignment/>
      <protection/>
    </xf>
    <xf numFmtId="4" fontId="12" fillId="40" borderId="13" xfId="51" applyNumberFormat="1" applyFont="1" applyFill="1" applyBorder="1" applyAlignment="1">
      <alignment horizontal="right"/>
      <protection/>
    </xf>
    <xf numFmtId="4" fontId="12" fillId="34" borderId="19" xfId="51" applyNumberFormat="1" applyFont="1" applyFill="1" applyBorder="1" applyAlignment="1">
      <alignment horizontal="right"/>
      <protection/>
    </xf>
    <xf numFmtId="4" fontId="17" fillId="41" borderId="25" xfId="51" applyNumberFormat="1" applyFont="1" applyFill="1" applyBorder="1">
      <alignment/>
      <protection/>
    </xf>
    <xf numFmtId="4" fontId="50" fillId="41" borderId="20" xfId="51" applyNumberFormat="1" applyFont="1" applyFill="1" applyBorder="1" applyAlignment="1">
      <alignment horizontal="right"/>
      <protection/>
    </xf>
    <xf numFmtId="4" fontId="18" fillId="0" borderId="0" xfId="49" applyNumberFormat="1" applyFont="1" applyBorder="1" applyAlignment="1">
      <alignment horizontal="left" vertical="center" wrapText="1"/>
      <protection/>
    </xf>
    <xf numFmtId="3" fontId="7" fillId="0" borderId="36" xfId="51" applyNumberFormat="1" applyFont="1" applyBorder="1">
      <alignment/>
      <protection/>
    </xf>
    <xf numFmtId="3" fontId="98" fillId="0" borderId="36" xfId="51" applyNumberFormat="1" applyFont="1" applyBorder="1" applyAlignment="1">
      <alignment horizontal="right" vertical="center" wrapText="1"/>
      <protection/>
    </xf>
    <xf numFmtId="3" fontId="99" fillId="0" borderId="36" xfId="51" applyNumberFormat="1" applyFont="1" applyBorder="1" applyAlignment="1">
      <alignment horizontal="left" vertical="center" wrapText="1"/>
      <protection/>
    </xf>
    <xf numFmtId="3" fontId="51" fillId="0" borderId="36" xfId="51" applyNumberFormat="1" applyFont="1" applyBorder="1" applyAlignment="1">
      <alignment horizontal="left" vertical="center" wrapText="1"/>
      <protection/>
    </xf>
    <xf numFmtId="3" fontId="18" fillId="0" borderId="32" xfId="51" applyNumberFormat="1" applyFont="1" applyBorder="1" applyAlignment="1">
      <alignment horizontal="left" vertical="center" wrapText="1"/>
      <protection/>
    </xf>
    <xf numFmtId="3" fontId="18" fillId="0" borderId="29" xfId="51" applyNumberFormat="1" applyFont="1" applyBorder="1" applyAlignment="1">
      <alignment horizontal="left" vertical="center" wrapText="1"/>
      <protection/>
    </xf>
    <xf numFmtId="4" fontId="51" fillId="0" borderId="36" xfId="49" applyNumberFormat="1" applyFont="1" applyBorder="1" applyAlignment="1">
      <alignment horizontal="left" vertical="center" wrapText="1"/>
      <protection/>
    </xf>
    <xf numFmtId="4" fontId="18" fillId="35" borderId="32" xfId="49" applyNumberFormat="1" applyFont="1" applyFill="1" applyBorder="1" applyAlignment="1">
      <alignment horizontal="left" vertical="center" wrapText="1"/>
      <protection/>
    </xf>
    <xf numFmtId="4" fontId="18" fillId="0" borderId="32" xfId="49" applyNumberFormat="1" applyFont="1" applyBorder="1" applyAlignment="1">
      <alignment horizontal="left" vertical="center" wrapText="1"/>
      <protection/>
    </xf>
    <xf numFmtId="4" fontId="18" fillId="0" borderId="33" xfId="49" applyNumberFormat="1" applyFont="1" applyBorder="1" applyAlignment="1">
      <alignment horizontal="left" vertical="center" wrapText="1"/>
      <protection/>
    </xf>
    <xf numFmtId="4" fontId="18" fillId="0" borderId="37" xfId="49" applyNumberFormat="1" applyFont="1" applyFill="1" applyBorder="1" applyAlignment="1">
      <alignment vertical="center" wrapText="1"/>
      <protection/>
    </xf>
    <xf numFmtId="4" fontId="18" fillId="0" borderId="32" xfId="49" applyNumberFormat="1" applyFont="1" applyFill="1" applyBorder="1" applyAlignment="1">
      <alignment vertical="center" wrapText="1"/>
      <protection/>
    </xf>
    <xf numFmtId="4" fontId="18" fillId="11" borderId="36" xfId="49" applyNumberFormat="1" applyFont="1" applyFill="1" applyBorder="1" applyAlignment="1">
      <alignment vertical="center" wrapText="1"/>
      <protection/>
    </xf>
    <xf numFmtId="4" fontId="18" fillId="24" borderId="36" xfId="49" applyNumberFormat="1" applyFont="1" applyFill="1" applyBorder="1" applyAlignment="1">
      <alignment vertical="center" wrapText="1"/>
      <protection/>
    </xf>
    <xf numFmtId="3" fontId="18" fillId="45" borderId="32" xfId="51" applyNumberFormat="1" applyFont="1" applyFill="1" applyBorder="1" applyAlignment="1">
      <alignment horizontal="left" vertical="center" wrapText="1"/>
      <protection/>
    </xf>
    <xf numFmtId="4" fontId="18" fillId="45" borderId="32" xfId="49" applyNumberFormat="1" applyFont="1" applyFill="1" applyBorder="1" applyAlignment="1">
      <alignment vertical="center" wrapText="1"/>
      <protection/>
    </xf>
    <xf numFmtId="4" fontId="18" fillId="39" borderId="32" xfId="49" applyNumberFormat="1" applyFont="1" applyFill="1" applyBorder="1" applyAlignment="1">
      <alignment vertical="center" wrapText="1"/>
      <protection/>
    </xf>
    <xf numFmtId="4" fontId="18" fillId="46" borderId="32" xfId="49" applyNumberFormat="1" applyFont="1" applyFill="1" applyBorder="1" applyAlignment="1">
      <alignment vertical="center" wrapText="1"/>
      <protection/>
    </xf>
    <xf numFmtId="4" fontId="18" fillId="46" borderId="36" xfId="49" applyNumberFormat="1" applyFont="1" applyFill="1" applyBorder="1" applyAlignment="1">
      <alignment vertical="center" wrapText="1"/>
      <protection/>
    </xf>
    <xf numFmtId="4" fontId="18" fillId="0" borderId="32" xfId="49" applyNumberFormat="1" applyFont="1" applyBorder="1" applyAlignment="1">
      <alignment vertical="center" wrapText="1"/>
      <protection/>
    </xf>
    <xf numFmtId="4" fontId="17" fillId="10" borderId="25" xfId="49" applyNumberFormat="1" applyFont="1" applyFill="1" applyBorder="1" applyAlignment="1">
      <alignment horizontal="left" vertical="center" wrapText="1"/>
      <protection/>
    </xf>
    <xf numFmtId="4" fontId="17" fillId="10" borderId="0" xfId="49" applyNumberFormat="1" applyFont="1" applyFill="1" applyBorder="1" applyAlignment="1">
      <alignment horizontal="left" vertical="center" wrapText="1"/>
      <protection/>
    </xf>
    <xf numFmtId="4" fontId="17" fillId="34" borderId="0" xfId="49" applyNumberFormat="1" applyFont="1" applyFill="1" applyBorder="1" applyAlignment="1">
      <alignment horizontal="left" vertical="center" wrapText="1"/>
      <protection/>
    </xf>
    <xf numFmtId="4" fontId="18" fillId="0" borderId="37" xfId="49" applyNumberFormat="1" applyFont="1" applyBorder="1" applyAlignment="1">
      <alignment horizontal="left" vertical="center" wrapText="1"/>
      <protection/>
    </xf>
    <xf numFmtId="4" fontId="26" fillId="0" borderId="0" xfId="49" applyNumberFormat="1" applyFont="1">
      <alignment/>
      <protection/>
    </xf>
    <xf numFmtId="0" fontId="26" fillId="0" borderId="0" xfId="49" applyFont="1">
      <alignment/>
      <protection/>
    </xf>
    <xf numFmtId="3" fontId="14" fillId="34" borderId="50" xfId="51" applyNumberFormat="1" applyFont="1" applyFill="1" applyBorder="1" applyAlignment="1">
      <alignment horizontal="center" vertical="center" wrapText="1"/>
      <protection/>
    </xf>
    <xf numFmtId="3" fontId="48" fillId="9" borderId="22" xfId="51" applyNumberFormat="1" applyFont="1" applyFill="1" applyBorder="1" applyAlignment="1">
      <alignment horizontal="right" vertical="center" wrapText="1"/>
      <protection/>
    </xf>
    <xf numFmtId="3" fontId="45" fillId="9" borderId="22" xfId="51" applyNumberFormat="1" applyFont="1" applyFill="1" applyBorder="1" applyAlignment="1">
      <alignment horizontal="right" vertical="center" wrapText="1"/>
      <protection/>
    </xf>
    <xf numFmtId="3" fontId="45" fillId="0" borderId="22" xfId="51" applyNumberFormat="1" applyFont="1" applyBorder="1" applyAlignment="1">
      <alignment horizontal="right" vertical="center" wrapText="1"/>
      <protection/>
    </xf>
    <xf numFmtId="4" fontId="49" fillId="0" borderId="11" xfId="49" applyNumberFormat="1" applyFont="1" applyBorder="1" applyAlignment="1">
      <alignment horizontal="center" vertical="center" wrapText="1"/>
      <protection/>
    </xf>
    <xf numFmtId="4" fontId="49" fillId="0" borderId="12" xfId="49" applyNumberFormat="1" applyFont="1" applyBorder="1" applyAlignment="1">
      <alignment horizontal="center" vertical="center" wrapText="1"/>
      <protection/>
    </xf>
    <xf numFmtId="3" fontId="0" fillId="0" borderId="22" xfId="51" applyNumberFormat="1" applyFont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14" fillId="34" borderId="0" xfId="49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" fontId="2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4" fontId="36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51" xfId="51" applyNumberFormat="1" applyFont="1" applyBorder="1" applyAlignment="1">
      <alignment horizontal="left" vertical="center" wrapText="1"/>
      <protection/>
    </xf>
    <xf numFmtId="4" fontId="19" fillId="0" borderId="50" xfId="49" applyNumberFormat="1" applyFont="1" applyFill="1" applyBorder="1">
      <alignment/>
      <protection/>
    </xf>
    <xf numFmtId="4" fontId="19" fillId="0" borderId="11" xfId="49" applyNumberFormat="1" applyFont="1" applyFill="1" applyBorder="1">
      <alignment/>
      <protection/>
    </xf>
    <xf numFmtId="4" fontId="19" fillId="34" borderId="11" xfId="49" applyNumberFormat="1" applyFont="1" applyFill="1" applyBorder="1">
      <alignment/>
      <protection/>
    </xf>
    <xf numFmtId="4" fontId="14" fillId="38" borderId="45" xfId="49" applyNumberFormat="1" applyFont="1" applyFill="1" applyBorder="1">
      <alignment/>
      <protection/>
    </xf>
    <xf numFmtId="4" fontId="19" fillId="35" borderId="12" xfId="49" applyNumberFormat="1" applyFont="1" applyFill="1" applyBorder="1">
      <alignment/>
      <protection/>
    </xf>
    <xf numFmtId="4" fontId="19" fillId="34" borderId="12" xfId="49" applyNumberFormat="1" applyFont="1" applyFill="1" applyBorder="1">
      <alignment/>
      <protection/>
    </xf>
    <xf numFmtId="4" fontId="2" fillId="36" borderId="52" xfId="49" applyNumberFormat="1" applyFill="1" applyBorder="1">
      <alignment/>
      <protection/>
    </xf>
    <xf numFmtId="4" fontId="2" fillId="36" borderId="14" xfId="49" applyNumberFormat="1" applyFill="1" applyBorder="1">
      <alignment/>
      <protection/>
    </xf>
    <xf numFmtId="4" fontId="44" fillId="0" borderId="18" xfId="49" applyNumberFormat="1" applyFont="1" applyBorder="1" applyAlignment="1">
      <alignment horizontal="left" vertical="center" wrapText="1"/>
      <protection/>
    </xf>
    <xf numFmtId="4" fontId="18" fillId="0" borderId="36" xfId="49" applyNumberFormat="1" applyFont="1" applyBorder="1" applyAlignment="1">
      <alignment horizontal="left" vertical="center" wrapText="1"/>
      <protection/>
    </xf>
    <xf numFmtId="4" fontId="19" fillId="34" borderId="36" xfId="49" applyNumberFormat="1" applyFont="1" applyFill="1" applyBorder="1">
      <alignment/>
      <protection/>
    </xf>
    <xf numFmtId="4" fontId="17" fillId="34" borderId="39" xfId="49" applyNumberFormat="1" applyFont="1" applyFill="1" applyBorder="1">
      <alignment/>
      <protection/>
    </xf>
    <xf numFmtId="0" fontId="11" fillId="34" borderId="16" xfId="51" applyFont="1" applyFill="1" applyBorder="1" applyAlignment="1">
      <alignment horizontal="center"/>
      <protection/>
    </xf>
    <xf numFmtId="3" fontId="45" fillId="0" borderId="11" xfId="51" applyNumberFormat="1" applyFont="1" applyBorder="1" applyAlignment="1">
      <alignment horizontal="right" vertical="center" wrapText="1"/>
      <protection/>
    </xf>
    <xf numFmtId="4" fontId="2" fillId="0" borderId="0" xfId="51" applyNumberFormat="1" applyFont="1" applyBorder="1">
      <alignment/>
      <protection/>
    </xf>
    <xf numFmtId="4" fontId="6" fillId="0" borderId="10" xfId="48" applyNumberFormat="1" applyFont="1" applyFill="1" applyBorder="1">
      <alignment/>
      <protection/>
    </xf>
    <xf numFmtId="4" fontId="6" fillId="33" borderId="25" xfId="48" applyNumberFormat="1" applyFont="1" applyFill="1" applyBorder="1">
      <alignment/>
      <protection/>
    </xf>
    <xf numFmtId="4" fontId="6" fillId="33" borderId="26" xfId="48" applyNumberFormat="1" applyFont="1" applyFill="1" applyBorder="1">
      <alignment/>
      <protection/>
    </xf>
    <xf numFmtId="0" fontId="0" fillId="0" borderId="22" xfId="48" applyFont="1" applyFill="1" applyBorder="1" applyAlignment="1">
      <alignment horizontal="left" wrapText="1"/>
      <protection/>
    </xf>
    <xf numFmtId="3" fontId="0" fillId="40" borderId="22" xfId="51" applyNumberFormat="1" applyFont="1" applyFill="1" applyBorder="1" applyAlignment="1">
      <alignment horizontal="left" vertical="center" wrapText="1"/>
      <protection/>
    </xf>
    <xf numFmtId="0" fontId="0" fillId="0" borderId="22" xfId="48" applyFont="1" applyFill="1" applyBorder="1" applyAlignment="1">
      <alignment horizontal="left"/>
      <protection/>
    </xf>
    <xf numFmtId="0" fontId="6" fillId="0" borderId="20" xfId="48" applyFont="1" applyFill="1" applyBorder="1">
      <alignment/>
      <protection/>
    </xf>
    <xf numFmtId="4" fontId="2" fillId="0" borderId="20" xfId="48" applyNumberFormat="1" applyFont="1" applyFill="1" applyBorder="1">
      <alignment/>
      <protection/>
    </xf>
    <xf numFmtId="4" fontId="19" fillId="0" borderId="19" xfId="49" applyNumberFormat="1" applyFont="1" applyBorder="1">
      <alignment/>
      <protection/>
    </xf>
    <xf numFmtId="4" fontId="15" fillId="0" borderId="0" xfId="49" applyNumberFormat="1" applyFont="1">
      <alignment/>
      <protection/>
    </xf>
    <xf numFmtId="4" fontId="5" fillId="0" borderId="0" xfId="49" applyNumberFormat="1" applyFont="1">
      <alignment/>
      <protection/>
    </xf>
    <xf numFmtId="4" fontId="15" fillId="40" borderId="0" xfId="49" applyNumberFormat="1" applyFont="1" applyFill="1">
      <alignment/>
      <protection/>
    </xf>
    <xf numFmtId="4" fontId="2" fillId="0" borderId="0" xfId="49" applyNumberFormat="1" applyFont="1" applyFill="1">
      <alignment/>
      <protection/>
    </xf>
    <xf numFmtId="4" fontId="15" fillId="0" borderId="0" xfId="49" applyNumberFormat="1" applyFont="1">
      <alignment/>
      <protection/>
    </xf>
    <xf numFmtId="4" fontId="100" fillId="0" borderId="0" xfId="49" applyNumberFormat="1" applyFont="1">
      <alignment/>
      <protection/>
    </xf>
    <xf numFmtId="4" fontId="15" fillId="13" borderId="0" xfId="49" applyNumberFormat="1" applyFont="1" applyFill="1">
      <alignment/>
      <protection/>
    </xf>
    <xf numFmtId="4" fontId="0" fillId="0" borderId="44" xfId="51" applyNumberFormat="1" applyFont="1" applyFill="1" applyBorder="1" applyAlignment="1">
      <alignment horizontal="right"/>
      <protection/>
    </xf>
    <xf numFmtId="4" fontId="50" fillId="41" borderId="44" xfId="51" applyNumberFormat="1" applyFont="1" applyFill="1" applyBorder="1" applyAlignment="1">
      <alignment horizontal="right"/>
      <protection/>
    </xf>
    <xf numFmtId="4" fontId="39" fillId="39" borderId="26" xfId="51" applyNumberFormat="1" applyFont="1" applyFill="1" applyBorder="1">
      <alignment/>
      <protection/>
    </xf>
    <xf numFmtId="4" fontId="17" fillId="39" borderId="16" xfId="51" applyNumberFormat="1" applyFont="1" applyFill="1" applyBorder="1">
      <alignment/>
      <protection/>
    </xf>
    <xf numFmtId="4" fontId="17" fillId="39" borderId="23" xfId="49" applyNumberFormat="1" applyFont="1" applyFill="1" applyBorder="1">
      <alignment/>
      <protection/>
    </xf>
    <xf numFmtId="4" fontId="17" fillId="39" borderId="25" xfId="51" applyNumberFormat="1" applyFont="1" applyFill="1" applyBorder="1">
      <alignment/>
      <protection/>
    </xf>
    <xf numFmtId="4" fontId="17" fillId="39" borderId="16" xfId="49" applyNumberFormat="1" applyFont="1" applyFill="1" applyBorder="1">
      <alignment/>
      <protection/>
    </xf>
    <xf numFmtId="4" fontId="40" fillId="39" borderId="16" xfId="49" applyNumberFormat="1" applyFont="1" applyFill="1" applyBorder="1">
      <alignment/>
      <protection/>
    </xf>
    <xf numFmtId="49" fontId="2" fillId="0" borderId="13" xfId="48" applyNumberFormat="1" applyFont="1" applyFill="1" applyBorder="1">
      <alignment/>
      <protection/>
    </xf>
    <xf numFmtId="49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4" fontId="101" fillId="40" borderId="13" xfId="48" applyNumberFormat="1" applyFont="1" applyFill="1" applyBorder="1">
      <alignment/>
      <protection/>
    </xf>
    <xf numFmtId="4" fontId="51" fillId="0" borderId="22" xfId="49" applyNumberFormat="1" applyFont="1" applyBorder="1" applyAlignment="1">
      <alignment horizontal="left" vertical="center" wrapText="1"/>
      <protection/>
    </xf>
    <xf numFmtId="4" fontId="12" fillId="0" borderId="11" xfId="49" applyNumberFormat="1" applyFont="1" applyBorder="1" applyAlignment="1">
      <alignment horizontal="left" vertical="center" wrapText="1"/>
      <protection/>
    </xf>
    <xf numFmtId="4" fontId="12" fillId="0" borderId="12" xfId="49" applyNumberFormat="1" applyFont="1" applyBorder="1" applyAlignment="1">
      <alignment horizontal="left" vertical="center" wrapText="1"/>
      <protection/>
    </xf>
    <xf numFmtId="4" fontId="18" fillId="41" borderId="23" xfId="49" applyNumberFormat="1" applyFont="1" applyFill="1" applyBorder="1" applyAlignment="1">
      <alignment horizontal="left" vertical="center" wrapText="1"/>
      <protection/>
    </xf>
    <xf numFmtId="4" fontId="18" fillId="34" borderId="50" xfId="49" applyNumberFormat="1" applyFont="1" applyFill="1" applyBorder="1" applyAlignment="1">
      <alignment horizontal="left"/>
      <protection/>
    </xf>
    <xf numFmtId="3" fontId="51" fillId="9" borderId="22" xfId="51" applyNumberFormat="1" applyFont="1" applyFill="1" applyBorder="1" applyAlignment="1">
      <alignment horizontal="left" vertical="center" wrapText="1"/>
      <protection/>
    </xf>
    <xf numFmtId="3" fontId="98" fillId="0" borderId="22" xfId="51" applyNumberFormat="1" applyFont="1" applyBorder="1" applyAlignment="1">
      <alignment horizontal="right" vertical="center" wrapText="1"/>
      <protection/>
    </xf>
    <xf numFmtId="0" fontId="102" fillId="40" borderId="22" xfId="51" applyFont="1" applyFill="1" applyBorder="1" applyAlignment="1">
      <alignment horizontal="left"/>
      <protection/>
    </xf>
    <xf numFmtId="0" fontId="6" fillId="0" borderId="11" xfId="51" applyFont="1" applyBorder="1">
      <alignment/>
      <protection/>
    </xf>
    <xf numFmtId="3" fontId="51" fillId="0" borderId="22" xfId="51" applyNumberFormat="1" applyFont="1" applyBorder="1" applyAlignment="1">
      <alignment horizontal="left" vertical="center" wrapText="1"/>
      <protection/>
    </xf>
    <xf numFmtId="4" fontId="18" fillId="0" borderId="11" xfId="49" applyNumberFormat="1" applyFont="1" applyBorder="1" applyAlignment="1">
      <alignment horizontal="left" vertical="center" wrapText="1"/>
      <protection/>
    </xf>
    <xf numFmtId="4" fontId="18" fillId="0" borderId="52" xfId="49" applyNumberFormat="1" applyFont="1" applyBorder="1" applyAlignment="1">
      <alignment horizontal="left" vertical="center" wrapText="1"/>
      <protection/>
    </xf>
    <xf numFmtId="4" fontId="50" fillId="41" borderId="41" xfId="51" applyNumberFormat="1" applyFont="1" applyFill="1" applyBorder="1" applyAlignment="1">
      <alignment horizontal="right"/>
      <protection/>
    </xf>
    <xf numFmtId="4" fontId="19" fillId="0" borderId="53" xfId="49" applyNumberFormat="1" applyFont="1" applyFill="1" applyBorder="1">
      <alignment/>
      <protection/>
    </xf>
    <xf numFmtId="4" fontId="19" fillId="34" borderId="49" xfId="49" applyNumberFormat="1" applyFont="1" applyFill="1" applyBorder="1">
      <alignment/>
      <protection/>
    </xf>
    <xf numFmtId="4" fontId="0" fillId="0" borderId="54" xfId="51" applyNumberFormat="1" applyFont="1" applyFill="1" applyBorder="1" applyAlignment="1">
      <alignment horizontal="right"/>
      <protection/>
    </xf>
    <xf numFmtId="4" fontId="14" fillId="37" borderId="23" xfId="49" applyNumberFormat="1" applyFont="1" applyFill="1" applyBorder="1">
      <alignment/>
      <protection/>
    </xf>
    <xf numFmtId="4" fontId="19" fillId="0" borderId="22" xfId="51" applyNumberFormat="1" applyFont="1" applyFill="1" applyBorder="1">
      <alignment/>
      <protection/>
    </xf>
    <xf numFmtId="4" fontId="19" fillId="0" borderId="11" xfId="51" applyNumberFormat="1" applyFont="1" applyFill="1" applyBorder="1">
      <alignment/>
      <protection/>
    </xf>
    <xf numFmtId="4" fontId="19" fillId="0" borderId="12" xfId="51" applyNumberFormat="1" applyFont="1" applyFill="1" applyBorder="1">
      <alignment/>
      <protection/>
    </xf>
    <xf numFmtId="4" fontId="50" fillId="41" borderId="50" xfId="51" applyNumberFormat="1" applyFont="1" applyFill="1" applyBorder="1" applyAlignment="1">
      <alignment horizontal="right"/>
      <protection/>
    </xf>
    <xf numFmtId="4" fontId="19" fillId="0" borderId="12" xfId="49" applyNumberFormat="1" applyFont="1" applyFill="1" applyBorder="1">
      <alignment/>
      <protection/>
    </xf>
    <xf numFmtId="4" fontId="17" fillId="0" borderId="50" xfId="51" applyNumberFormat="1" applyFont="1" applyFill="1" applyBorder="1">
      <alignment/>
      <protection/>
    </xf>
    <xf numFmtId="4" fontId="17" fillId="9" borderId="22" xfId="51" applyNumberFormat="1" applyFont="1" applyFill="1" applyBorder="1">
      <alignment/>
      <protection/>
    </xf>
    <xf numFmtId="4" fontId="2" fillId="40" borderId="22" xfId="51" applyNumberFormat="1" applyFont="1" applyFill="1" applyBorder="1">
      <alignment/>
      <protection/>
    </xf>
    <xf numFmtId="4" fontId="2" fillId="0" borderId="11" xfId="51" applyNumberFormat="1" applyFont="1" applyBorder="1">
      <alignment/>
      <protection/>
    </xf>
    <xf numFmtId="4" fontId="17" fillId="34" borderId="11" xfId="49" applyNumberFormat="1" applyFont="1" applyFill="1" applyBorder="1">
      <alignment/>
      <protection/>
    </xf>
    <xf numFmtId="4" fontId="23" fillId="0" borderId="22" xfId="49" applyNumberFormat="1" applyFont="1" applyFill="1" applyBorder="1">
      <alignment/>
      <protection/>
    </xf>
    <xf numFmtId="4" fontId="17" fillId="33" borderId="23" xfId="49" applyNumberFormat="1" applyFont="1" applyFill="1" applyBorder="1" applyAlignment="1">
      <alignment horizontal="right" vertical="center" wrapText="1"/>
      <protection/>
    </xf>
    <xf numFmtId="4" fontId="0" fillId="0" borderId="11" xfId="51" applyNumberFormat="1" applyFont="1" applyFill="1" applyBorder="1" applyAlignment="1">
      <alignment horizontal="right"/>
      <protection/>
    </xf>
    <xf numFmtId="4" fontId="14" fillId="12" borderId="11" xfId="49" applyNumberFormat="1" applyFont="1" applyFill="1" applyBorder="1" applyAlignment="1">
      <alignment horizontal="right" vertical="center" wrapText="1"/>
      <protection/>
    </xf>
    <xf numFmtId="4" fontId="19" fillId="11" borderId="11" xfId="49" applyNumberFormat="1" applyFont="1" applyFill="1" applyBorder="1">
      <alignment/>
      <protection/>
    </xf>
    <xf numFmtId="4" fontId="19" fillId="24" borderId="11" xfId="49" applyNumberFormat="1" applyFont="1" applyFill="1" applyBorder="1">
      <alignment/>
      <protection/>
    </xf>
    <xf numFmtId="4" fontId="19" fillId="45" borderId="11" xfId="51" applyNumberFormat="1" applyFont="1" applyFill="1" applyBorder="1">
      <alignment/>
      <protection/>
    </xf>
    <xf numFmtId="4" fontId="19" fillId="45" borderId="11" xfId="49" applyNumberFormat="1" applyFont="1" applyFill="1" applyBorder="1">
      <alignment/>
      <protection/>
    </xf>
    <xf numFmtId="4" fontId="19" fillId="39" borderId="11" xfId="49" applyNumberFormat="1" applyFont="1" applyFill="1" applyBorder="1">
      <alignment/>
      <protection/>
    </xf>
    <xf numFmtId="4" fontId="19" fillId="46" borderId="11" xfId="49" applyNumberFormat="1" applyFont="1" applyFill="1" applyBorder="1">
      <alignment/>
      <protection/>
    </xf>
    <xf numFmtId="4" fontId="17" fillId="0" borderId="11" xfId="49" applyNumberFormat="1" applyFont="1" applyFill="1" applyBorder="1">
      <alignment/>
      <protection/>
    </xf>
    <xf numFmtId="4" fontId="19" fillId="10" borderId="23" xfId="49" applyNumberFormat="1" applyFont="1" applyFill="1" applyBorder="1">
      <alignment/>
      <protection/>
    </xf>
    <xf numFmtId="4" fontId="19" fillId="10" borderId="27" xfId="49" applyNumberFormat="1" applyFont="1" applyFill="1" applyBorder="1">
      <alignment/>
      <protection/>
    </xf>
    <xf numFmtId="4" fontId="19" fillId="34" borderId="27" xfId="49" applyNumberFormat="1" applyFont="1" applyFill="1" applyBorder="1">
      <alignment/>
      <protection/>
    </xf>
    <xf numFmtId="4" fontId="0" fillId="0" borderId="13" xfId="51" applyNumberFormat="1" applyFont="1" applyFill="1" applyBorder="1" applyAlignment="1">
      <alignment horizontal="right"/>
      <protection/>
    </xf>
    <xf numFmtId="4" fontId="19" fillId="36" borderId="25" xfId="49" applyNumberFormat="1" applyFont="1" applyFill="1" applyBorder="1">
      <alignment/>
      <protection/>
    </xf>
    <xf numFmtId="4" fontId="50" fillId="41" borderId="37" xfId="51" applyNumberFormat="1" applyFont="1" applyFill="1" applyBorder="1" applyAlignment="1">
      <alignment horizontal="right"/>
      <protection/>
    </xf>
    <xf numFmtId="4" fontId="19" fillId="0" borderId="37" xfId="51" applyNumberFormat="1" applyFont="1" applyFill="1" applyBorder="1">
      <alignment/>
      <protection/>
    </xf>
    <xf numFmtId="4" fontId="19" fillId="34" borderId="29" xfId="49" applyNumberFormat="1" applyFont="1" applyFill="1" applyBorder="1">
      <alignment/>
      <protection/>
    </xf>
    <xf numFmtId="4" fontId="17" fillId="9" borderId="36" xfId="51" applyNumberFormat="1" applyFont="1" applyFill="1" applyBorder="1">
      <alignment/>
      <protection/>
    </xf>
    <xf numFmtId="4" fontId="2" fillId="40" borderId="36" xfId="51" applyNumberFormat="1" applyFont="1" applyFill="1" applyBorder="1">
      <alignment/>
      <protection/>
    </xf>
    <xf numFmtId="4" fontId="2" fillId="0" borderId="32" xfId="51" applyNumberFormat="1" applyFont="1" applyBorder="1">
      <alignment/>
      <protection/>
    </xf>
    <xf numFmtId="4" fontId="0" fillId="0" borderId="32" xfId="51" applyNumberFormat="1" applyFont="1" applyFill="1" applyBorder="1" applyAlignment="1">
      <alignment horizontal="right"/>
      <protection/>
    </xf>
    <xf numFmtId="4" fontId="0" fillId="0" borderId="19" xfId="51" applyNumberFormat="1" applyFont="1" applyFill="1" applyBorder="1" applyAlignment="1">
      <alignment horizontal="right" vertical="center"/>
      <protection/>
    </xf>
    <xf numFmtId="4" fontId="0" fillId="0" borderId="18" xfId="51" applyNumberFormat="1" applyFont="1" applyFill="1" applyBorder="1" applyAlignment="1">
      <alignment horizontal="right" vertical="center"/>
      <protection/>
    </xf>
    <xf numFmtId="3" fontId="0" fillId="0" borderId="20" xfId="51" applyNumberFormat="1" applyFont="1" applyBorder="1" applyAlignment="1">
      <alignment horizontal="right" vertical="center"/>
      <protection/>
    </xf>
    <xf numFmtId="3" fontId="0" fillId="0" borderId="18" xfId="51" applyNumberFormat="1" applyFont="1" applyBorder="1" applyAlignment="1">
      <alignment horizontal="right" vertical="center" wrapText="1"/>
      <protection/>
    </xf>
    <xf numFmtId="3" fontId="0" fillId="0" borderId="18" xfId="51" applyNumberFormat="1" applyFont="1" applyBorder="1" applyAlignment="1">
      <alignment horizontal="right" vertical="center"/>
      <protection/>
    </xf>
    <xf numFmtId="3" fontId="0" fillId="0" borderId="13" xfId="51" applyNumberFormat="1" applyFont="1" applyBorder="1" applyAlignment="1">
      <alignment horizontal="right" vertical="center"/>
      <protection/>
    </xf>
    <xf numFmtId="3" fontId="0" fillId="0" borderId="19" xfId="51" applyNumberFormat="1" applyFont="1" applyBorder="1" applyAlignment="1">
      <alignment horizontal="right" vertical="center"/>
      <protection/>
    </xf>
    <xf numFmtId="0" fontId="6" fillId="0" borderId="22" xfId="51" applyFont="1" applyBorder="1">
      <alignment/>
      <protection/>
    </xf>
    <xf numFmtId="4" fontId="2" fillId="0" borderId="22" xfId="51" applyNumberFormat="1" applyFont="1" applyBorder="1">
      <alignment/>
      <protection/>
    </xf>
    <xf numFmtId="4" fontId="2" fillId="0" borderId="18" xfId="51" applyNumberFormat="1" applyFont="1" applyBorder="1">
      <alignment/>
      <protection/>
    </xf>
    <xf numFmtId="4" fontId="2" fillId="0" borderId="36" xfId="51" applyNumberFormat="1" applyFont="1" applyBorder="1">
      <alignment/>
      <protection/>
    </xf>
    <xf numFmtId="4" fontId="2" fillId="0" borderId="39" xfId="51" applyNumberFormat="1" applyFont="1" applyBorder="1">
      <alignment/>
      <protection/>
    </xf>
    <xf numFmtId="3" fontId="51" fillId="48" borderId="22" xfId="51" applyNumberFormat="1" applyFont="1" applyFill="1" applyBorder="1" applyAlignment="1">
      <alignment horizontal="left" vertical="center" wrapText="1"/>
      <protection/>
    </xf>
    <xf numFmtId="3" fontId="0" fillId="49" borderId="22" xfId="51" applyNumberFormat="1" applyFont="1" applyFill="1" applyBorder="1" applyAlignment="1">
      <alignment horizontal="right" vertical="center" wrapText="1"/>
      <protection/>
    </xf>
    <xf numFmtId="4" fontId="17" fillId="49" borderId="22" xfId="51" applyNumberFormat="1" applyFont="1" applyFill="1" applyBorder="1">
      <alignment/>
      <protection/>
    </xf>
    <xf numFmtId="4" fontId="17" fillId="49" borderId="18" xfId="51" applyNumberFormat="1" applyFont="1" applyFill="1" applyBorder="1">
      <alignment/>
      <protection/>
    </xf>
    <xf numFmtId="4" fontId="17" fillId="49" borderId="36" xfId="51" applyNumberFormat="1" applyFont="1" applyFill="1" applyBorder="1">
      <alignment/>
      <protection/>
    </xf>
    <xf numFmtId="4" fontId="17" fillId="49" borderId="39" xfId="51" applyNumberFormat="1" applyFont="1" applyFill="1" applyBorder="1">
      <alignment/>
      <protection/>
    </xf>
    <xf numFmtId="4" fontId="17" fillId="49" borderId="35" xfId="51" applyNumberFormat="1" applyFont="1" applyFill="1" applyBorder="1">
      <alignment/>
      <protection/>
    </xf>
    <xf numFmtId="4" fontId="19" fillId="49" borderId="18" xfId="49" applyNumberFormat="1" applyFont="1" applyFill="1" applyBorder="1">
      <alignment/>
      <protection/>
    </xf>
    <xf numFmtId="4" fontId="19" fillId="49" borderId="18" xfId="51" applyNumberFormat="1" applyFont="1" applyFill="1" applyBorder="1">
      <alignment/>
      <protection/>
    </xf>
    <xf numFmtId="4" fontId="5" fillId="49" borderId="18" xfId="50" applyNumberFormat="1" applyFont="1" applyFill="1" applyBorder="1">
      <alignment/>
      <protection/>
    </xf>
    <xf numFmtId="4" fontId="40" fillId="49" borderId="13" xfId="49" applyNumberFormat="1" applyFont="1" applyFill="1" applyBorder="1">
      <alignment/>
      <protection/>
    </xf>
    <xf numFmtId="0" fontId="0" fillId="40" borderId="22" xfId="51" applyFont="1" applyFill="1" applyBorder="1" applyAlignment="1">
      <alignment horizontal="right" vertical="center"/>
      <protection/>
    </xf>
    <xf numFmtId="3" fontId="0" fillId="0" borderId="22" xfId="51" applyNumberFormat="1" applyFont="1" applyBorder="1" applyAlignment="1">
      <alignment horizontal="right" vertical="center"/>
      <protection/>
    </xf>
    <xf numFmtId="4" fontId="0" fillId="0" borderId="10" xfId="51" applyNumberFormat="1" applyFont="1" applyBorder="1" applyAlignment="1">
      <alignment horizontal="right" vertical="center"/>
      <protection/>
    </xf>
    <xf numFmtId="4" fontId="0" fillId="46" borderId="55" xfId="51" applyNumberFormat="1" applyFont="1" applyFill="1" applyBorder="1" applyAlignment="1">
      <alignment horizontal="right" vertical="center"/>
      <protection/>
    </xf>
    <xf numFmtId="4" fontId="0" fillId="46" borderId="13" xfId="51" applyNumberFormat="1" applyFont="1" applyFill="1" applyBorder="1" applyAlignment="1">
      <alignment horizontal="right" vertical="center"/>
      <protection/>
    </xf>
    <xf numFmtId="4" fontId="50" fillId="44" borderId="32" xfId="51" applyNumberFormat="1" applyFont="1" applyFill="1" applyBorder="1" applyAlignment="1">
      <alignment horizontal="right"/>
      <protection/>
    </xf>
    <xf numFmtId="4" fontId="50" fillId="44" borderId="11" xfId="51" applyNumberFormat="1" applyFont="1" applyFill="1" applyBorder="1" applyAlignment="1">
      <alignment horizontal="right"/>
      <protection/>
    </xf>
    <xf numFmtId="4" fontId="50" fillId="44" borderId="13" xfId="51" applyNumberFormat="1" applyFont="1" applyFill="1" applyBorder="1" applyAlignment="1">
      <alignment horizontal="right"/>
      <protection/>
    </xf>
    <xf numFmtId="4" fontId="50" fillId="44" borderId="54" xfId="51" applyNumberFormat="1" applyFont="1" applyFill="1" applyBorder="1" applyAlignment="1">
      <alignment horizontal="right"/>
      <protection/>
    </xf>
    <xf numFmtId="4" fontId="50" fillId="44" borderId="44" xfId="51" applyNumberFormat="1" applyFont="1" applyFill="1" applyBorder="1" applyAlignment="1">
      <alignment horizontal="right"/>
      <protection/>
    </xf>
    <xf numFmtId="3" fontId="0" fillId="0" borderId="19" xfId="51" applyNumberFormat="1" applyFont="1" applyBorder="1" applyAlignment="1">
      <alignment horizontal="left" vertical="center"/>
      <protection/>
    </xf>
    <xf numFmtId="4" fontId="50" fillId="41" borderId="24" xfId="51" applyNumberFormat="1" applyFont="1" applyFill="1" applyBorder="1" applyAlignment="1">
      <alignment horizontal="right"/>
      <protection/>
    </xf>
    <xf numFmtId="4" fontId="12" fillId="0" borderId="39" xfId="51" applyNumberFormat="1" applyFont="1" applyFill="1" applyBorder="1" applyAlignment="1">
      <alignment horizontal="right"/>
      <protection/>
    </xf>
    <xf numFmtId="4" fontId="19" fillId="0" borderId="17" xfId="51" applyNumberFormat="1" applyFont="1" applyFill="1" applyBorder="1">
      <alignment/>
      <protection/>
    </xf>
    <xf numFmtId="4" fontId="19" fillId="0" borderId="15" xfId="51" applyNumberFormat="1" applyFont="1" applyFill="1" applyBorder="1">
      <alignment/>
      <protection/>
    </xf>
    <xf numFmtId="4" fontId="50" fillId="41" borderId="42" xfId="51" applyNumberFormat="1" applyFont="1" applyFill="1" applyBorder="1" applyAlignment="1">
      <alignment horizontal="right"/>
      <protection/>
    </xf>
    <xf numFmtId="4" fontId="12" fillId="0" borderId="41" xfId="51" applyNumberFormat="1" applyFont="1" applyFill="1" applyBorder="1" applyAlignment="1">
      <alignment horizontal="right"/>
      <protection/>
    </xf>
    <xf numFmtId="0" fontId="6" fillId="44" borderId="27" xfId="48" applyFont="1" applyFill="1" applyBorder="1">
      <alignment/>
      <protection/>
    </xf>
    <xf numFmtId="4" fontId="2" fillId="0" borderId="10" xfId="48" applyNumberFormat="1" applyFont="1" applyBorder="1">
      <alignment/>
      <protection/>
    </xf>
    <xf numFmtId="4" fontId="2" fillId="0" borderId="0" xfId="48" applyNumberFormat="1" applyFont="1" applyBorder="1">
      <alignment/>
      <protection/>
    </xf>
    <xf numFmtId="4" fontId="2" fillId="0" borderId="24" xfId="48" applyNumberFormat="1" applyFont="1" applyFill="1" applyBorder="1">
      <alignment/>
      <protection/>
    </xf>
    <xf numFmtId="4" fontId="23" fillId="0" borderId="11" xfId="49" applyNumberFormat="1" applyFont="1" applyBorder="1" applyAlignment="1">
      <alignment horizontal="left" vertical="center" wrapText="1"/>
      <protection/>
    </xf>
    <xf numFmtId="4" fontId="23" fillId="0" borderId="22" xfId="49" applyNumberFormat="1" applyFont="1" applyBorder="1" applyAlignment="1">
      <alignment horizontal="left" vertical="center" wrapText="1"/>
      <protection/>
    </xf>
    <xf numFmtId="0" fontId="6" fillId="0" borderId="24" xfId="48" applyFont="1" applyFill="1" applyBorder="1">
      <alignment/>
      <protection/>
    </xf>
    <xf numFmtId="49" fontId="2" fillId="0" borderId="18" xfId="48" applyNumberFormat="1" applyFont="1" applyFill="1" applyBorder="1" applyAlignment="1">
      <alignment horizontal="left"/>
      <protection/>
    </xf>
    <xf numFmtId="49" fontId="2" fillId="0" borderId="18" xfId="48" applyNumberFormat="1" applyFont="1" applyFill="1" applyBorder="1" applyAlignment="1">
      <alignment horizontal="right"/>
      <protection/>
    </xf>
    <xf numFmtId="49" fontId="2" fillId="0" borderId="10" xfId="48" applyNumberFormat="1" applyFont="1" applyFill="1" applyBorder="1" applyAlignment="1">
      <alignment horizontal="right"/>
      <protection/>
    </xf>
    <xf numFmtId="0" fontId="2" fillId="42" borderId="16" xfId="48" applyFont="1" applyFill="1" applyBorder="1">
      <alignment/>
      <protection/>
    </xf>
    <xf numFmtId="0" fontId="2" fillId="33" borderId="17" xfId="48" applyFont="1" applyFill="1" applyBorder="1">
      <alignment/>
      <protection/>
    </xf>
    <xf numFmtId="4" fontId="2" fillId="0" borderId="32" xfId="49" applyNumberFormat="1" applyFont="1" applyFill="1" applyBorder="1">
      <alignment/>
      <protection/>
    </xf>
    <xf numFmtId="4" fontId="2" fillId="0" borderId="29" xfId="49" applyNumberFormat="1" applyFont="1" applyFill="1" applyBorder="1">
      <alignment/>
      <protection/>
    </xf>
    <xf numFmtId="4" fontId="2" fillId="0" borderId="15" xfId="48" applyNumberFormat="1" applyFont="1" applyFill="1" applyBorder="1">
      <alignment/>
      <protection/>
    </xf>
    <xf numFmtId="4" fontId="19" fillId="0" borderId="18" xfId="49" applyNumberFormat="1" applyFont="1" applyBorder="1">
      <alignment/>
      <protection/>
    </xf>
    <xf numFmtId="4" fontId="17" fillId="34" borderId="53" xfId="49" applyNumberFormat="1" applyFont="1" applyFill="1" applyBorder="1">
      <alignment/>
      <protection/>
    </xf>
    <xf numFmtId="0" fontId="23" fillId="0" borderId="11" xfId="48" applyFont="1" applyFill="1" applyBorder="1" applyAlignment="1">
      <alignment horizontal="right" wrapText="1"/>
      <protection/>
    </xf>
    <xf numFmtId="3" fontId="45" fillId="0" borderId="10" xfId="51" applyNumberFormat="1" applyFont="1" applyBorder="1" applyAlignment="1">
      <alignment horizontal="right" vertical="center" wrapText="1"/>
      <protection/>
    </xf>
    <xf numFmtId="3" fontId="98" fillId="0" borderId="0" xfId="51" applyNumberFormat="1" applyFont="1" applyBorder="1" applyAlignment="1">
      <alignment horizontal="right" vertical="center" wrapText="1"/>
      <protection/>
    </xf>
    <xf numFmtId="4" fontId="19" fillId="0" borderId="27" xfId="51" applyNumberFormat="1" applyFont="1" applyFill="1" applyBorder="1">
      <alignment/>
      <protection/>
    </xf>
    <xf numFmtId="4" fontId="5" fillId="0" borderId="19" xfId="51" applyNumberFormat="1" applyFont="1" applyBorder="1">
      <alignment/>
      <protection/>
    </xf>
    <xf numFmtId="4" fontId="97" fillId="0" borderId="18" xfId="51" applyNumberFormat="1" applyFont="1" applyFill="1" applyBorder="1">
      <alignment/>
      <protection/>
    </xf>
    <xf numFmtId="4" fontId="12" fillId="34" borderId="18" xfId="51" applyNumberFormat="1" applyFont="1" applyFill="1" applyBorder="1" applyAlignment="1">
      <alignment horizontal="right"/>
      <protection/>
    </xf>
    <xf numFmtId="4" fontId="0" fillId="39" borderId="23" xfId="51" applyNumberFormat="1" applyFont="1" applyFill="1" applyBorder="1" applyAlignment="1">
      <alignment horizontal="right"/>
      <protection/>
    </xf>
    <xf numFmtId="4" fontId="0" fillId="39" borderId="16" xfId="51" applyNumberFormat="1" applyFont="1" applyFill="1" applyBorder="1" applyAlignment="1">
      <alignment horizontal="right"/>
      <protection/>
    </xf>
    <xf numFmtId="4" fontId="0" fillId="39" borderId="25" xfId="51" applyNumberFormat="1" applyFont="1" applyFill="1" applyBorder="1" applyAlignment="1">
      <alignment horizontal="right"/>
      <protection/>
    </xf>
    <xf numFmtId="4" fontId="0" fillId="39" borderId="28" xfId="51" applyNumberFormat="1" applyFont="1" applyFill="1" applyBorder="1" applyAlignment="1">
      <alignment horizontal="right"/>
      <protection/>
    </xf>
    <xf numFmtId="4" fontId="0" fillId="39" borderId="56" xfId="51" applyNumberFormat="1" applyFont="1" applyFill="1" applyBorder="1" applyAlignment="1">
      <alignment horizontal="right"/>
      <protection/>
    </xf>
    <xf numFmtId="184" fontId="2" fillId="0" borderId="0" xfId="49" applyNumberFormat="1" applyFont="1" applyFill="1">
      <alignment/>
      <protection/>
    </xf>
    <xf numFmtId="0" fontId="2" fillId="0" borderId="16" xfId="48" applyFont="1" applyFill="1" applyBorder="1" applyAlignment="1">
      <alignment horizontal="left"/>
      <protection/>
    </xf>
    <xf numFmtId="3" fontId="44" fillId="0" borderId="18" xfId="51" applyNumberFormat="1" applyFont="1" applyFill="1" applyBorder="1" applyAlignment="1">
      <alignment horizontal="left" vertical="center" wrapText="1"/>
      <protection/>
    </xf>
    <xf numFmtId="4" fontId="19" fillId="0" borderId="18" xfId="49" applyNumberFormat="1" applyFont="1" applyFill="1" applyBorder="1" applyAlignment="1">
      <alignment horizontal="right"/>
      <protection/>
    </xf>
    <xf numFmtId="4" fontId="32" fillId="50" borderId="0" xfId="49" applyNumberFormat="1" applyFont="1" applyFill="1">
      <alignment/>
      <protection/>
    </xf>
    <xf numFmtId="4" fontId="103" fillId="0" borderId="0" xfId="49" applyNumberFormat="1" applyFont="1">
      <alignment/>
      <protection/>
    </xf>
    <xf numFmtId="0" fontId="0" fillId="0" borderId="11" xfId="48" applyFont="1" applyFill="1" applyBorder="1" applyAlignment="1">
      <alignment wrapText="1"/>
      <protection/>
    </xf>
    <xf numFmtId="3" fontId="52" fillId="0" borderId="22" xfId="51" applyNumberFormat="1" applyFont="1" applyBorder="1" applyAlignment="1">
      <alignment horizontal="left" vertical="center" wrapText="1"/>
      <protection/>
    </xf>
    <xf numFmtId="3" fontId="52" fillId="0" borderId="18" xfId="51" applyNumberFormat="1" applyFont="1" applyBorder="1" applyAlignment="1">
      <alignment horizontal="left" vertical="center" wrapText="1"/>
      <protection/>
    </xf>
    <xf numFmtId="4" fontId="23" fillId="0" borderId="20" xfId="49" applyNumberFormat="1" applyFont="1" applyBorder="1" applyAlignment="1">
      <alignment horizontal="left" vertical="center" wrapText="1"/>
      <protection/>
    </xf>
    <xf numFmtId="4" fontId="23" fillId="0" borderId="18" xfId="49" applyNumberFormat="1" applyFont="1" applyBorder="1" applyAlignment="1">
      <alignment horizontal="left" vertical="center" wrapText="1"/>
      <protection/>
    </xf>
    <xf numFmtId="4" fontId="23" fillId="0" borderId="13" xfId="49" applyNumberFormat="1" applyFont="1" applyBorder="1" applyAlignment="1">
      <alignment horizontal="left" vertical="center" wrapText="1"/>
      <protection/>
    </xf>
    <xf numFmtId="0" fontId="2" fillId="40" borderId="22" xfId="48" applyFont="1" applyFill="1" applyBorder="1" applyAlignment="1">
      <alignment vertical="top"/>
      <protection/>
    </xf>
    <xf numFmtId="49" fontId="2" fillId="0" borderId="13" xfId="48" applyNumberFormat="1" applyFont="1" applyFill="1" applyBorder="1" applyAlignment="1">
      <alignment horizontal="left" vertical="top"/>
      <protection/>
    </xf>
    <xf numFmtId="4" fontId="2" fillId="0" borderId="33" xfId="48" applyNumberFormat="1" applyFont="1" applyFill="1" applyBorder="1">
      <alignment/>
      <protection/>
    </xf>
    <xf numFmtId="4" fontId="2" fillId="0" borderId="19" xfId="48" applyNumberFormat="1" applyFont="1" applyFill="1" applyBorder="1">
      <alignment/>
      <protection/>
    </xf>
    <xf numFmtId="4" fontId="2" fillId="0" borderId="16" xfId="48" applyNumberFormat="1" applyFont="1" applyBorder="1">
      <alignment/>
      <protection/>
    </xf>
    <xf numFmtId="4" fontId="19" fillId="0" borderId="40" xfId="49" applyNumberFormat="1" applyFont="1" applyFill="1" applyBorder="1">
      <alignment/>
      <protection/>
    </xf>
    <xf numFmtId="4" fontId="19" fillId="0" borderId="0" xfId="49" applyNumberFormat="1" applyFont="1" applyFill="1" applyBorder="1">
      <alignment/>
      <protection/>
    </xf>
    <xf numFmtId="4" fontId="19" fillId="0" borderId="10" xfId="49" applyNumberFormat="1" applyFont="1" applyFill="1" applyBorder="1">
      <alignment/>
      <protection/>
    </xf>
    <xf numFmtId="4" fontId="23" fillId="0" borderId="12" xfId="49" applyNumberFormat="1" applyFont="1" applyBorder="1" applyAlignment="1">
      <alignment horizontal="left" vertical="center" wrapText="1"/>
      <protection/>
    </xf>
    <xf numFmtId="4" fontId="23" fillId="0" borderId="23" xfId="49" applyNumberFormat="1" applyFont="1" applyBorder="1" applyAlignment="1">
      <alignment horizontal="left" vertical="center" wrapText="1"/>
      <protection/>
    </xf>
    <xf numFmtId="4" fontId="18" fillId="0" borderId="25" xfId="49" applyNumberFormat="1" applyFont="1" applyBorder="1" applyAlignment="1">
      <alignment horizontal="left" vertical="center" wrapText="1"/>
      <protection/>
    </xf>
    <xf numFmtId="4" fontId="19" fillId="0" borderId="23" xfId="49" applyNumberFormat="1" applyFont="1" applyFill="1" applyBorder="1">
      <alignment/>
      <protection/>
    </xf>
    <xf numFmtId="4" fontId="19" fillId="0" borderId="26" xfId="49" applyNumberFormat="1" applyFont="1" applyFill="1" applyBorder="1">
      <alignment/>
      <protection/>
    </xf>
    <xf numFmtId="4" fontId="19" fillId="0" borderId="25" xfId="49" applyNumberFormat="1" applyFont="1" applyFill="1" applyBorder="1">
      <alignment/>
      <protection/>
    </xf>
    <xf numFmtId="4" fontId="19" fillId="0" borderId="16" xfId="49" applyNumberFormat="1" applyFont="1" applyFill="1" applyBorder="1">
      <alignment/>
      <protection/>
    </xf>
    <xf numFmtId="4" fontId="17" fillId="34" borderId="26" xfId="49" applyNumberFormat="1" applyFont="1" applyFill="1" applyBorder="1">
      <alignment/>
      <protection/>
    </xf>
    <xf numFmtId="4" fontId="19" fillId="0" borderId="16" xfId="49" applyNumberFormat="1" applyFont="1" applyBorder="1">
      <alignment/>
      <protection/>
    </xf>
    <xf numFmtId="4" fontId="17" fillId="34" borderId="42" xfId="49" applyNumberFormat="1" applyFont="1" applyFill="1" applyBorder="1">
      <alignment/>
      <protection/>
    </xf>
    <xf numFmtId="4" fontId="19" fillId="0" borderId="10" xfId="49" applyNumberFormat="1" applyFont="1" applyBorder="1">
      <alignment/>
      <protection/>
    </xf>
    <xf numFmtId="4" fontId="23" fillId="0" borderId="44" xfId="49" applyNumberFormat="1" applyFont="1" applyBorder="1" applyAlignment="1">
      <alignment horizontal="left" vertical="center" wrapText="1"/>
      <protection/>
    </xf>
    <xf numFmtId="4" fontId="18" fillId="0" borderId="44" xfId="49" applyNumberFormat="1" applyFont="1" applyBorder="1" applyAlignment="1">
      <alignment horizontal="left" vertical="center" wrapText="1"/>
      <protection/>
    </xf>
    <xf numFmtId="4" fontId="19" fillId="0" borderId="44" xfId="49" applyNumberFormat="1" applyFont="1" applyFill="1" applyBorder="1">
      <alignment/>
      <protection/>
    </xf>
    <xf numFmtId="4" fontId="17" fillId="34" borderId="44" xfId="49" applyNumberFormat="1" applyFont="1" applyFill="1" applyBorder="1">
      <alignment/>
      <protection/>
    </xf>
    <xf numFmtId="4" fontId="19" fillId="0" borderId="44" xfId="49" applyNumberFormat="1" applyFont="1" applyBorder="1">
      <alignment/>
      <protection/>
    </xf>
    <xf numFmtId="4" fontId="104" fillId="50" borderId="0" xfId="49" applyNumberFormat="1" applyFont="1" applyFill="1">
      <alignment/>
      <protection/>
    </xf>
    <xf numFmtId="4" fontId="7" fillId="50" borderId="19" xfId="48" applyNumberFormat="1" applyFont="1" applyFill="1" applyBorder="1">
      <alignment/>
      <protection/>
    </xf>
    <xf numFmtId="0" fontId="6" fillId="0" borderId="23" xfId="48" applyFont="1" applyFill="1" applyBorder="1" applyAlignment="1">
      <alignment horizontal="left" wrapText="1"/>
      <protection/>
    </xf>
    <xf numFmtId="0" fontId="6" fillId="0" borderId="26" xfId="48" applyFont="1" applyFill="1" applyBorder="1" applyAlignment="1">
      <alignment horizontal="left" wrapText="1"/>
      <protection/>
    </xf>
    <xf numFmtId="0" fontId="6" fillId="33" borderId="23" xfId="48" applyFont="1" applyFill="1" applyBorder="1" applyAlignment="1">
      <alignment horizontal="left" wrapText="1"/>
      <protection/>
    </xf>
    <xf numFmtId="0" fontId="6" fillId="33" borderId="26" xfId="48" applyFont="1" applyFill="1" applyBorder="1" applyAlignment="1">
      <alignment horizontal="left" wrapText="1"/>
      <protection/>
    </xf>
    <xf numFmtId="0" fontId="3" fillId="0" borderId="0" xfId="49" applyFont="1" applyBorder="1" applyAlignment="1">
      <alignment horizontal="center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50496_headcount" xfId="44"/>
    <cellStyle name="Normálna 2" xfId="45"/>
    <cellStyle name="normálne 2" xfId="46"/>
    <cellStyle name="normálne 3" xfId="47"/>
    <cellStyle name="normálne_Príloha è. 1 - AS STU r.2007" xfId="48"/>
    <cellStyle name="normálne_Suhrn DOT 2005 dofinanc v maji + korekcia v dec05 2" xfId="49"/>
    <cellStyle name="normálne_Suhrn DOT 2005 dofinanc v maji + korekcia v dec05 3" xfId="50"/>
    <cellStyle name="normálne_Suhrn DOT 2005 dofinanc v maji + korekcia v dec05 3 2" xfId="51"/>
    <cellStyle name="Percent" xfId="52"/>
    <cellStyle name="percentá 2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akova\Documents\dot&#225;cia\dot&#225;cia_2018\AS_2018\SD_AS_dot&#225;cia_Pr&#237;loha_1_RD_2018_V7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akova\Documents\dot&#225;cia\dot&#225;cia_2019\Poslan&#225;%20dot&#225;cia\poslan&#225;%20dot&#225;cia_%202019_1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akova\Documents\dot&#225;cia\dot&#225;cia_2019\AS_2019\SD_Pr&#237;loha_1_RD_2019_V4%20(AS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D 2018"/>
      <sheetName val="Graf 2017, 2018"/>
    </sheetNames>
    <sheetDataSet>
      <sheetData sheetId="0">
        <row r="8">
          <cell r="C8">
            <v>59950735</v>
          </cell>
        </row>
        <row r="10">
          <cell r="C10">
            <v>59950735</v>
          </cell>
        </row>
        <row r="11">
          <cell r="C11">
            <v>31101507</v>
          </cell>
        </row>
        <row r="12">
          <cell r="C12">
            <v>18959089</v>
          </cell>
        </row>
        <row r="15">
          <cell r="C15">
            <v>6673599</v>
          </cell>
        </row>
        <row r="19">
          <cell r="C19">
            <v>5468819</v>
          </cell>
        </row>
        <row r="39">
          <cell r="C39">
            <v>22396466</v>
          </cell>
        </row>
        <row r="44">
          <cell r="C44">
            <v>152000</v>
          </cell>
        </row>
        <row r="75">
          <cell r="C75">
            <v>78699</v>
          </cell>
        </row>
        <row r="76">
          <cell r="C76">
            <v>6374063</v>
          </cell>
        </row>
        <row r="77">
          <cell r="C77">
            <v>1162725</v>
          </cell>
        </row>
        <row r="78">
          <cell r="C78">
            <v>1345950</v>
          </cell>
        </row>
        <row r="79">
          <cell r="C79">
            <v>616750</v>
          </cell>
        </row>
        <row r="82">
          <cell r="C82">
            <v>1381534</v>
          </cell>
        </row>
        <row r="84">
          <cell r="C84">
            <v>46222</v>
          </cell>
        </row>
        <row r="85">
          <cell r="C85">
            <v>486300</v>
          </cell>
        </row>
        <row r="86">
          <cell r="C86">
            <v>441699.99999999994</v>
          </cell>
        </row>
        <row r="87">
          <cell r="C87">
            <v>498784</v>
          </cell>
        </row>
        <row r="88">
          <cell r="C88">
            <v>374504</v>
          </cell>
        </row>
        <row r="89">
          <cell r="C89">
            <v>65816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vF"/>
      <sheetName val="SjF"/>
      <sheetName val="FEI"/>
      <sheetName val="FCHPT"/>
      <sheetName val="FA"/>
      <sheetName val="MTF"/>
      <sheetName val="FIIT"/>
      <sheetName val="ÚŠDaJ"/>
      <sheetName val="ÚM"/>
      <sheetName val="Rektorát"/>
      <sheetName val="Gabčíkovo"/>
      <sheetName val="Rezerva"/>
      <sheetName val="sumár"/>
      <sheetName val="rekapitulácia"/>
      <sheetName val="poslané z MŠ"/>
      <sheetName val="príjem-mesačne (2)"/>
      <sheetName val="príjem-mesačne"/>
      <sheetName val="DAAD-príjem (2)"/>
      <sheetName val="vládni-príjem"/>
      <sheetName val="06K12"/>
      <sheetName val="APVV-príjem"/>
      <sheetName val="vratky"/>
      <sheetName val="vratka - eliminácia bariér"/>
      <sheetName val="vratky-príjem"/>
      <sheetName val="príjmová (3)"/>
      <sheetName val="príjmová (2)"/>
      <sheetName val="príjmová"/>
      <sheetName val="výdavková (2)"/>
      <sheetName val="výdavková"/>
      <sheetName val="vratky-príjem (2)"/>
      <sheetName val="zostatkový (2)"/>
      <sheetName val="zostatkový"/>
      <sheetName val="výskumníci"/>
      <sheetName val="Hárok1"/>
      <sheetName val="Hárok2"/>
    </sheetNames>
    <sheetDataSet>
      <sheetData sheetId="14">
        <row r="32">
          <cell r="S32">
            <v>5144970.159999999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D 2019"/>
      <sheetName val="Graf 2019, 2018"/>
      <sheetName val="Mzdy_2019_50,30,20"/>
      <sheetName val="Mzdy_2019_ZVD"/>
      <sheetName val="T6b-výkon_fakulty"/>
      <sheetName val="T16-KKŠ"/>
      <sheetName val="077 11 TaS"/>
      <sheetName val="TaS_2019_50,30,20"/>
      <sheetName val="Výkony 077 11"/>
      <sheetName val="T14_ ZG_DG"/>
      <sheetName val="T14 ZVD, 077 12"/>
      <sheetName val="077 12 rozpis"/>
      <sheetName val="Špičkové tímy"/>
      <sheetName val="PATENTY"/>
      <sheetName val="077 11"/>
      <sheetName val="077 12"/>
      <sheetName val="Pub_output_final"/>
      <sheetName val="SD -11913,0232019"/>
      <sheetName val="SD O282019"/>
    </sheetNames>
    <sheetDataSet>
      <sheetData sheetId="0">
        <row r="10">
          <cell r="U10">
            <v>99055</v>
          </cell>
          <cell r="V10">
            <v>1417000</v>
          </cell>
        </row>
        <row r="15">
          <cell r="T15">
            <v>60000</v>
          </cell>
        </row>
        <row r="16">
          <cell r="S16">
            <v>394831</v>
          </cell>
        </row>
        <row r="20">
          <cell r="O20">
            <v>10000</v>
          </cell>
          <cell r="S20">
            <v>379546</v>
          </cell>
          <cell r="T20">
            <v>924161</v>
          </cell>
        </row>
        <row r="21">
          <cell r="E21">
            <v>59000</v>
          </cell>
        </row>
        <row r="23">
          <cell r="T23">
            <v>31266</v>
          </cell>
        </row>
        <row r="24">
          <cell r="T24">
            <v>25500</v>
          </cell>
        </row>
        <row r="25">
          <cell r="T25">
            <v>6500</v>
          </cell>
        </row>
        <row r="26">
          <cell r="T26">
            <v>24800</v>
          </cell>
        </row>
        <row r="27">
          <cell r="T27">
            <v>129000</v>
          </cell>
        </row>
        <row r="28">
          <cell r="T28">
            <v>230000</v>
          </cell>
        </row>
        <row r="29">
          <cell r="T29">
            <v>426095</v>
          </cell>
        </row>
        <row r="30">
          <cell r="T30">
            <v>0</v>
          </cell>
        </row>
        <row r="31">
          <cell r="T31">
            <v>2000</v>
          </cell>
        </row>
        <row r="32">
          <cell r="T32">
            <v>20000</v>
          </cell>
        </row>
        <row r="33">
          <cell r="T33">
            <v>29000</v>
          </cell>
        </row>
        <row r="34">
          <cell r="O34">
            <v>10000</v>
          </cell>
        </row>
      </sheetData>
      <sheetData sheetId="2">
        <row r="12">
          <cell r="U12">
            <v>14400</v>
          </cell>
        </row>
        <row r="14">
          <cell r="U14">
            <v>14400</v>
          </cell>
        </row>
        <row r="17">
          <cell r="U17">
            <v>14400</v>
          </cell>
        </row>
        <row r="18">
          <cell r="U18">
            <v>14400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97"/>
  <sheetViews>
    <sheetView zoomScale="95" zoomScaleNormal="95" zoomScaleSheetLayoutView="75" zoomScalePageLayoutView="0" workbookViewId="0" topLeftCell="A1">
      <pane xSplit="1" ySplit="6" topLeftCell="C162" activePane="bottomRight" state="frozen"/>
      <selection pane="topLeft" activeCell="A2" sqref="A2"/>
      <selection pane="topRight" activeCell="B2" sqref="B2"/>
      <selection pane="bottomLeft" activeCell="A7" sqref="A7"/>
      <selection pane="bottomRight" activeCell="Q183" sqref="Q183"/>
    </sheetView>
  </sheetViews>
  <sheetFormatPr defaultColWidth="9.140625" defaultRowHeight="12.75"/>
  <cols>
    <col min="1" max="1" width="58.57421875" style="0" customWidth="1"/>
    <col min="2" max="2" width="15.57421875" style="0" customWidth="1"/>
    <col min="3" max="3" width="16.421875" style="297" bestFit="1" customWidth="1"/>
    <col min="4" max="5" width="14.57421875" style="297" bestFit="1" customWidth="1"/>
    <col min="6" max="6" width="15.140625" style="297" customWidth="1"/>
    <col min="7" max="7" width="13.140625" style="297" bestFit="1" customWidth="1"/>
    <col min="8" max="8" width="14.140625" style="297" bestFit="1" customWidth="1"/>
    <col min="9" max="10" width="13.140625" style="297" bestFit="1" customWidth="1"/>
    <col min="11" max="11" width="14.140625" style="297" bestFit="1" customWidth="1"/>
    <col min="12" max="13" width="13.140625" style="297" customWidth="1"/>
    <col min="14" max="14" width="12.28125" style="297" bestFit="1" customWidth="1"/>
    <col min="15" max="16" width="14.421875" style="297" customWidth="1"/>
    <col min="17" max="17" width="13.57421875" style="297" bestFit="1" customWidth="1"/>
    <col min="18" max="18" width="21.140625" style="0" customWidth="1"/>
    <col min="19" max="19" width="29.57421875" style="0" customWidth="1"/>
    <col min="20" max="21" width="10.140625" style="0" bestFit="1" customWidth="1"/>
  </cols>
  <sheetData>
    <row r="1" spans="1:17" ht="12.75">
      <c r="A1" t="s">
        <v>79</v>
      </c>
      <c r="B1" s="19">
        <f>E1+F1</f>
        <v>0</v>
      </c>
      <c r="C1" s="305">
        <f>C9-'súhrnná po AS'!C90</f>
        <v>0</v>
      </c>
      <c r="D1" s="305">
        <f>D9-'súhrnná po AS'!D90</f>
        <v>0</v>
      </c>
      <c r="E1" s="305">
        <f>E9-'súhrnná po AS'!E90</f>
        <v>0</v>
      </c>
      <c r="F1" s="305">
        <f>F9-'súhrnná po AS'!F90</f>
        <v>0</v>
      </c>
      <c r="G1" s="305">
        <f>G9-'súhrnná po AS'!G90</f>
        <v>0</v>
      </c>
      <c r="H1" s="305">
        <f>H9-'súhrnná po AS'!H90</f>
        <v>0</v>
      </c>
      <c r="I1" s="305">
        <f>I9-'súhrnná po AS'!I90</f>
        <v>0</v>
      </c>
      <c r="J1" s="305">
        <f>J9-'súhrnná po AS'!J90</f>
        <v>0</v>
      </c>
      <c r="K1" s="305">
        <f>K9-'súhrnná po AS'!K90</f>
        <v>0</v>
      </c>
      <c r="L1" s="305">
        <f>L9-'súhrnná po AS'!L90</f>
        <v>-5136695.989999999</v>
      </c>
      <c r="M1" s="305">
        <f>M9-'súhrnná po AS'!M90</f>
        <v>0</v>
      </c>
      <c r="N1" s="305">
        <f>N9-'súhrnná po AS'!N90</f>
        <v>43410</v>
      </c>
      <c r="O1" s="305">
        <f>O9-'súhrnná po AS'!O90</f>
        <v>-43410</v>
      </c>
      <c r="P1" s="305">
        <f>P9-'súhrnná po AS'!P90</f>
        <v>0</v>
      </c>
      <c r="Q1" s="305">
        <f>Q9-'súhrnná po AS'!Q90</f>
        <v>5180105.989999999</v>
      </c>
    </row>
    <row r="2" spans="1:20" ht="19.5" customHeight="1" thickBot="1">
      <c r="A2" s="77" t="s">
        <v>135</v>
      </c>
      <c r="B2" s="77"/>
      <c r="C2" s="298" t="s">
        <v>242</v>
      </c>
      <c r="D2" s="298"/>
      <c r="E2" s="298" t="s">
        <v>243</v>
      </c>
      <c r="F2" s="298" t="s">
        <v>242</v>
      </c>
      <c r="G2" s="298">
        <f>G5-4570603.56</f>
        <v>4000.0000000009313</v>
      </c>
      <c r="H2" s="298" t="s">
        <v>242</v>
      </c>
      <c r="I2" s="298" t="s">
        <v>242</v>
      </c>
      <c r="J2" s="298" t="s">
        <v>242</v>
      </c>
      <c r="K2" s="298"/>
      <c r="L2" s="298"/>
      <c r="M2" s="298"/>
      <c r="N2" s="298"/>
      <c r="O2" s="298"/>
      <c r="P2" s="298"/>
      <c r="Q2" s="298"/>
      <c r="R2" s="77"/>
      <c r="S2" s="103"/>
      <c r="T2" s="103"/>
    </row>
    <row r="3" spans="1:20" ht="44.25" customHeight="1" thickBot="1">
      <c r="A3" s="104"/>
      <c r="B3" s="216"/>
      <c r="C3" s="232" t="s">
        <v>1</v>
      </c>
      <c r="D3" s="232" t="s">
        <v>2</v>
      </c>
      <c r="E3" s="232" t="s">
        <v>3</v>
      </c>
      <c r="F3" s="232" t="s">
        <v>4</v>
      </c>
      <c r="G3" s="232" t="s">
        <v>5</v>
      </c>
      <c r="H3" s="232" t="s">
        <v>6</v>
      </c>
      <c r="I3" s="232" t="s">
        <v>7</v>
      </c>
      <c r="J3" s="232" t="s">
        <v>21</v>
      </c>
      <c r="K3" s="306" t="s">
        <v>68</v>
      </c>
      <c r="L3" s="232" t="s">
        <v>9</v>
      </c>
      <c r="M3" s="232" t="s">
        <v>99</v>
      </c>
      <c r="N3" s="232" t="s">
        <v>22</v>
      </c>
      <c r="O3" s="105" t="s">
        <v>11</v>
      </c>
      <c r="P3" s="307" t="s">
        <v>83</v>
      </c>
      <c r="Q3" s="232" t="s">
        <v>24</v>
      </c>
      <c r="R3" s="103"/>
      <c r="S3" s="103"/>
      <c r="T3" s="103"/>
    </row>
    <row r="4" spans="1:21" ht="23.25" customHeight="1" thickBot="1">
      <c r="A4" s="74" t="s">
        <v>171</v>
      </c>
      <c r="B4" s="217"/>
      <c r="C4" s="200">
        <v>10119908</v>
      </c>
      <c r="D4" s="200">
        <v>4205409</v>
      </c>
      <c r="E4" s="200">
        <v>9210602</v>
      </c>
      <c r="F4" s="200">
        <v>9929625</v>
      </c>
      <c r="G4" s="200">
        <v>3580541.0041802363</v>
      </c>
      <c r="H4" s="200">
        <v>7863351</v>
      </c>
      <c r="I4" s="200">
        <v>3004355</v>
      </c>
      <c r="J4" s="200">
        <v>2675571</v>
      </c>
      <c r="K4" s="200">
        <v>70076</v>
      </c>
      <c r="L4" s="200">
        <v>753286</v>
      </c>
      <c r="M4" s="200">
        <v>248311</v>
      </c>
      <c r="N4" s="200">
        <v>2819862</v>
      </c>
      <c r="O4" s="200">
        <v>3099043</v>
      </c>
      <c r="P4" s="200">
        <f>'[33]SD 2019'!$U$10+'[33]SD 2019'!$V$10</f>
        <v>1516055</v>
      </c>
      <c r="Q4" s="165">
        <f>SUM(C4:P4)</f>
        <v>59095995.00418024</v>
      </c>
      <c r="R4" s="107"/>
      <c r="S4" s="107"/>
      <c r="T4" s="107"/>
      <c r="U4" s="597"/>
    </row>
    <row r="5" spans="1:20" ht="21.75" customHeight="1" thickBot="1">
      <c r="A5" s="108" t="s">
        <v>36</v>
      </c>
      <c r="B5" s="218"/>
      <c r="C5" s="109">
        <f>'súhrnná po AS'!C7</f>
        <v>12529556.030000001</v>
      </c>
      <c r="D5" s="109">
        <f>'súhrnná po AS'!D7</f>
        <v>5895003.7</v>
      </c>
      <c r="E5" s="109">
        <f>'súhrnná po AS'!E7</f>
        <v>12067331.51</v>
      </c>
      <c r="F5" s="109">
        <f>'súhrnná po AS'!F7</f>
        <v>13871601.4</v>
      </c>
      <c r="G5" s="109">
        <f>'súhrnná po AS'!G7</f>
        <v>4574603.5600000005</v>
      </c>
      <c r="H5" s="109">
        <f>'súhrnná po AS'!H7</f>
        <v>9645324.700000001</v>
      </c>
      <c r="I5" s="109">
        <f>'súhrnná po AS'!I7</f>
        <v>3615584.3299999996</v>
      </c>
      <c r="J5" s="109">
        <f>'súhrnná po AS'!M7</f>
        <v>3072980.11</v>
      </c>
      <c r="K5" s="109">
        <f>'súhrnná po AS'!N7</f>
        <v>75076</v>
      </c>
      <c r="L5" s="109">
        <f>'súhrnná po AS'!J7</f>
        <v>945584.3200000001</v>
      </c>
      <c r="M5" s="109">
        <f>'súhrnná po AS'!K7</f>
        <v>248311</v>
      </c>
      <c r="N5" s="109">
        <f>'súhrnná po AS'!O7</f>
        <v>4631391.86</v>
      </c>
      <c r="O5" s="109">
        <f>'súhrnná po AS'!P7</f>
        <v>2389716.85</v>
      </c>
      <c r="P5" s="109">
        <f>'súhrnná po AS'!Q7+'súhrnná po AS'!R7</f>
        <v>352661</v>
      </c>
      <c r="Q5" s="109">
        <f>SUM(C5:P5)</f>
        <v>73914726.37</v>
      </c>
      <c r="R5" s="107">
        <f>'súhrnná po AS'!S7</f>
        <v>73914726.36999999</v>
      </c>
      <c r="S5" s="107"/>
      <c r="T5" s="107"/>
    </row>
    <row r="6" spans="1:20" ht="20.25" customHeight="1" thickBot="1">
      <c r="A6" s="211" t="s">
        <v>63</v>
      </c>
      <c r="B6" s="620" t="s">
        <v>25</v>
      </c>
      <c r="C6" s="621"/>
      <c r="D6" s="621"/>
      <c r="E6" s="621"/>
      <c r="F6" s="621"/>
      <c r="G6" s="621"/>
      <c r="H6" s="65"/>
      <c r="I6" s="65"/>
      <c r="J6" s="65"/>
      <c r="K6" s="65"/>
      <c r="L6" s="65"/>
      <c r="M6" s="65"/>
      <c r="N6" s="65"/>
      <c r="O6" s="65"/>
      <c r="P6" s="65"/>
      <c r="Q6" s="65"/>
      <c r="R6" s="107"/>
      <c r="S6" s="107"/>
      <c r="T6" s="107"/>
    </row>
    <row r="7" spans="1:20" ht="12.75">
      <c r="A7" s="60" t="s">
        <v>69</v>
      </c>
      <c r="B7" s="638" t="s">
        <v>84</v>
      </c>
      <c r="C7" s="64">
        <f>8430+8270+280+5520+3075+15780-1180+1440+280+200+2800</f>
        <v>44895</v>
      </c>
      <c r="D7" s="64">
        <f>5400+5500+4320+365+3240-1445+200+600</f>
        <v>18180</v>
      </c>
      <c r="E7" s="64">
        <f>42480+42200-1280+34840-1380+5925+52530-3470+8800</f>
        <v>180645</v>
      </c>
      <c r="F7" s="64">
        <f>13830+12540-720+10800-360+1540+315+16680-2915+1440+3200</f>
        <v>56350</v>
      </c>
      <c r="G7" s="64">
        <f>10680+8970+100-1710+7620-480+925+12030-440+2000</f>
        <v>39695</v>
      </c>
      <c r="H7" s="64">
        <v>0</v>
      </c>
      <c r="I7" s="64">
        <f>14670+13590-360+12860+1155+14640-1360+2200</f>
        <v>57395</v>
      </c>
      <c r="J7" s="64"/>
      <c r="K7" s="64"/>
      <c r="L7" s="64"/>
      <c r="M7" s="64"/>
      <c r="N7" s="64"/>
      <c r="O7" s="262"/>
      <c r="P7" s="65"/>
      <c r="Q7" s="457">
        <f aca="true" t="shared" si="0" ref="Q7:Q38">SUM(C7:P7)</f>
        <v>397160</v>
      </c>
      <c r="R7" s="107"/>
      <c r="S7" s="107"/>
      <c r="T7" s="107"/>
    </row>
    <row r="8" spans="1:20" ht="12.75">
      <c r="A8" s="60" t="s">
        <v>114</v>
      </c>
      <c r="B8" s="638" t="s">
        <v>85</v>
      </c>
      <c r="C8" s="64">
        <f>280+840-280</f>
        <v>840</v>
      </c>
      <c r="D8" s="64"/>
      <c r="E8" s="64">
        <f>840+2815+840+1120-1328.2</f>
        <v>4286.8</v>
      </c>
      <c r="F8" s="64">
        <f>280+280+2513+280+840-1300.84</f>
        <v>2892.16</v>
      </c>
      <c r="G8" s="64"/>
      <c r="H8" s="64"/>
      <c r="I8" s="64"/>
      <c r="J8" s="64"/>
      <c r="K8" s="64"/>
      <c r="L8" s="64"/>
      <c r="M8" s="64"/>
      <c r="N8" s="64">
        <f>2872-2637</f>
        <v>235</v>
      </c>
      <c r="O8" s="64"/>
      <c r="P8" s="65"/>
      <c r="Q8" s="457">
        <f t="shared" si="0"/>
        <v>8253.96</v>
      </c>
      <c r="R8" s="107"/>
      <c r="S8" s="107"/>
      <c r="T8" s="107"/>
    </row>
    <row r="9" spans="1:20" ht="12.75">
      <c r="A9" s="60" t="s">
        <v>65</v>
      </c>
      <c r="B9" s="638" t="s">
        <v>70</v>
      </c>
      <c r="C9" s="64">
        <f>347099+75650+57730+160576+29600</f>
        <v>670655</v>
      </c>
      <c r="D9" s="64">
        <f>2000+2350+222339+145544+135844+4808.36-12375+22645</f>
        <v>523155.36</v>
      </c>
      <c r="E9" s="64">
        <f>2000+623986+320861+88167+15858+10000+5000-3145</f>
        <v>1062727</v>
      </c>
      <c r="F9" s="64">
        <f>2700+2300+19727.13+2350+65644+102586+621516+5900+504455+474781+70000+4000+158371-28.39-1021.59+14896.49+19561.52+2994.41+2513.29+12375</f>
        <v>2085620.8599999999</v>
      </c>
      <c r="G9" s="64">
        <f>2000+2000+47903</f>
        <v>51903</v>
      </c>
      <c r="H9" s="64">
        <f>362330+69054+82040+2076+4166.67+4996.8</f>
        <v>524663.47</v>
      </c>
      <c r="I9" s="64">
        <f>66634+62767+79990+4008+4572.3</f>
        <v>217971.3</v>
      </c>
      <c r="J9" s="64"/>
      <c r="K9" s="64"/>
      <c r="L9" s="64"/>
      <c r="M9" s="64"/>
      <c r="N9" s="64">
        <f>62910-19500</f>
        <v>43410</v>
      </c>
      <c r="O9" s="64"/>
      <c r="P9" s="65"/>
      <c r="Q9" s="457">
        <f t="shared" si="0"/>
        <v>5180105.989999999</v>
      </c>
      <c r="R9" s="107">
        <f>Q9-'súhrnná po AS'!S90</f>
        <v>0</v>
      </c>
      <c r="S9" s="107"/>
      <c r="T9" s="107"/>
    </row>
    <row r="10" spans="1:20" ht="12.75">
      <c r="A10" s="101" t="s">
        <v>73</v>
      </c>
      <c r="B10" s="638" t="s">
        <v>86</v>
      </c>
      <c r="C10" s="64"/>
      <c r="D10" s="64">
        <v>250000</v>
      </c>
      <c r="E10" s="64">
        <f>21575</f>
        <v>21575</v>
      </c>
      <c r="F10" s="64">
        <v>20000</v>
      </c>
      <c r="G10" s="64"/>
      <c r="H10" s="64"/>
      <c r="I10" s="64"/>
      <c r="J10" s="64"/>
      <c r="K10" s="64"/>
      <c r="L10" s="64"/>
      <c r="M10" s="64"/>
      <c r="N10" s="64"/>
      <c r="O10" s="64"/>
      <c r="P10" s="196"/>
      <c r="Q10" s="457">
        <f t="shared" si="0"/>
        <v>291575</v>
      </c>
      <c r="R10" s="107"/>
      <c r="S10" s="107"/>
      <c r="T10" s="107"/>
    </row>
    <row r="11" spans="1:20" ht="12.75">
      <c r="A11" s="66" t="s">
        <v>136</v>
      </c>
      <c r="B11" s="638" t="s">
        <v>137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>
        <f>-356186+356186</f>
        <v>0</v>
      </c>
      <c r="Q11" s="106">
        <f t="shared" si="0"/>
        <v>0</v>
      </c>
      <c r="R11" s="110"/>
      <c r="S11" s="107"/>
      <c r="T11" s="107"/>
    </row>
    <row r="12" spans="1:20" ht="12.75">
      <c r="A12" s="66" t="s">
        <v>136</v>
      </c>
      <c r="B12" s="638" t="s">
        <v>138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>
        <f>-125374+125374</f>
        <v>0</v>
      </c>
      <c r="Q12" s="106">
        <f t="shared" si="0"/>
        <v>0</v>
      </c>
      <c r="R12" s="111"/>
      <c r="S12" s="107"/>
      <c r="T12" s="107"/>
    </row>
    <row r="13" spans="1:20" ht="12.75">
      <c r="A13" s="66" t="s">
        <v>136</v>
      </c>
      <c r="B13" s="638" t="s">
        <v>139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446"/>
      <c r="P13" s="641">
        <f>1782233-1782233</f>
        <v>0</v>
      </c>
      <c r="Q13" s="106">
        <f t="shared" si="0"/>
        <v>0</v>
      </c>
      <c r="R13" s="112"/>
      <c r="S13" s="107"/>
      <c r="T13" s="107"/>
    </row>
    <row r="14" spans="1:20" s="5" customFormat="1" ht="12.75">
      <c r="A14" s="66" t="s">
        <v>136</v>
      </c>
      <c r="B14" s="638" t="s">
        <v>87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>
        <f>-203160+203160</f>
        <v>0</v>
      </c>
      <c r="Q14" s="300">
        <f t="shared" si="0"/>
        <v>0</v>
      </c>
      <c r="R14" s="384"/>
      <c r="S14" s="113"/>
      <c r="T14" s="113"/>
    </row>
    <row r="15" spans="1:20" s="5" customFormat="1" ht="12.75">
      <c r="A15" s="66" t="s">
        <v>136</v>
      </c>
      <c r="B15" s="638" t="s">
        <v>140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>
        <f>31800-31800</f>
        <v>0</v>
      </c>
      <c r="Q15" s="385">
        <f t="shared" si="0"/>
        <v>0</v>
      </c>
      <c r="R15" s="386"/>
      <c r="S15" s="113"/>
      <c r="T15" s="113"/>
    </row>
    <row r="16" spans="1:22" s="5" customFormat="1" ht="12.75">
      <c r="A16" s="66" t="s">
        <v>136</v>
      </c>
      <c r="B16" s="638" t="s">
        <v>111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309">
        <f>31842-31842</f>
        <v>0</v>
      </c>
      <c r="Q16" s="385">
        <f t="shared" si="0"/>
        <v>0</v>
      </c>
      <c r="R16" s="386"/>
      <c r="S16" s="113"/>
      <c r="T16" s="584"/>
      <c r="U16" s="585"/>
      <c r="V16" s="585"/>
    </row>
    <row r="17" spans="1:22" ht="25.5">
      <c r="A17" s="66" t="s">
        <v>144</v>
      </c>
      <c r="B17" s="638" t="s">
        <v>88</v>
      </c>
      <c r="C17" s="64">
        <f>580231+204241</f>
        <v>784472</v>
      </c>
      <c r="D17" s="64">
        <f>298727+105151</f>
        <v>403878</v>
      </c>
      <c r="E17" s="64">
        <f>483640+170241</f>
        <v>653881</v>
      </c>
      <c r="F17" s="64">
        <f>553653+194885</f>
        <v>748538</v>
      </c>
      <c r="G17" s="64">
        <f>235923+83046</f>
        <v>318969</v>
      </c>
      <c r="H17" s="64">
        <f>469344+165208</f>
        <v>634552</v>
      </c>
      <c r="I17" s="64">
        <f>141115+49672</f>
        <v>190787</v>
      </c>
      <c r="J17" s="64"/>
      <c r="K17" s="64"/>
      <c r="L17" s="64">
        <v>86018</v>
      </c>
      <c r="M17" s="64"/>
      <c r="N17" s="64">
        <f>493633+173759-86018</f>
        <v>581374</v>
      </c>
      <c r="O17" s="64"/>
      <c r="P17" s="65"/>
      <c r="Q17" s="385">
        <f t="shared" si="0"/>
        <v>4402469</v>
      </c>
      <c r="R17" s="299">
        <f>2156902+2245567</f>
        <v>4402469</v>
      </c>
      <c r="S17" s="107"/>
      <c r="T17" s="139"/>
      <c r="U17" s="586"/>
      <c r="V17" s="586"/>
    </row>
    <row r="18" spans="1:22" ht="25.5">
      <c r="A18" s="66" t="s">
        <v>144</v>
      </c>
      <c r="B18" s="638" t="s">
        <v>87</v>
      </c>
      <c r="C18" s="64">
        <f>65156+22935</f>
        <v>88091</v>
      </c>
      <c r="D18" s="64">
        <f>41663+14665</f>
        <v>56328</v>
      </c>
      <c r="E18" s="64">
        <f>115095+40513</f>
        <v>155608</v>
      </c>
      <c r="F18" s="64">
        <f>142575+50186</f>
        <v>192761</v>
      </c>
      <c r="G18" s="64">
        <f>24990+8796</f>
        <v>33786</v>
      </c>
      <c r="H18" s="64">
        <f>84159+29624</f>
        <v>113783</v>
      </c>
      <c r="I18" s="64">
        <f>7018+2471</f>
        <v>9489</v>
      </c>
      <c r="J18" s="64"/>
      <c r="K18" s="64"/>
      <c r="L18" s="64"/>
      <c r="M18" s="64"/>
      <c r="N18" s="64">
        <f>23705+8344</f>
        <v>32049</v>
      </c>
      <c r="O18" s="64"/>
      <c r="P18" s="65"/>
      <c r="Q18" s="299">
        <f t="shared" si="0"/>
        <v>681895</v>
      </c>
      <c r="R18" s="107">
        <v>681895</v>
      </c>
      <c r="S18" s="107"/>
      <c r="T18" s="139"/>
      <c r="U18" s="586"/>
      <c r="V18" s="586"/>
    </row>
    <row r="19" spans="1:22" ht="25.5" customHeight="1">
      <c r="A19" s="66" t="s">
        <v>145</v>
      </c>
      <c r="B19" s="638" t="s">
        <v>87</v>
      </c>
      <c r="C19" s="64">
        <v>107952</v>
      </c>
      <c r="D19" s="64">
        <v>33216</v>
      </c>
      <c r="E19" s="64">
        <v>66432</v>
      </c>
      <c r="F19" s="64">
        <v>111066</v>
      </c>
      <c r="G19" s="64">
        <v>44634</v>
      </c>
      <c r="H19" s="64">
        <v>47748</v>
      </c>
      <c r="I19" s="64">
        <v>26988</v>
      </c>
      <c r="J19" s="64"/>
      <c r="K19" s="64"/>
      <c r="L19" s="64">
        <v>10380</v>
      </c>
      <c r="M19" s="64"/>
      <c r="N19" s="64"/>
      <c r="O19" s="64"/>
      <c r="P19" s="65"/>
      <c r="Q19" s="106">
        <f t="shared" si="0"/>
        <v>448416</v>
      </c>
      <c r="R19" s="107">
        <v>448416</v>
      </c>
      <c r="S19" s="107"/>
      <c r="T19" s="139"/>
      <c r="U19" s="586"/>
      <c r="V19" s="586"/>
    </row>
    <row r="20" spans="1:22" s="5" customFormat="1" ht="26.25">
      <c r="A20" s="66" t="s">
        <v>144</v>
      </c>
      <c r="B20" s="638" t="s">
        <v>143</v>
      </c>
      <c r="C20" s="64"/>
      <c r="D20" s="64"/>
      <c r="E20" s="64"/>
      <c r="F20" s="64"/>
      <c r="G20" s="64"/>
      <c r="H20" s="64">
        <f>40192+14147+16249+5720</f>
        <v>76308</v>
      </c>
      <c r="I20" s="64"/>
      <c r="J20" s="64">
        <f>234721+82622+56388+19849</f>
        <v>393580</v>
      </c>
      <c r="K20" s="64"/>
      <c r="L20" s="64"/>
      <c r="M20" s="64"/>
      <c r="N20" s="64"/>
      <c r="O20" s="64"/>
      <c r="P20" s="65"/>
      <c r="Q20" s="106">
        <f t="shared" si="0"/>
        <v>469888</v>
      </c>
      <c r="R20" s="113">
        <v>469888</v>
      </c>
      <c r="S20" s="113"/>
      <c r="T20" s="587"/>
      <c r="U20" s="585"/>
      <c r="V20" s="585"/>
    </row>
    <row r="21" spans="1:22" s="6" customFormat="1" ht="12.75">
      <c r="A21" s="66" t="s">
        <v>148</v>
      </c>
      <c r="B21" s="638" t="s">
        <v>150</v>
      </c>
      <c r="C21" s="201">
        <v>433163</v>
      </c>
      <c r="D21" s="64">
        <v>108075</v>
      </c>
      <c r="E21" s="201">
        <v>460691</v>
      </c>
      <c r="F21" s="201">
        <v>513264</v>
      </c>
      <c r="G21" s="201">
        <v>18497</v>
      </c>
      <c r="H21" s="201">
        <v>196809</v>
      </c>
      <c r="I21" s="201">
        <v>44917</v>
      </c>
      <c r="J21" s="201"/>
      <c r="K21" s="201"/>
      <c r="L21" s="201">
        <v>14259</v>
      </c>
      <c r="M21" s="201"/>
      <c r="N21" s="201"/>
      <c r="O21" s="201"/>
      <c r="P21" s="308"/>
      <c r="Q21" s="300">
        <f t="shared" si="0"/>
        <v>1789675</v>
      </c>
      <c r="R21" s="113">
        <f>SUM(R17:R20)</f>
        <v>6002668</v>
      </c>
      <c r="S21" s="113"/>
      <c r="T21" s="584"/>
      <c r="U21" s="588"/>
      <c r="V21" s="588"/>
    </row>
    <row r="22" spans="1:22" s="6" customFormat="1" ht="12.75">
      <c r="A22" s="66" t="s">
        <v>149</v>
      </c>
      <c r="B22" s="638" t="s">
        <v>151</v>
      </c>
      <c r="C22" s="201">
        <v>27760</v>
      </c>
      <c r="D22" s="201">
        <v>129096</v>
      </c>
      <c r="E22" s="201">
        <v>63538</v>
      </c>
      <c r="F22" s="201">
        <v>9951</v>
      </c>
      <c r="G22" s="201">
        <v>28692</v>
      </c>
      <c r="H22" s="201">
        <v>83920</v>
      </c>
      <c r="I22" s="201">
        <v>21850</v>
      </c>
      <c r="J22" s="201"/>
      <c r="K22" s="201"/>
      <c r="L22" s="201">
        <v>15319</v>
      </c>
      <c r="M22" s="201"/>
      <c r="N22" s="201"/>
      <c r="O22" s="201"/>
      <c r="P22" s="308"/>
      <c r="Q22" s="300">
        <f t="shared" si="0"/>
        <v>380126</v>
      </c>
      <c r="R22" s="113"/>
      <c r="S22" s="113"/>
      <c r="T22" s="584"/>
      <c r="U22" s="588"/>
      <c r="V22" s="588"/>
    </row>
    <row r="23" spans="1:22" s="6" customFormat="1" ht="12.75">
      <c r="A23" s="66" t="s">
        <v>185</v>
      </c>
      <c r="B23" s="261" t="s">
        <v>173</v>
      </c>
      <c r="C23" s="201">
        <v>2000</v>
      </c>
      <c r="D23" s="201"/>
      <c r="E23" s="201"/>
      <c r="F23" s="201"/>
      <c r="G23" s="201"/>
      <c r="H23" s="201"/>
      <c r="I23" s="201">
        <v>11900</v>
      </c>
      <c r="J23" s="201"/>
      <c r="K23" s="201"/>
      <c r="L23" s="201"/>
      <c r="M23" s="201"/>
      <c r="N23" s="201"/>
      <c r="O23" s="201"/>
      <c r="P23" s="309"/>
      <c r="Q23" s="300">
        <f t="shared" si="0"/>
        <v>13900</v>
      </c>
      <c r="R23" s="113"/>
      <c r="S23" s="113"/>
      <c r="T23" s="584"/>
      <c r="U23" s="588"/>
      <c r="V23" s="588"/>
    </row>
    <row r="24" spans="1:22" s="6" customFormat="1" ht="12.75">
      <c r="A24" s="66" t="s">
        <v>186</v>
      </c>
      <c r="B24" s="261" t="s">
        <v>88</v>
      </c>
      <c r="C24" s="201">
        <v>2331.47</v>
      </c>
      <c r="D24" s="201">
        <v>965.91</v>
      </c>
      <c r="E24" s="201">
        <v>1026.55</v>
      </c>
      <c r="F24" s="201"/>
      <c r="G24" s="201">
        <v>616.78</v>
      </c>
      <c r="H24" s="201"/>
      <c r="I24" s="201">
        <v>1384.81</v>
      </c>
      <c r="J24" s="201"/>
      <c r="K24" s="201"/>
      <c r="L24" s="201"/>
      <c r="M24" s="201"/>
      <c r="N24" s="201">
        <v>929.58</v>
      </c>
      <c r="O24" s="201"/>
      <c r="P24" s="309"/>
      <c r="Q24" s="300">
        <f t="shared" si="0"/>
        <v>7255.0999999999985</v>
      </c>
      <c r="R24" s="113"/>
      <c r="S24" s="113"/>
      <c r="T24" s="584"/>
      <c r="U24" s="588"/>
      <c r="V24" s="588"/>
    </row>
    <row r="25" spans="1:22" s="5" customFormat="1" ht="12.75">
      <c r="A25" s="66" t="s">
        <v>186</v>
      </c>
      <c r="B25" s="261" t="s">
        <v>143</v>
      </c>
      <c r="C25" s="201"/>
      <c r="D25" s="201"/>
      <c r="E25" s="201"/>
      <c r="F25" s="201"/>
      <c r="G25" s="201"/>
      <c r="H25" s="201"/>
      <c r="I25" s="201"/>
      <c r="J25" s="201">
        <v>784.17</v>
      </c>
      <c r="K25" s="201"/>
      <c r="L25" s="201"/>
      <c r="M25" s="201"/>
      <c r="N25" s="201"/>
      <c r="O25" s="201"/>
      <c r="P25" s="309"/>
      <c r="Q25" s="300">
        <f t="shared" si="0"/>
        <v>784.17</v>
      </c>
      <c r="R25" s="113">
        <f>Q23+Q24+Q25</f>
        <v>21939.269999999997</v>
      </c>
      <c r="S25" s="113"/>
      <c r="T25" s="584"/>
      <c r="U25" s="585"/>
      <c r="V25" s="585"/>
    </row>
    <row r="26" spans="1:22" s="4" customFormat="1" ht="12.75">
      <c r="A26" s="66" t="s">
        <v>197</v>
      </c>
      <c r="B26" s="260" t="s">
        <v>187</v>
      </c>
      <c r="C26" s="64"/>
      <c r="D26" s="64"/>
      <c r="E26" s="64"/>
      <c r="F26" s="64"/>
      <c r="G26" s="64"/>
      <c r="H26" s="64"/>
      <c r="I26" s="64"/>
      <c r="J26" s="64"/>
      <c r="K26" s="64">
        <v>5000</v>
      </c>
      <c r="L26" s="64"/>
      <c r="M26" s="64"/>
      <c r="N26" s="64"/>
      <c r="O26" s="64"/>
      <c r="P26" s="65"/>
      <c r="Q26" s="300">
        <f t="shared" si="0"/>
        <v>5000</v>
      </c>
      <c r="R26" s="114"/>
      <c r="S26" s="114"/>
      <c r="T26" s="589"/>
      <c r="U26" s="590"/>
      <c r="V26" s="590"/>
    </row>
    <row r="27" spans="1:22" s="4" customFormat="1" ht="25.5">
      <c r="A27" s="66" t="s">
        <v>199</v>
      </c>
      <c r="B27" s="261" t="s">
        <v>140</v>
      </c>
      <c r="C27" s="64"/>
      <c r="D27" s="64"/>
      <c r="E27" s="64">
        <v>3</v>
      </c>
      <c r="F27" s="64"/>
      <c r="G27" s="64"/>
      <c r="H27" s="64">
        <v>-2130</v>
      </c>
      <c r="I27" s="64"/>
      <c r="J27" s="64"/>
      <c r="K27" s="64"/>
      <c r="L27" s="64"/>
      <c r="M27" s="64"/>
      <c r="N27" s="64"/>
      <c r="O27" s="64"/>
      <c r="P27" s="65"/>
      <c r="Q27" s="300">
        <f t="shared" si="0"/>
        <v>-2127</v>
      </c>
      <c r="R27" s="114"/>
      <c r="S27" s="114"/>
      <c r="T27" s="589"/>
      <c r="U27" s="590"/>
      <c r="V27" s="590"/>
    </row>
    <row r="28" spans="1:22" ht="25.5">
      <c r="A28" s="66" t="s">
        <v>198</v>
      </c>
      <c r="B28" s="261" t="s">
        <v>140</v>
      </c>
      <c r="C28" s="64"/>
      <c r="D28" s="64"/>
      <c r="E28" s="64"/>
      <c r="F28" s="64"/>
      <c r="G28" s="64"/>
      <c r="H28" s="64">
        <v>-40504</v>
      </c>
      <c r="I28" s="64"/>
      <c r="J28" s="64"/>
      <c r="K28" s="64"/>
      <c r="L28" s="64"/>
      <c r="M28" s="64"/>
      <c r="N28" s="64"/>
      <c r="O28" s="64"/>
      <c r="P28" s="65"/>
      <c r="Q28" s="300">
        <f t="shared" si="0"/>
        <v>-40504</v>
      </c>
      <c r="R28" s="107"/>
      <c r="S28" s="107"/>
      <c r="T28" s="139"/>
      <c r="U28" s="586"/>
      <c r="V28" s="586"/>
    </row>
    <row r="29" spans="1:22" ht="12.75">
      <c r="A29" s="66" t="s">
        <v>200</v>
      </c>
      <c r="B29" s="261" t="s">
        <v>88</v>
      </c>
      <c r="C29" s="64">
        <v>3342.7</v>
      </c>
      <c r="D29" s="64">
        <v>2845.77</v>
      </c>
      <c r="E29" s="64">
        <v>2306.59</v>
      </c>
      <c r="F29" s="64">
        <v>6489.97</v>
      </c>
      <c r="G29" s="64">
        <v>1891.93</v>
      </c>
      <c r="H29" s="64">
        <v>7632.38</v>
      </c>
      <c r="I29" s="64">
        <v>1154.87</v>
      </c>
      <c r="J29" s="64"/>
      <c r="K29" s="64"/>
      <c r="L29" s="64">
        <v>727.32</v>
      </c>
      <c r="M29" s="64"/>
      <c r="N29" s="64">
        <v>851.85</v>
      </c>
      <c r="O29" s="64"/>
      <c r="P29" s="65"/>
      <c r="Q29" s="300">
        <f t="shared" si="0"/>
        <v>27243.379999999997</v>
      </c>
      <c r="R29" s="107"/>
      <c r="S29" s="107"/>
      <c r="T29" s="139"/>
      <c r="U29" s="586"/>
      <c r="V29" s="586"/>
    </row>
    <row r="30" spans="1:22" ht="12.75">
      <c r="A30" s="66" t="s">
        <v>200</v>
      </c>
      <c r="B30" s="261" t="s">
        <v>87</v>
      </c>
      <c r="C30" s="64">
        <v>445.02</v>
      </c>
      <c r="D30" s="64">
        <v>0</v>
      </c>
      <c r="E30" s="64">
        <v>204.27</v>
      </c>
      <c r="F30" s="64">
        <v>1754.94</v>
      </c>
      <c r="G30" s="64">
        <v>0</v>
      </c>
      <c r="H30" s="64">
        <v>1405.09</v>
      </c>
      <c r="I30" s="64">
        <v>0</v>
      </c>
      <c r="J30" s="64"/>
      <c r="K30" s="64"/>
      <c r="L30" s="64"/>
      <c r="M30" s="64"/>
      <c r="N30" s="64">
        <v>128.04</v>
      </c>
      <c r="O30" s="64"/>
      <c r="P30" s="65"/>
      <c r="Q30" s="300">
        <f t="shared" si="0"/>
        <v>3937.3599999999997</v>
      </c>
      <c r="R30" s="107"/>
      <c r="S30" s="107">
        <f>Q29+Q33</f>
        <v>106266.38</v>
      </c>
      <c r="T30" s="139"/>
      <c r="U30" s="586"/>
      <c r="V30" s="586"/>
    </row>
    <row r="31" spans="1:22" ht="12.75">
      <c r="A31" s="66" t="s">
        <v>200</v>
      </c>
      <c r="B31" s="261" t="s">
        <v>143</v>
      </c>
      <c r="C31" s="64"/>
      <c r="D31" s="64"/>
      <c r="E31" s="64"/>
      <c r="F31" s="64"/>
      <c r="G31" s="64"/>
      <c r="H31" s="64">
        <v>1116.12</v>
      </c>
      <c r="I31" s="64"/>
      <c r="J31" s="64">
        <v>1220.74</v>
      </c>
      <c r="K31" s="64"/>
      <c r="L31" s="64"/>
      <c r="M31" s="64"/>
      <c r="N31" s="64"/>
      <c r="O31" s="64"/>
      <c r="P31" s="65"/>
      <c r="Q31" s="300">
        <f t="shared" si="0"/>
        <v>2336.8599999999997</v>
      </c>
      <c r="R31" s="107"/>
      <c r="S31" s="107">
        <f>Q30+Q32+Q34</f>
        <v>171696.36</v>
      </c>
      <c r="T31" s="139"/>
      <c r="U31" s="586"/>
      <c r="V31" s="586"/>
    </row>
    <row r="32" spans="1:22" ht="12.75">
      <c r="A32" s="66" t="s">
        <v>201</v>
      </c>
      <c r="B32" s="261" t="s">
        <v>87</v>
      </c>
      <c r="C32" s="64">
        <v>28920</v>
      </c>
      <c r="D32" s="64">
        <v>9207</v>
      </c>
      <c r="E32" s="64">
        <v>16756</v>
      </c>
      <c r="F32" s="64">
        <v>31074</v>
      </c>
      <c r="G32" s="64">
        <v>11485</v>
      </c>
      <c r="H32" s="64">
        <v>12383</v>
      </c>
      <c r="I32" s="64">
        <v>6794</v>
      </c>
      <c r="J32" s="64"/>
      <c r="K32" s="64"/>
      <c r="L32" s="64">
        <v>2994</v>
      </c>
      <c r="M32" s="64"/>
      <c r="N32" s="64"/>
      <c r="O32" s="64"/>
      <c r="P32" s="65"/>
      <c r="Q32" s="300">
        <f t="shared" si="0"/>
        <v>119613</v>
      </c>
      <c r="R32" s="107"/>
      <c r="S32" s="107">
        <f>Q31</f>
        <v>2336.8599999999997</v>
      </c>
      <c r="T32" s="139"/>
      <c r="U32" s="586"/>
      <c r="V32" s="586"/>
    </row>
    <row r="33" spans="1:22" ht="25.5">
      <c r="A33" s="66" t="s">
        <v>202</v>
      </c>
      <c r="B33" s="261" t="s">
        <v>88</v>
      </c>
      <c r="C33" s="64">
        <v>18310</v>
      </c>
      <c r="D33" s="64">
        <v>7536</v>
      </c>
      <c r="E33" s="64">
        <v>11837</v>
      </c>
      <c r="F33" s="64">
        <v>15982</v>
      </c>
      <c r="G33" s="64">
        <v>6034</v>
      </c>
      <c r="H33" s="64">
        <v>12202</v>
      </c>
      <c r="I33" s="64">
        <v>4695</v>
      </c>
      <c r="J33" s="64"/>
      <c r="K33" s="64"/>
      <c r="L33" s="64">
        <v>2427</v>
      </c>
      <c r="M33" s="64"/>
      <c r="N33" s="64"/>
      <c r="O33" s="64"/>
      <c r="P33" s="65"/>
      <c r="Q33" s="300">
        <f t="shared" si="0"/>
        <v>79023</v>
      </c>
      <c r="R33" s="107"/>
      <c r="S33" s="107">
        <f>SUM(S30:S32)</f>
        <v>280299.6</v>
      </c>
      <c r="T33" s="139"/>
      <c r="U33" s="586"/>
      <c r="V33" s="586"/>
    </row>
    <row r="34" spans="1:22" ht="25.5">
      <c r="A34" s="66" t="s">
        <v>202</v>
      </c>
      <c r="B34" s="260" t="s">
        <v>87</v>
      </c>
      <c r="C34" s="64">
        <v>4645</v>
      </c>
      <c r="D34" s="64">
        <v>3295</v>
      </c>
      <c r="E34" s="64">
        <v>11497</v>
      </c>
      <c r="F34" s="64">
        <v>15067</v>
      </c>
      <c r="G34" s="64">
        <v>3906</v>
      </c>
      <c r="H34" s="64">
        <v>7060</v>
      </c>
      <c r="I34" s="64">
        <v>1673</v>
      </c>
      <c r="J34" s="64"/>
      <c r="K34" s="64"/>
      <c r="L34" s="64">
        <v>399</v>
      </c>
      <c r="M34" s="64"/>
      <c r="N34" s="64">
        <v>604</v>
      </c>
      <c r="O34" s="64"/>
      <c r="P34" s="65"/>
      <c r="Q34" s="300">
        <f t="shared" si="0"/>
        <v>48146</v>
      </c>
      <c r="R34" s="107">
        <f>Q29+Q30+Q31+Q32+Q33+Q34</f>
        <v>280299.6</v>
      </c>
      <c r="S34" s="107"/>
      <c r="T34" s="139"/>
      <c r="U34" s="586"/>
      <c r="V34" s="586"/>
    </row>
    <row r="35" spans="1:22" ht="12.75">
      <c r="A35" s="66" t="s">
        <v>204</v>
      </c>
      <c r="B35" s="260" t="s">
        <v>143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>
        <f>15000</f>
        <v>15000</v>
      </c>
      <c r="P35" s="65">
        <f>15000-15000</f>
        <v>0</v>
      </c>
      <c r="Q35" s="300">
        <f t="shared" si="0"/>
        <v>15000</v>
      </c>
      <c r="R35" s="107"/>
      <c r="S35" s="107"/>
      <c r="T35" s="139"/>
      <c r="U35" s="586"/>
      <c r="V35" s="586"/>
    </row>
    <row r="36" spans="1:22" ht="12.75">
      <c r="A36" s="66" t="s">
        <v>215</v>
      </c>
      <c r="B36" s="260" t="s">
        <v>88</v>
      </c>
      <c r="C36" s="64"/>
      <c r="D36" s="64">
        <v>3861</v>
      </c>
      <c r="E36" s="64">
        <v>2407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300">
        <f t="shared" si="0"/>
        <v>6268</v>
      </c>
      <c r="R36" s="107"/>
      <c r="S36" s="107"/>
      <c r="T36" s="139"/>
      <c r="U36" s="586"/>
      <c r="V36" s="586"/>
    </row>
    <row r="37" spans="1:22" ht="12.75">
      <c r="A37" s="66" t="s">
        <v>216</v>
      </c>
      <c r="B37" s="260" t="s">
        <v>88</v>
      </c>
      <c r="C37" s="64"/>
      <c r="D37" s="64">
        <v>7550</v>
      </c>
      <c r="E37" s="64">
        <v>1764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300">
        <f t="shared" si="0"/>
        <v>9314</v>
      </c>
      <c r="R37" s="107"/>
      <c r="S37" s="107"/>
      <c r="T37" s="139"/>
      <c r="U37" s="586"/>
      <c r="V37" s="586"/>
    </row>
    <row r="38" spans="1:22" ht="25.5">
      <c r="A38" s="66" t="s">
        <v>217</v>
      </c>
      <c r="B38" s="260" t="s">
        <v>88</v>
      </c>
      <c r="C38" s="64"/>
      <c r="D38" s="64">
        <v>5333</v>
      </c>
      <c r="E38" s="64">
        <v>2047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  <c r="Q38" s="106">
        <f t="shared" si="0"/>
        <v>7380</v>
      </c>
      <c r="R38" s="107"/>
      <c r="S38" s="107" t="s">
        <v>97</v>
      </c>
      <c r="T38" s="139"/>
      <c r="U38" s="586"/>
      <c r="V38" s="586"/>
    </row>
    <row r="39" spans="1:22" ht="25.5">
      <c r="A39" s="66" t="s">
        <v>218</v>
      </c>
      <c r="B39" s="260" t="s">
        <v>88</v>
      </c>
      <c r="C39" s="64"/>
      <c r="D39" s="64"/>
      <c r="E39" s="64">
        <v>1104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106">
        <f aca="true" t="shared" si="1" ref="Q39:Q64">SUM(C39:P39)</f>
        <v>1104</v>
      </c>
      <c r="R39" s="107"/>
      <c r="S39" s="107"/>
      <c r="T39" s="139"/>
      <c r="U39" s="586"/>
      <c r="V39" s="586"/>
    </row>
    <row r="40" spans="1:22" ht="12.75">
      <c r="A40" s="66" t="s">
        <v>219</v>
      </c>
      <c r="B40" s="260" t="s">
        <v>88</v>
      </c>
      <c r="C40" s="64"/>
      <c r="D40" s="64"/>
      <c r="E40" s="64">
        <v>655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106"/>
      <c r="Q40" s="106">
        <f t="shared" si="1"/>
        <v>655</v>
      </c>
      <c r="R40" s="107"/>
      <c r="S40" s="107"/>
      <c r="T40" s="139"/>
      <c r="U40" s="586"/>
      <c r="V40" s="586"/>
    </row>
    <row r="41" spans="1:22" ht="25.5">
      <c r="A41" s="66" t="s">
        <v>220</v>
      </c>
      <c r="B41" s="260" t="s">
        <v>88</v>
      </c>
      <c r="C41" s="64"/>
      <c r="D41" s="64">
        <v>592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106"/>
      <c r="Q41" s="106">
        <f t="shared" si="1"/>
        <v>592</v>
      </c>
      <c r="R41" s="107"/>
      <c r="S41" s="107"/>
      <c r="T41" s="139"/>
      <c r="U41" s="586"/>
      <c r="V41" s="586"/>
    </row>
    <row r="42" spans="1:22" ht="12.75">
      <c r="A42" s="60" t="s">
        <v>221</v>
      </c>
      <c r="B42" s="260" t="s">
        <v>88</v>
      </c>
      <c r="C42" s="13">
        <v>8814.31</v>
      </c>
      <c r="D42" s="13">
        <v>5720.64</v>
      </c>
      <c r="E42" s="13">
        <v>5935.22</v>
      </c>
      <c r="F42" s="13">
        <v>9626.51</v>
      </c>
      <c r="G42" s="64">
        <v>3768.72</v>
      </c>
      <c r="H42" s="13">
        <v>6973.85</v>
      </c>
      <c r="I42" s="13">
        <v>1659.67</v>
      </c>
      <c r="J42" s="64"/>
      <c r="K42" s="64"/>
      <c r="L42" s="64"/>
      <c r="M42" s="64"/>
      <c r="N42" s="64">
        <v>6103.96</v>
      </c>
      <c r="O42" s="64">
        <v>166.08</v>
      </c>
      <c r="P42" s="65">
        <f>166.1-0.02-166.08</f>
        <v>0</v>
      </c>
      <c r="Q42" s="106">
        <f t="shared" si="1"/>
        <v>48768.96</v>
      </c>
      <c r="R42" s="107">
        <f>48602.88-Q42</f>
        <v>-166.08000000000175</v>
      </c>
      <c r="S42" s="107"/>
      <c r="T42" s="139"/>
      <c r="U42" s="586"/>
      <c r="V42" s="586"/>
    </row>
    <row r="43" spans="1:22" ht="14.25" customHeight="1">
      <c r="A43" s="60" t="s">
        <v>231</v>
      </c>
      <c r="B43" s="260" t="s">
        <v>88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>
        <v>50617</v>
      </c>
      <c r="P43" s="65">
        <f>50617-50617</f>
        <v>0</v>
      </c>
      <c r="Q43" s="106">
        <f t="shared" si="1"/>
        <v>50617</v>
      </c>
      <c r="R43" s="107">
        <f>O43+O42</f>
        <v>50783.08</v>
      </c>
      <c r="S43" s="107"/>
      <c r="T43" s="139"/>
      <c r="U43" s="586"/>
      <c r="V43" s="586"/>
    </row>
    <row r="44" spans="1:22" ht="12.75">
      <c r="A44" s="60" t="s">
        <v>221</v>
      </c>
      <c r="B44" s="260" t="s">
        <v>87</v>
      </c>
      <c r="C44" s="64">
        <v>1743.45</v>
      </c>
      <c r="D44" s="64">
        <v>235.04</v>
      </c>
      <c r="E44" s="64">
        <v>562.12</v>
      </c>
      <c r="F44" s="64">
        <v>4089.99</v>
      </c>
      <c r="G44" s="64"/>
      <c r="H44" s="64">
        <v>1526.48</v>
      </c>
      <c r="I44" s="64"/>
      <c r="J44" s="64"/>
      <c r="K44" s="64"/>
      <c r="L44" s="64"/>
      <c r="M44" s="64"/>
      <c r="N44" s="64">
        <v>730.21</v>
      </c>
      <c r="O44" s="64"/>
      <c r="P44" s="65"/>
      <c r="Q44" s="106">
        <f t="shared" si="1"/>
        <v>8887.29</v>
      </c>
      <c r="R44" s="107"/>
      <c r="S44" s="107"/>
      <c r="T44" s="139"/>
      <c r="U44" s="586"/>
      <c r="V44" s="586"/>
    </row>
    <row r="45" spans="1:22" ht="12.75">
      <c r="A45" s="773" t="s">
        <v>222</v>
      </c>
      <c r="B45" s="774" t="s">
        <v>173</v>
      </c>
      <c r="C45" s="64">
        <v>980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106">
        <f t="shared" si="1"/>
        <v>980</v>
      </c>
      <c r="R45" s="107"/>
      <c r="S45" s="107"/>
      <c r="T45" s="139"/>
      <c r="U45" s="586"/>
      <c r="V45" s="586"/>
    </row>
    <row r="46" spans="1:22" ht="12.75">
      <c r="A46" s="60" t="s">
        <v>221</v>
      </c>
      <c r="B46" s="260" t="s">
        <v>143</v>
      </c>
      <c r="C46" s="64"/>
      <c r="D46" s="64"/>
      <c r="E46" s="64"/>
      <c r="F46" s="64"/>
      <c r="G46" s="64"/>
      <c r="H46" s="64">
        <v>508.1</v>
      </c>
      <c r="I46" s="64"/>
      <c r="J46" s="64">
        <v>1824.2</v>
      </c>
      <c r="K46" s="64"/>
      <c r="L46" s="64"/>
      <c r="M46" s="64"/>
      <c r="N46" s="64"/>
      <c r="O46" s="64"/>
      <c r="P46" s="65"/>
      <c r="Q46" s="106">
        <f t="shared" si="1"/>
        <v>2332.3</v>
      </c>
      <c r="R46" s="107"/>
      <c r="S46" s="107"/>
      <c r="T46" s="139"/>
      <c r="U46" s="586"/>
      <c r="V46" s="586"/>
    </row>
    <row r="47" spans="1:22" s="2" customFormat="1" ht="12.75">
      <c r="A47" s="60" t="s">
        <v>233</v>
      </c>
      <c r="B47" s="260" t="s">
        <v>88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>
        <v>332661</v>
      </c>
      <c r="Q47" s="106">
        <f t="shared" si="1"/>
        <v>332661</v>
      </c>
      <c r="R47" s="107"/>
      <c r="S47" s="107"/>
      <c r="T47" s="139"/>
      <c r="U47" s="591"/>
      <c r="V47" s="591"/>
    </row>
    <row r="48" spans="1:22" s="2" customFormat="1" ht="12.75">
      <c r="A48" s="60" t="s">
        <v>232</v>
      </c>
      <c r="B48" s="260" t="s">
        <v>234</v>
      </c>
      <c r="C48" s="64"/>
      <c r="D48" s="64"/>
      <c r="E48" s="63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64">
        <v>20000</v>
      </c>
      <c r="Q48" s="106">
        <f t="shared" si="1"/>
        <v>20000</v>
      </c>
      <c r="R48" s="107"/>
      <c r="S48" s="107"/>
      <c r="T48" s="139"/>
      <c r="U48" s="591"/>
      <c r="V48" s="591"/>
    </row>
    <row r="49" spans="1:22" ht="12.75">
      <c r="A49" s="164"/>
      <c r="B49" s="130"/>
      <c r="C49" s="64"/>
      <c r="D49" s="64"/>
      <c r="E49" s="64"/>
      <c r="F49" s="227"/>
      <c r="G49" s="64"/>
      <c r="H49" s="64"/>
      <c r="I49" s="64"/>
      <c r="J49" s="64"/>
      <c r="K49" s="64"/>
      <c r="L49" s="13"/>
      <c r="M49" s="13"/>
      <c r="N49" s="13"/>
      <c r="O49" s="13"/>
      <c r="P49" s="13"/>
      <c r="Q49" s="106">
        <f t="shared" si="1"/>
        <v>0</v>
      </c>
      <c r="R49" s="107"/>
      <c r="S49" s="107"/>
      <c r="T49" s="139"/>
      <c r="U49" s="586"/>
      <c r="V49" s="586"/>
    </row>
    <row r="50" spans="1:22" ht="12.75">
      <c r="A50" s="101"/>
      <c r="B50" s="130"/>
      <c r="C50" s="64"/>
      <c r="D50" s="64"/>
      <c r="E50" s="64"/>
      <c r="F50" s="227"/>
      <c r="G50" s="64"/>
      <c r="H50" s="64"/>
      <c r="I50" s="64"/>
      <c r="J50" s="64"/>
      <c r="K50" s="64"/>
      <c r="L50" s="13"/>
      <c r="M50" s="13"/>
      <c r="N50" s="13"/>
      <c r="O50" s="13"/>
      <c r="P50" s="13"/>
      <c r="Q50" s="106">
        <f t="shared" si="1"/>
        <v>0</v>
      </c>
      <c r="R50" s="107"/>
      <c r="S50" s="107"/>
      <c r="T50" s="139"/>
      <c r="U50" s="586"/>
      <c r="V50" s="586"/>
    </row>
    <row r="51" spans="1:22" ht="12.75">
      <c r="A51" s="101"/>
      <c r="B51" s="130"/>
      <c r="C51" s="63"/>
      <c r="D51" s="63"/>
      <c r="E51" s="64"/>
      <c r="F51" s="64"/>
      <c r="G51" s="64"/>
      <c r="H51" s="63"/>
      <c r="I51" s="64"/>
      <c r="J51" s="13"/>
      <c r="K51" s="13"/>
      <c r="L51" s="13"/>
      <c r="M51" s="13"/>
      <c r="N51" s="13"/>
      <c r="O51" s="13"/>
      <c r="P51" s="13"/>
      <c r="Q51" s="106">
        <f t="shared" si="1"/>
        <v>0</v>
      </c>
      <c r="R51" s="107"/>
      <c r="S51" s="107"/>
      <c r="T51" s="139"/>
      <c r="U51" s="586"/>
      <c r="V51" s="586"/>
    </row>
    <row r="52" spans="1:22" ht="12.75">
      <c r="A52" s="101"/>
      <c r="B52" s="13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106">
        <f t="shared" si="1"/>
        <v>0</v>
      </c>
      <c r="R52" s="107"/>
      <c r="S52" s="107"/>
      <c r="T52" s="139"/>
      <c r="U52" s="586"/>
      <c r="V52" s="586"/>
    </row>
    <row r="53" spans="1:22" ht="12.75">
      <c r="A53" s="66"/>
      <c r="B53" s="130"/>
      <c r="C53" s="64"/>
      <c r="D53" s="64"/>
      <c r="E53" s="63"/>
      <c r="F53" s="63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106">
        <f t="shared" si="1"/>
        <v>0</v>
      </c>
      <c r="R53" s="107"/>
      <c r="S53" s="107"/>
      <c r="T53" s="139"/>
      <c r="U53" s="586"/>
      <c r="V53" s="586"/>
    </row>
    <row r="54" spans="1:22" ht="12.75">
      <c r="A54" s="9"/>
      <c r="B54" s="130"/>
      <c r="C54" s="64"/>
      <c r="D54" s="64"/>
      <c r="E54" s="64"/>
      <c r="F54" s="227"/>
      <c r="G54" s="64"/>
      <c r="H54" s="64"/>
      <c r="I54" s="64"/>
      <c r="J54" s="64"/>
      <c r="K54" s="64"/>
      <c r="L54" s="13"/>
      <c r="M54" s="13"/>
      <c r="N54" s="13"/>
      <c r="O54" s="13"/>
      <c r="P54" s="13"/>
      <c r="Q54" s="106">
        <f t="shared" si="1"/>
        <v>0</v>
      </c>
      <c r="R54" s="107"/>
      <c r="S54" s="107"/>
      <c r="T54" s="139"/>
      <c r="U54" s="586"/>
      <c r="V54" s="586"/>
    </row>
    <row r="55" spans="1:22" ht="12.75">
      <c r="A55" s="66"/>
      <c r="B55" s="130"/>
      <c r="C55" s="64"/>
      <c r="D55" s="64"/>
      <c r="E55" s="64"/>
      <c r="F55" s="227"/>
      <c r="G55" s="64"/>
      <c r="H55" s="64"/>
      <c r="I55" s="64"/>
      <c r="J55" s="64"/>
      <c r="K55" s="64"/>
      <c r="L55" s="13"/>
      <c r="M55" s="13"/>
      <c r="N55" s="13"/>
      <c r="O55" s="13"/>
      <c r="P55" s="13"/>
      <c r="Q55" s="106">
        <f t="shared" si="1"/>
        <v>0</v>
      </c>
      <c r="R55" s="107"/>
      <c r="S55" s="107"/>
      <c r="T55" s="139"/>
      <c r="U55" s="586"/>
      <c r="V55" s="586"/>
    </row>
    <row r="56" spans="1:22" ht="12.75">
      <c r="A56" s="66"/>
      <c r="B56" s="130"/>
      <c r="C56" s="64"/>
      <c r="D56" s="64"/>
      <c r="E56" s="64"/>
      <c r="F56" s="227"/>
      <c r="G56" s="64"/>
      <c r="H56" s="64"/>
      <c r="I56" s="64"/>
      <c r="J56" s="64"/>
      <c r="K56" s="64"/>
      <c r="L56" s="13"/>
      <c r="M56" s="13"/>
      <c r="N56" s="13"/>
      <c r="O56" s="13"/>
      <c r="P56" s="13"/>
      <c r="Q56" s="106">
        <f t="shared" si="1"/>
        <v>0</v>
      </c>
      <c r="R56" s="107"/>
      <c r="S56" s="107"/>
      <c r="T56" s="139"/>
      <c r="U56" s="586"/>
      <c r="V56" s="586"/>
    </row>
    <row r="57" spans="1:22" ht="12.75">
      <c r="A57" s="66"/>
      <c r="B57" s="130"/>
      <c r="C57" s="64"/>
      <c r="D57" s="64"/>
      <c r="E57" s="64"/>
      <c r="F57" s="227"/>
      <c r="G57" s="64"/>
      <c r="H57" s="64"/>
      <c r="I57" s="64"/>
      <c r="J57" s="64"/>
      <c r="K57" s="64"/>
      <c r="L57" s="13"/>
      <c r="M57" s="13"/>
      <c r="N57" s="13"/>
      <c r="O57" s="13"/>
      <c r="P57" s="13"/>
      <c r="Q57" s="106">
        <f t="shared" si="1"/>
        <v>0</v>
      </c>
      <c r="R57" s="107"/>
      <c r="S57" s="107"/>
      <c r="T57" s="139"/>
      <c r="U57" s="586"/>
      <c r="V57" s="586"/>
    </row>
    <row r="58" spans="1:22" ht="12.75">
      <c r="A58" s="66"/>
      <c r="B58" s="130"/>
      <c r="C58" s="64"/>
      <c r="D58" s="64"/>
      <c r="E58" s="64"/>
      <c r="F58" s="64"/>
      <c r="G58" s="64"/>
      <c r="H58" s="64"/>
      <c r="I58" s="64"/>
      <c r="J58" s="64"/>
      <c r="K58" s="64"/>
      <c r="L58" s="13"/>
      <c r="M58" s="13"/>
      <c r="N58" s="13"/>
      <c r="O58" s="13"/>
      <c r="P58" s="13"/>
      <c r="Q58" s="106">
        <f t="shared" si="1"/>
        <v>0</v>
      </c>
      <c r="R58" s="107"/>
      <c r="S58" s="107"/>
      <c r="T58" s="139"/>
      <c r="U58" s="586"/>
      <c r="V58" s="586"/>
    </row>
    <row r="59" spans="1:22" ht="12.75">
      <c r="A59" s="66"/>
      <c r="B59" s="130"/>
      <c r="C59" s="64"/>
      <c r="D59" s="64"/>
      <c r="E59" s="64"/>
      <c r="F59" s="64"/>
      <c r="G59" s="64"/>
      <c r="H59" s="64"/>
      <c r="I59" s="64"/>
      <c r="J59" s="64"/>
      <c r="K59" s="64"/>
      <c r="L59" s="13"/>
      <c r="M59" s="13"/>
      <c r="N59" s="13"/>
      <c r="O59" s="13"/>
      <c r="P59" s="13"/>
      <c r="Q59" s="106">
        <f t="shared" si="1"/>
        <v>0</v>
      </c>
      <c r="R59" s="107"/>
      <c r="S59" s="107"/>
      <c r="T59" s="139"/>
      <c r="U59" s="586"/>
      <c r="V59" s="586"/>
    </row>
    <row r="60" spans="1:22" ht="12.75">
      <c r="A60" s="66"/>
      <c r="B60" s="130"/>
      <c r="C60" s="64"/>
      <c r="D60" s="64"/>
      <c r="E60" s="64"/>
      <c r="F60" s="227"/>
      <c r="G60" s="64"/>
      <c r="H60" s="64"/>
      <c r="I60" s="64"/>
      <c r="J60" s="64"/>
      <c r="K60" s="64"/>
      <c r="L60" s="13"/>
      <c r="M60" s="13"/>
      <c r="N60" s="13"/>
      <c r="O60" s="13"/>
      <c r="P60" s="13"/>
      <c r="Q60" s="106">
        <f t="shared" si="1"/>
        <v>0</v>
      </c>
      <c r="R60" s="107"/>
      <c r="S60" s="107"/>
      <c r="T60" s="139"/>
      <c r="U60" s="586"/>
      <c r="V60" s="586"/>
    </row>
    <row r="61" spans="1:22" ht="12.75">
      <c r="A61" s="66"/>
      <c r="B61" s="130"/>
      <c r="C61" s="64"/>
      <c r="D61" s="64"/>
      <c r="E61" s="64"/>
      <c r="F61" s="227"/>
      <c r="G61" s="64"/>
      <c r="H61" s="64"/>
      <c r="I61" s="64"/>
      <c r="J61" s="64"/>
      <c r="K61" s="64"/>
      <c r="L61" s="13"/>
      <c r="M61" s="13"/>
      <c r="N61" s="13"/>
      <c r="O61" s="13"/>
      <c r="P61" s="13"/>
      <c r="Q61" s="106">
        <f t="shared" si="1"/>
        <v>0</v>
      </c>
      <c r="R61" s="107"/>
      <c r="S61" s="107"/>
      <c r="T61" s="139"/>
      <c r="U61" s="586"/>
      <c r="V61" s="586"/>
    </row>
    <row r="62" spans="1:22" ht="12.75">
      <c r="A62" s="66"/>
      <c r="B62" s="130"/>
      <c r="C62" s="64"/>
      <c r="D62" s="64"/>
      <c r="E62" s="64"/>
      <c r="F62" s="227"/>
      <c r="G62" s="64"/>
      <c r="H62" s="64"/>
      <c r="I62" s="64"/>
      <c r="J62" s="64"/>
      <c r="K62" s="64"/>
      <c r="L62" s="13"/>
      <c r="M62" s="13"/>
      <c r="N62" s="13"/>
      <c r="O62" s="13"/>
      <c r="P62" s="13"/>
      <c r="Q62" s="106">
        <f t="shared" si="1"/>
        <v>0</v>
      </c>
      <c r="R62" s="107"/>
      <c r="S62" s="107"/>
      <c r="T62" s="139"/>
      <c r="U62" s="586"/>
      <c r="V62" s="586"/>
    </row>
    <row r="63" spans="1:22" ht="12.75">
      <c r="A63" s="66"/>
      <c r="B63" s="130"/>
      <c r="C63" s="64"/>
      <c r="D63" s="64"/>
      <c r="E63" s="64"/>
      <c r="F63" s="227"/>
      <c r="G63" s="64"/>
      <c r="H63" s="64"/>
      <c r="I63" s="64"/>
      <c r="J63" s="64"/>
      <c r="K63" s="64"/>
      <c r="L63" s="13"/>
      <c r="M63" s="13"/>
      <c r="N63" s="13"/>
      <c r="O63" s="13"/>
      <c r="P63" s="13"/>
      <c r="Q63" s="106">
        <f t="shared" si="1"/>
        <v>0</v>
      </c>
      <c r="R63" s="107"/>
      <c r="S63" s="107"/>
      <c r="T63" s="139"/>
      <c r="U63" s="586"/>
      <c r="V63" s="586"/>
    </row>
    <row r="64" spans="1:22" ht="13.5" thickBot="1">
      <c r="A64" s="166"/>
      <c r="B64" s="130"/>
      <c r="C64" s="63"/>
      <c r="D64" s="63"/>
      <c r="E64" s="64"/>
      <c r="F64" s="64"/>
      <c r="G64" s="64"/>
      <c r="H64" s="63"/>
      <c r="I64" s="64"/>
      <c r="J64" s="13"/>
      <c r="K64" s="13"/>
      <c r="L64" s="13"/>
      <c r="M64" s="13"/>
      <c r="N64" s="13"/>
      <c r="O64" s="13"/>
      <c r="P64" s="13"/>
      <c r="Q64" s="106">
        <f t="shared" si="1"/>
        <v>0</v>
      </c>
      <c r="R64" s="107"/>
      <c r="S64" s="107"/>
      <c r="T64" s="139"/>
      <c r="U64" s="586"/>
      <c r="V64" s="586"/>
    </row>
    <row r="65" spans="1:22" ht="15" customHeight="1" thickBot="1">
      <c r="A65" s="212" t="s">
        <v>26</v>
      </c>
      <c r="B65" s="639"/>
      <c r="C65" s="64"/>
      <c r="D65" s="64"/>
      <c r="E65" s="64"/>
      <c r="F65" s="64"/>
      <c r="G65" s="64"/>
      <c r="H65" s="64"/>
      <c r="I65" s="64"/>
      <c r="J65" s="115"/>
      <c r="K65" s="115"/>
      <c r="L65" s="64"/>
      <c r="M65" s="64"/>
      <c r="N65" s="115"/>
      <c r="O65" s="115"/>
      <c r="P65" s="115"/>
      <c r="Q65" s="106"/>
      <c r="R65" s="107"/>
      <c r="S65" s="107"/>
      <c r="T65" s="139"/>
      <c r="U65" s="586"/>
      <c r="V65" s="586"/>
    </row>
    <row r="66" spans="1:22" ht="15" customHeight="1">
      <c r="A66" s="213" t="s">
        <v>124</v>
      </c>
      <c r="B66" s="640" t="s">
        <v>173</v>
      </c>
      <c r="C66" s="64"/>
      <c r="D66" s="64">
        <f>4688</f>
        <v>4688</v>
      </c>
      <c r="E66" s="64"/>
      <c r="F66" s="64"/>
      <c r="G66" s="64"/>
      <c r="H66" s="64">
        <f>-4688</f>
        <v>-4688</v>
      </c>
      <c r="I66" s="64"/>
      <c r="J66" s="115"/>
      <c r="K66" s="115"/>
      <c r="L66" s="64"/>
      <c r="M66" s="64"/>
      <c r="N66" s="115"/>
      <c r="O66" s="115"/>
      <c r="P66" s="115"/>
      <c r="Q66" s="106">
        <f>SUM(C66:P66)</f>
        <v>0</v>
      </c>
      <c r="R66" s="107"/>
      <c r="S66" s="107"/>
      <c r="T66" s="139"/>
      <c r="U66" s="586"/>
      <c r="V66" s="586"/>
    </row>
    <row r="67" spans="1:22" ht="15" customHeight="1">
      <c r="A67" s="213" t="s">
        <v>128</v>
      </c>
      <c r="B67" s="640" t="s">
        <v>151</v>
      </c>
      <c r="C67" s="64"/>
      <c r="D67" s="64"/>
      <c r="E67" s="64">
        <v>1886</v>
      </c>
      <c r="F67" s="64"/>
      <c r="G67" s="64">
        <v>-1886</v>
      </c>
      <c r="H67" s="64"/>
      <c r="I67" s="64"/>
      <c r="J67" s="115"/>
      <c r="K67" s="115"/>
      <c r="L67" s="64"/>
      <c r="M67" s="64"/>
      <c r="N67" s="115"/>
      <c r="O67" s="115"/>
      <c r="P67" s="115"/>
      <c r="Q67" s="106">
        <f>SUM(C67:P67)</f>
        <v>0</v>
      </c>
      <c r="R67" s="107"/>
      <c r="S67" s="107"/>
      <c r="T67" s="139"/>
      <c r="U67" s="586"/>
      <c r="V67" s="586"/>
    </row>
    <row r="68" spans="1:22" ht="15" customHeight="1">
      <c r="A68" s="213" t="s">
        <v>147</v>
      </c>
      <c r="B68" s="640" t="s">
        <v>70</v>
      </c>
      <c r="C68" s="64"/>
      <c r="D68" s="64">
        <f>22645</f>
        <v>22645</v>
      </c>
      <c r="E68" s="64">
        <f>19500-22645</f>
        <v>-3145</v>
      </c>
      <c r="F68" s="64"/>
      <c r="G68" s="64"/>
      <c r="H68" s="64"/>
      <c r="I68" s="64"/>
      <c r="J68" s="115"/>
      <c r="K68" s="115"/>
      <c r="L68" s="64"/>
      <c r="M68" s="64"/>
      <c r="N68" s="458">
        <v>-19500</v>
      </c>
      <c r="O68" s="115"/>
      <c r="P68" s="115"/>
      <c r="Q68" s="106">
        <f>SUM(C68:P68)</f>
        <v>0</v>
      </c>
      <c r="R68" s="107"/>
      <c r="S68" s="107"/>
      <c r="T68" s="139"/>
      <c r="U68" s="586"/>
      <c r="V68" s="586"/>
    </row>
    <row r="69" spans="1:22" ht="12.75">
      <c r="A69" s="213" t="s">
        <v>147</v>
      </c>
      <c r="B69" s="640" t="s">
        <v>70</v>
      </c>
      <c r="C69" s="64"/>
      <c r="D69" s="64">
        <v>-12375</v>
      </c>
      <c r="E69" s="64"/>
      <c r="F69" s="64">
        <v>12375</v>
      </c>
      <c r="G69" s="64"/>
      <c r="H69" s="64"/>
      <c r="I69" s="64"/>
      <c r="J69" s="115"/>
      <c r="K69" s="115"/>
      <c r="L69" s="64"/>
      <c r="M69" s="64"/>
      <c r="N69" s="115"/>
      <c r="O69" s="115"/>
      <c r="P69" s="115"/>
      <c r="Q69" s="106">
        <f>SUM(C69:P69)</f>
        <v>0</v>
      </c>
      <c r="R69" s="107"/>
      <c r="S69" s="107"/>
      <c r="T69" s="139"/>
      <c r="U69" s="586"/>
      <c r="V69" s="586"/>
    </row>
    <row r="70" spans="1:22" ht="13.5" thickBot="1">
      <c r="A70" s="127"/>
      <c r="B70" s="130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06">
        <f>SUM(C70:P70)</f>
        <v>0</v>
      </c>
      <c r="R70" s="107"/>
      <c r="S70" s="107"/>
      <c r="T70" s="139"/>
      <c r="U70" s="586"/>
      <c r="V70" s="586"/>
    </row>
    <row r="71" spans="1:22" ht="15" customHeight="1" thickBot="1">
      <c r="A71" s="212" t="s">
        <v>27</v>
      </c>
      <c r="B71" s="219"/>
      <c r="C71" s="203"/>
      <c r="D71" s="203"/>
      <c r="E71" s="203"/>
      <c r="F71" s="203"/>
      <c r="G71" s="203"/>
      <c r="H71" s="203"/>
      <c r="I71" s="203"/>
      <c r="J71" s="198"/>
      <c r="K71" s="198"/>
      <c r="L71" s="203"/>
      <c r="M71" s="203"/>
      <c r="N71" s="198"/>
      <c r="O71" s="198"/>
      <c r="P71" s="198"/>
      <c r="Q71" s="116"/>
      <c r="R71" s="107"/>
      <c r="S71" s="107"/>
      <c r="T71" s="139"/>
      <c r="U71" s="586"/>
      <c r="V71" s="586"/>
    </row>
    <row r="72" spans="1:22" ht="0.75" customHeight="1">
      <c r="A72" s="60" t="s">
        <v>28</v>
      </c>
      <c r="B72" s="219"/>
      <c r="C72" s="203"/>
      <c r="D72" s="203"/>
      <c r="E72" s="203"/>
      <c r="F72" s="203"/>
      <c r="G72" s="203"/>
      <c r="H72" s="203"/>
      <c r="I72" s="203"/>
      <c r="J72" s="198"/>
      <c r="K72" s="198"/>
      <c r="L72" s="203"/>
      <c r="M72" s="203"/>
      <c r="N72" s="198"/>
      <c r="O72" s="198"/>
      <c r="P72" s="198"/>
      <c r="Q72" s="116"/>
      <c r="R72" s="107"/>
      <c r="S72" s="107"/>
      <c r="T72" s="139"/>
      <c r="U72" s="586"/>
      <c r="V72" s="586"/>
    </row>
    <row r="73" spans="1:22" s="153" customFormat="1" ht="12.75">
      <c r="A73" s="617" t="s">
        <v>127</v>
      </c>
      <c r="B73" s="260" t="s">
        <v>111</v>
      </c>
      <c r="C73" s="202"/>
      <c r="D73" s="202">
        <f>4141+992+1850</f>
        <v>6983</v>
      </c>
      <c r="E73" s="202">
        <v>4962</v>
      </c>
      <c r="F73" s="202"/>
      <c r="G73" s="202"/>
      <c r="H73" s="202">
        <v>10720</v>
      </c>
      <c r="I73" s="202"/>
      <c r="J73" s="199"/>
      <c r="K73" s="199"/>
      <c r="L73" s="202"/>
      <c r="M73" s="202"/>
      <c r="N73" s="202">
        <f>11936+1790</f>
        <v>13726</v>
      </c>
      <c r="O73" s="202">
        <v>-36391</v>
      </c>
      <c r="P73" s="447"/>
      <c r="Q73" s="151">
        <f aca="true" t="shared" si="2" ref="Q73:Q123">SUM(C73:P73)</f>
        <v>0</v>
      </c>
      <c r="R73" s="152"/>
      <c r="S73" s="152"/>
      <c r="T73" s="592"/>
      <c r="U73" s="593"/>
      <c r="V73" s="593"/>
    </row>
    <row r="74" spans="1:22" s="8" customFormat="1" ht="15.75" customHeight="1">
      <c r="A74" s="618" t="s">
        <v>122</v>
      </c>
      <c r="B74" s="388" t="s">
        <v>87</v>
      </c>
      <c r="C74" s="202">
        <v>26990</v>
      </c>
      <c r="D74" s="202">
        <v>9000</v>
      </c>
      <c r="E74" s="202">
        <f>18999+7000</f>
        <v>25999</v>
      </c>
      <c r="F74" s="202">
        <f>28990+28500</f>
        <v>57490</v>
      </c>
      <c r="G74" s="202">
        <v>6655</v>
      </c>
      <c r="H74" s="202">
        <f>13000+5000</f>
        <v>18000</v>
      </c>
      <c r="I74" s="202">
        <f>14000+5000</f>
        <v>19000</v>
      </c>
      <c r="J74" s="199"/>
      <c r="K74" s="199"/>
      <c r="L74" s="202">
        <v>2000</v>
      </c>
      <c r="M74" s="202"/>
      <c r="N74" s="202"/>
      <c r="O74" s="202">
        <f>-119634-45500</f>
        <v>-165134</v>
      </c>
      <c r="P74" s="447"/>
      <c r="Q74" s="116">
        <f t="shared" si="2"/>
        <v>0</v>
      </c>
      <c r="R74" s="107"/>
      <c r="S74" s="117"/>
      <c r="T74" s="594"/>
      <c r="U74" s="595"/>
      <c r="V74" s="595"/>
    </row>
    <row r="75" spans="1:22" ht="12.75">
      <c r="A75" s="619" t="s">
        <v>71</v>
      </c>
      <c r="B75" s="260"/>
      <c r="C75" s="64"/>
      <c r="D75" s="64"/>
      <c r="E75" s="64"/>
      <c r="F75" s="64"/>
      <c r="G75" s="64"/>
      <c r="H75" s="64"/>
      <c r="I75" s="64"/>
      <c r="J75" s="115"/>
      <c r="K75" s="115"/>
      <c r="L75" s="64"/>
      <c r="M75" s="64"/>
      <c r="N75" s="64"/>
      <c r="O75" s="64"/>
      <c r="P75" s="115"/>
      <c r="Q75" s="116">
        <f t="shared" si="2"/>
        <v>0</v>
      </c>
      <c r="R75" s="107"/>
      <c r="S75" s="107"/>
      <c r="T75" s="139"/>
      <c r="U75" s="596"/>
      <c r="V75" s="586"/>
    </row>
    <row r="76" spans="1:22" ht="15" customHeight="1">
      <c r="A76" s="598" t="s">
        <v>120</v>
      </c>
      <c r="B76" s="388" t="s">
        <v>123</v>
      </c>
      <c r="C76" s="64"/>
      <c r="D76" s="64">
        <v>29000</v>
      </c>
      <c r="E76" s="64"/>
      <c r="F76" s="64"/>
      <c r="G76" s="64"/>
      <c r="H76" s="64"/>
      <c r="I76" s="64"/>
      <c r="J76" s="115"/>
      <c r="K76" s="115"/>
      <c r="L76" s="64"/>
      <c r="M76" s="64"/>
      <c r="N76" s="64"/>
      <c r="O76" s="64">
        <v>-29000</v>
      </c>
      <c r="P76" s="115"/>
      <c r="Q76" s="115">
        <f t="shared" si="2"/>
        <v>0</v>
      </c>
      <c r="R76" s="107"/>
      <c r="S76" s="107"/>
      <c r="T76" s="139"/>
      <c r="U76" s="586"/>
      <c r="V76" s="586"/>
    </row>
    <row r="77" spans="1:20" ht="12.75">
      <c r="A77" s="9" t="s">
        <v>74</v>
      </c>
      <c r="B77" s="388" t="s">
        <v>88</v>
      </c>
      <c r="C77" s="64"/>
      <c r="D77" s="64"/>
      <c r="E77" s="64"/>
      <c r="F77" s="64"/>
      <c r="G77" s="203">
        <v>200000</v>
      </c>
      <c r="H77" s="203"/>
      <c r="I77" s="203"/>
      <c r="J77" s="198"/>
      <c r="K77" s="198"/>
      <c r="L77" s="203"/>
      <c r="M77" s="203"/>
      <c r="N77" s="203">
        <v>508500</v>
      </c>
      <c r="O77" s="203"/>
      <c r="P77" s="458">
        <f>-508500-200000</f>
        <v>-708500</v>
      </c>
      <c r="Q77" s="115">
        <f t="shared" si="2"/>
        <v>0</v>
      </c>
      <c r="R77" s="107"/>
      <c r="S77" s="107"/>
      <c r="T77" s="107"/>
    </row>
    <row r="78" spans="1:20" ht="12.75">
      <c r="A78" s="9" t="s">
        <v>74</v>
      </c>
      <c r="B78" s="388" t="s">
        <v>87</v>
      </c>
      <c r="C78" s="64"/>
      <c r="D78" s="64"/>
      <c r="E78" s="64"/>
      <c r="F78" s="64"/>
      <c r="G78" s="203">
        <v>200000</v>
      </c>
      <c r="H78" s="203"/>
      <c r="I78" s="203"/>
      <c r="J78" s="198"/>
      <c r="K78" s="198"/>
      <c r="L78" s="203"/>
      <c r="M78" s="203"/>
      <c r="N78" s="203">
        <v>508500</v>
      </c>
      <c r="O78" s="203"/>
      <c r="P78" s="458">
        <f>-508500-200000</f>
        <v>-708500</v>
      </c>
      <c r="Q78" s="115">
        <f t="shared" si="2"/>
        <v>0</v>
      </c>
      <c r="R78" s="107"/>
      <c r="S78" s="107"/>
      <c r="T78" s="107"/>
    </row>
    <row r="79" spans="1:20" ht="12.75">
      <c r="A79" s="66" t="s">
        <v>194</v>
      </c>
      <c r="B79" s="388" t="s">
        <v>88</v>
      </c>
      <c r="C79" s="64"/>
      <c r="D79" s="64"/>
      <c r="E79" s="64"/>
      <c r="F79" s="64"/>
      <c r="G79" s="203">
        <v>200000</v>
      </c>
      <c r="H79" s="203"/>
      <c r="I79" s="203"/>
      <c r="J79" s="198"/>
      <c r="K79" s="198"/>
      <c r="L79" s="203"/>
      <c r="M79" s="203"/>
      <c r="N79" s="203"/>
      <c r="O79" s="203"/>
      <c r="P79" s="458"/>
      <c r="Q79" s="115">
        <f t="shared" si="2"/>
        <v>200000</v>
      </c>
      <c r="R79" s="107"/>
      <c r="S79" s="107"/>
      <c r="T79" s="107"/>
    </row>
    <row r="80" spans="1:20" ht="12.75">
      <c r="A80" s="66" t="s">
        <v>194</v>
      </c>
      <c r="B80" s="388" t="s">
        <v>87</v>
      </c>
      <c r="C80" s="64"/>
      <c r="D80" s="64"/>
      <c r="E80" s="64"/>
      <c r="F80" s="64"/>
      <c r="G80" s="203">
        <v>-200000</v>
      </c>
      <c r="H80" s="203"/>
      <c r="I80" s="203"/>
      <c r="J80" s="198"/>
      <c r="K80" s="198"/>
      <c r="L80" s="203"/>
      <c r="M80" s="203"/>
      <c r="N80" s="203"/>
      <c r="O80" s="203"/>
      <c r="P80" s="458"/>
      <c r="Q80" s="115">
        <f t="shared" si="2"/>
        <v>-200000</v>
      </c>
      <c r="R80" s="107"/>
      <c r="S80" s="107"/>
      <c r="T80" s="107"/>
    </row>
    <row r="81" spans="1:20" ht="12.75">
      <c r="A81" s="768" t="s">
        <v>172</v>
      </c>
      <c r="B81" s="388" t="s">
        <v>87</v>
      </c>
      <c r="C81" s="64"/>
      <c r="D81" s="64"/>
      <c r="E81" s="64"/>
      <c r="F81" s="64"/>
      <c r="G81" s="64"/>
      <c r="H81" s="64"/>
      <c r="I81" s="210"/>
      <c r="J81" s="64"/>
      <c r="K81" s="64"/>
      <c r="L81" s="64"/>
      <c r="M81" s="64"/>
      <c r="N81" s="64">
        <f>2500</f>
        <v>2500</v>
      </c>
      <c r="O81" s="64">
        <f>-2500</f>
        <v>-2500</v>
      </c>
      <c r="P81" s="64"/>
      <c r="Q81" s="115">
        <f t="shared" si="2"/>
        <v>0</v>
      </c>
      <c r="R81" s="107"/>
      <c r="S81" s="107"/>
      <c r="T81" s="107"/>
    </row>
    <row r="82" spans="1:20" ht="12.75">
      <c r="A82" s="768" t="s">
        <v>177</v>
      </c>
      <c r="B82" s="388" t="s">
        <v>87</v>
      </c>
      <c r="C82" s="64"/>
      <c r="D82" s="64"/>
      <c r="E82" s="64"/>
      <c r="F82" s="64"/>
      <c r="G82" s="64"/>
      <c r="H82" s="64"/>
      <c r="I82" s="210"/>
      <c r="J82" s="64"/>
      <c r="K82" s="64"/>
      <c r="L82" s="64"/>
      <c r="M82" s="64"/>
      <c r="N82" s="64"/>
      <c r="O82" s="64">
        <v>-100000</v>
      </c>
      <c r="P82" s="64"/>
      <c r="Q82" s="115">
        <f t="shared" si="2"/>
        <v>-100000</v>
      </c>
      <c r="R82" s="107"/>
      <c r="S82" s="107"/>
      <c r="T82" s="107"/>
    </row>
    <row r="83" spans="1:20" ht="12.75">
      <c r="A83" s="768" t="s">
        <v>177</v>
      </c>
      <c r="B83" s="388" t="s">
        <v>88</v>
      </c>
      <c r="C83" s="64"/>
      <c r="D83" s="64"/>
      <c r="E83" s="64"/>
      <c r="F83" s="64"/>
      <c r="G83" s="64"/>
      <c r="H83" s="64"/>
      <c r="I83" s="210"/>
      <c r="J83" s="64"/>
      <c r="K83" s="64"/>
      <c r="L83" s="64"/>
      <c r="M83" s="64"/>
      <c r="N83" s="64"/>
      <c r="O83" s="64">
        <v>100000</v>
      </c>
      <c r="P83" s="64"/>
      <c r="Q83" s="115">
        <f t="shared" si="2"/>
        <v>100000</v>
      </c>
      <c r="R83" s="107"/>
      <c r="S83" s="107"/>
      <c r="T83" s="107"/>
    </row>
    <row r="84" spans="1:20" ht="12.75">
      <c r="A84" s="767" t="s">
        <v>176</v>
      </c>
      <c r="B84" s="388" t="s">
        <v>133</v>
      </c>
      <c r="C84" s="64">
        <f>4403.34+1005.84+909.32+1070.96+436.48+599.28+425.04</f>
        <v>8850.260000000002</v>
      </c>
      <c r="D84" s="64">
        <f>1305.28+737.45+851.79+853.4+2154.06</f>
        <v>5901.98</v>
      </c>
      <c r="E84" s="64">
        <f>3192.64+857.12+1742.4+880+1603.36+915.2</f>
        <v>9190.720000000001</v>
      </c>
      <c r="F84" s="64">
        <f>2741.9+762.96+960.96+865.04+723.36+842.16+1079.76</f>
        <v>7976.139999999999</v>
      </c>
      <c r="G84" s="64">
        <f>3044.21+934.75+791.4+582.75+441.1+947.13-23+840.35</f>
        <v>7558.6900000000005</v>
      </c>
      <c r="H84" s="64">
        <f>2943.17+1182.18+1202.76+948.28+871.88+225.28+919.09-100+1353.75</f>
        <v>9546.39</v>
      </c>
      <c r="I84" s="210">
        <f>10830.34+5469.02+4472.16+6401.12+1653.34+1628.7</f>
        <v>30454.68</v>
      </c>
      <c r="J84" s="115"/>
      <c r="K84" s="64"/>
      <c r="L84" s="64"/>
      <c r="M84" s="64"/>
      <c r="N84" s="64">
        <f>1347.84+363.48+339.89+344.49+421.07+268.11+136.49</f>
        <v>3221.37</v>
      </c>
      <c r="O84" s="458">
        <f>-28460.88-1347.84-1182.18-6231.98-7978.99-2947.62-1739.68-857.12-6329.31-9528.41-7685.87+100+23-8533.35</f>
        <v>-82700.23000000001</v>
      </c>
      <c r="P84" s="458"/>
      <c r="Q84" s="115">
        <f t="shared" si="2"/>
        <v>0</v>
      </c>
      <c r="R84" s="107"/>
      <c r="S84" s="107"/>
      <c r="T84" s="107"/>
    </row>
    <row r="85" spans="1:20" ht="12.75">
      <c r="A85" s="767" t="s">
        <v>184</v>
      </c>
      <c r="B85" s="388" t="s">
        <v>87</v>
      </c>
      <c r="C85" s="64"/>
      <c r="D85" s="64"/>
      <c r="E85" s="64"/>
      <c r="F85" s="64"/>
      <c r="G85" s="64"/>
      <c r="H85" s="64"/>
      <c r="I85" s="210"/>
      <c r="J85" s="115"/>
      <c r="K85" s="64"/>
      <c r="L85" s="64"/>
      <c r="M85" s="64"/>
      <c r="N85" s="64"/>
      <c r="O85" s="458">
        <v>-122000</v>
      </c>
      <c r="P85" s="458"/>
      <c r="Q85" s="115">
        <f t="shared" si="2"/>
        <v>-122000</v>
      </c>
      <c r="R85" s="107"/>
      <c r="S85" s="107"/>
      <c r="T85" s="107"/>
    </row>
    <row r="86" spans="1:20" ht="12.75">
      <c r="A86" s="767" t="s">
        <v>184</v>
      </c>
      <c r="B86" s="388" t="s">
        <v>88</v>
      </c>
      <c r="C86" s="64"/>
      <c r="D86" s="64"/>
      <c r="E86" s="64"/>
      <c r="F86" s="64"/>
      <c r="G86" s="64"/>
      <c r="H86" s="64"/>
      <c r="I86" s="210"/>
      <c r="J86" s="115"/>
      <c r="K86" s="64"/>
      <c r="L86" s="64"/>
      <c r="M86" s="64"/>
      <c r="N86" s="64"/>
      <c r="O86" s="458">
        <v>122000</v>
      </c>
      <c r="P86" s="458"/>
      <c r="Q86" s="115">
        <f t="shared" si="2"/>
        <v>122000</v>
      </c>
      <c r="R86" s="107"/>
      <c r="S86" s="107"/>
      <c r="T86" s="107"/>
    </row>
    <row r="87" spans="1:20" ht="12.75">
      <c r="A87" s="769" t="s">
        <v>203</v>
      </c>
      <c r="B87" s="388" t="s">
        <v>88</v>
      </c>
      <c r="C87" s="64"/>
      <c r="D87" s="64"/>
      <c r="E87" s="64"/>
      <c r="F87" s="64"/>
      <c r="G87" s="64"/>
      <c r="H87" s="64"/>
      <c r="I87" s="210"/>
      <c r="J87" s="115"/>
      <c r="K87" s="64"/>
      <c r="L87" s="64"/>
      <c r="M87" s="64"/>
      <c r="N87" s="64"/>
      <c r="O87" s="458">
        <f>-10800-3802</f>
        <v>-14602</v>
      </c>
      <c r="P87" s="458"/>
      <c r="Q87" s="115">
        <f t="shared" si="2"/>
        <v>-14602</v>
      </c>
      <c r="R87" s="107"/>
      <c r="S87" s="107"/>
      <c r="T87" s="107"/>
    </row>
    <row r="88" spans="1:20" ht="12.75">
      <c r="A88" s="769" t="s">
        <v>203</v>
      </c>
      <c r="B88" s="388" t="s">
        <v>87</v>
      </c>
      <c r="C88" s="64"/>
      <c r="D88" s="64"/>
      <c r="E88" s="64"/>
      <c r="F88" s="64"/>
      <c r="G88" s="64"/>
      <c r="H88" s="64"/>
      <c r="I88" s="210"/>
      <c r="J88" s="115"/>
      <c r="K88" s="64"/>
      <c r="L88" s="64"/>
      <c r="M88" s="64"/>
      <c r="N88" s="64"/>
      <c r="O88" s="458">
        <f>10800+3802</f>
        <v>14602</v>
      </c>
      <c r="P88" s="458"/>
      <c r="Q88" s="115">
        <f t="shared" si="2"/>
        <v>14602</v>
      </c>
      <c r="R88" s="107"/>
      <c r="S88" s="107"/>
      <c r="T88" s="107"/>
    </row>
    <row r="89" spans="1:20" ht="13.5" customHeight="1">
      <c r="A89" s="9" t="s">
        <v>141</v>
      </c>
      <c r="B89" s="388" t="s">
        <v>88</v>
      </c>
      <c r="C89" s="64"/>
      <c r="D89" s="64">
        <v>9414</v>
      </c>
      <c r="E89" s="64"/>
      <c r="F89" s="64"/>
      <c r="G89" s="64">
        <v>-9414</v>
      </c>
      <c r="H89" s="64"/>
      <c r="I89" s="210"/>
      <c r="J89" s="115"/>
      <c r="K89" s="115"/>
      <c r="L89" s="64"/>
      <c r="M89" s="64"/>
      <c r="N89" s="115"/>
      <c r="O89" s="115"/>
      <c r="P89" s="198"/>
      <c r="Q89" s="115">
        <f t="shared" si="2"/>
        <v>0</v>
      </c>
      <c r="R89" s="107"/>
      <c r="S89" s="107"/>
      <c r="T89" s="107"/>
    </row>
    <row r="90" spans="1:20" ht="15.75" customHeight="1">
      <c r="A90" s="9" t="s">
        <v>142</v>
      </c>
      <c r="B90" s="388" t="s">
        <v>88</v>
      </c>
      <c r="C90" s="64"/>
      <c r="D90" s="64">
        <v>3313</v>
      </c>
      <c r="E90" s="64"/>
      <c r="F90" s="64"/>
      <c r="G90" s="64">
        <v>-3313</v>
      </c>
      <c r="H90" s="210"/>
      <c r="I90" s="64"/>
      <c r="J90" s="209"/>
      <c r="K90" s="64"/>
      <c r="L90" s="64"/>
      <c r="M90" s="64"/>
      <c r="N90" s="64"/>
      <c r="O90" s="64"/>
      <c r="P90" s="64"/>
      <c r="Q90" s="115">
        <f t="shared" si="2"/>
        <v>0</v>
      </c>
      <c r="R90" s="107"/>
      <c r="S90" s="107"/>
      <c r="T90" s="107"/>
    </row>
    <row r="91" spans="1:20" ht="15.75" customHeight="1">
      <c r="A91" s="9" t="s">
        <v>141</v>
      </c>
      <c r="B91" s="388" t="s">
        <v>88</v>
      </c>
      <c r="C91" s="64">
        <v>1375</v>
      </c>
      <c r="D91" s="64">
        <v>-1375</v>
      </c>
      <c r="E91" s="64"/>
      <c r="F91" s="64"/>
      <c r="G91" s="64"/>
      <c r="H91" s="210"/>
      <c r="I91" s="64"/>
      <c r="J91" s="209"/>
      <c r="K91" s="64"/>
      <c r="L91" s="64"/>
      <c r="M91" s="64"/>
      <c r="N91" s="64"/>
      <c r="O91" s="64"/>
      <c r="P91" s="64"/>
      <c r="Q91" s="115">
        <f t="shared" si="2"/>
        <v>0</v>
      </c>
      <c r="R91" s="107"/>
      <c r="S91" s="107"/>
      <c r="T91" s="107"/>
    </row>
    <row r="92" spans="1:20" ht="15.75" customHeight="1">
      <c r="A92" s="9" t="s">
        <v>142</v>
      </c>
      <c r="B92" s="388" t="s">
        <v>88</v>
      </c>
      <c r="C92" s="64">
        <v>484</v>
      </c>
      <c r="D92" s="64">
        <v>-484</v>
      </c>
      <c r="E92" s="64"/>
      <c r="F92" s="64"/>
      <c r="G92" s="64"/>
      <c r="H92" s="210"/>
      <c r="I92" s="64"/>
      <c r="J92" s="209"/>
      <c r="K92" s="64"/>
      <c r="L92" s="64"/>
      <c r="M92" s="64"/>
      <c r="N92" s="64"/>
      <c r="O92" s="64"/>
      <c r="P92" s="64"/>
      <c r="Q92" s="115">
        <f t="shared" si="2"/>
        <v>0</v>
      </c>
      <c r="R92" s="107"/>
      <c r="S92" s="107"/>
      <c r="T92" s="107"/>
    </row>
    <row r="93" spans="1:20" ht="15.75" customHeight="1">
      <c r="A93" s="9" t="s">
        <v>141</v>
      </c>
      <c r="B93" s="388" t="s">
        <v>88</v>
      </c>
      <c r="C93" s="64"/>
      <c r="D93" s="64">
        <v>894</v>
      </c>
      <c r="E93" s="64"/>
      <c r="F93" s="64">
        <v>-894</v>
      </c>
      <c r="G93" s="64"/>
      <c r="H93" s="210"/>
      <c r="I93" s="64"/>
      <c r="J93" s="209"/>
      <c r="K93" s="64"/>
      <c r="L93" s="64"/>
      <c r="M93" s="64"/>
      <c r="N93" s="64"/>
      <c r="O93" s="64"/>
      <c r="P93" s="64"/>
      <c r="Q93" s="115">
        <f t="shared" si="2"/>
        <v>0</v>
      </c>
      <c r="R93" s="107"/>
      <c r="S93" s="107"/>
      <c r="T93" s="107"/>
    </row>
    <row r="94" spans="1:20" ht="15.75" customHeight="1">
      <c r="A94" s="9" t="s">
        <v>142</v>
      </c>
      <c r="B94" s="388" t="s">
        <v>88</v>
      </c>
      <c r="C94" s="64"/>
      <c r="D94" s="64">
        <v>315</v>
      </c>
      <c r="E94" s="64"/>
      <c r="F94" s="64">
        <v>-315</v>
      </c>
      <c r="G94" s="64"/>
      <c r="H94" s="210"/>
      <c r="I94" s="64"/>
      <c r="J94" s="209"/>
      <c r="K94" s="64"/>
      <c r="L94" s="64"/>
      <c r="M94" s="64"/>
      <c r="N94" s="64"/>
      <c r="O94" s="64"/>
      <c r="P94" s="64"/>
      <c r="Q94" s="115">
        <f t="shared" si="2"/>
        <v>0</v>
      </c>
      <c r="R94" s="107"/>
      <c r="S94" s="107"/>
      <c r="T94" s="107"/>
    </row>
    <row r="95" spans="1:20" ht="16.5" customHeight="1">
      <c r="A95" s="9" t="s">
        <v>141</v>
      </c>
      <c r="B95" s="388" t="s">
        <v>88</v>
      </c>
      <c r="C95" s="64">
        <v>9430</v>
      </c>
      <c r="D95" s="64"/>
      <c r="E95" s="64"/>
      <c r="F95" s="64"/>
      <c r="G95" s="64">
        <v>-9430</v>
      </c>
      <c r="H95" s="210"/>
      <c r="I95" s="64"/>
      <c r="J95" s="209"/>
      <c r="K95" s="64"/>
      <c r="L95" s="64"/>
      <c r="M95" s="64"/>
      <c r="N95" s="64"/>
      <c r="O95" s="64"/>
      <c r="P95" s="64"/>
      <c r="Q95" s="115">
        <f t="shared" si="2"/>
        <v>0</v>
      </c>
      <c r="R95" s="107"/>
      <c r="S95" s="107"/>
      <c r="T95" s="107"/>
    </row>
    <row r="96" spans="1:20" ht="15.75" customHeight="1">
      <c r="A96" s="9" t="s">
        <v>142</v>
      </c>
      <c r="B96" s="388" t="s">
        <v>88</v>
      </c>
      <c r="C96" s="64">
        <v>3319</v>
      </c>
      <c r="D96" s="64"/>
      <c r="E96" s="64"/>
      <c r="F96" s="64"/>
      <c r="G96" s="64">
        <v>-3319</v>
      </c>
      <c r="H96" s="210"/>
      <c r="I96" s="64"/>
      <c r="J96" s="209"/>
      <c r="K96" s="64"/>
      <c r="L96" s="64"/>
      <c r="M96" s="64"/>
      <c r="N96" s="64"/>
      <c r="O96" s="64"/>
      <c r="P96" s="64"/>
      <c r="Q96" s="115">
        <f t="shared" si="2"/>
        <v>0</v>
      </c>
      <c r="R96" s="107"/>
      <c r="S96" s="107"/>
      <c r="T96" s="107"/>
    </row>
    <row r="97" spans="1:20" ht="15.75" customHeight="1">
      <c r="A97" s="9" t="s">
        <v>29</v>
      </c>
      <c r="B97" s="388" t="s">
        <v>88</v>
      </c>
      <c r="C97" s="64"/>
      <c r="D97" s="64"/>
      <c r="E97" s="64"/>
      <c r="F97" s="64">
        <v>-11280</v>
      </c>
      <c r="G97" s="64"/>
      <c r="H97" s="210"/>
      <c r="I97" s="64"/>
      <c r="J97" s="209"/>
      <c r="K97" s="64"/>
      <c r="L97" s="64">
        <v>11280</v>
      </c>
      <c r="M97" s="64"/>
      <c r="N97" s="64"/>
      <c r="O97" s="64"/>
      <c r="P97" s="64"/>
      <c r="Q97" s="115">
        <f t="shared" si="2"/>
        <v>0</v>
      </c>
      <c r="R97" s="107"/>
      <c r="S97" s="107"/>
      <c r="T97" s="107"/>
    </row>
    <row r="98" spans="1:20" ht="15.75" customHeight="1">
      <c r="A98" s="9" t="s">
        <v>30</v>
      </c>
      <c r="B98" s="388" t="s">
        <v>88</v>
      </c>
      <c r="C98" s="64"/>
      <c r="D98" s="64"/>
      <c r="E98" s="64"/>
      <c r="F98" s="64">
        <v>-3970</v>
      </c>
      <c r="G98" s="64"/>
      <c r="H98" s="210"/>
      <c r="I98" s="64"/>
      <c r="J98" s="209"/>
      <c r="K98" s="64"/>
      <c r="L98" s="64">
        <v>3970</v>
      </c>
      <c r="M98" s="64"/>
      <c r="N98" s="64"/>
      <c r="O98" s="64"/>
      <c r="P98" s="64"/>
      <c r="Q98" s="115">
        <f t="shared" si="2"/>
        <v>0</v>
      </c>
      <c r="R98" s="107"/>
      <c r="S98" s="107"/>
      <c r="T98" s="107"/>
    </row>
    <row r="99" spans="1:20" ht="15.75" customHeight="1">
      <c r="A99" s="9" t="s">
        <v>29</v>
      </c>
      <c r="B99" s="388" t="s">
        <v>88</v>
      </c>
      <c r="C99" s="64"/>
      <c r="D99" s="64"/>
      <c r="E99" s="64"/>
      <c r="F99" s="64">
        <v>-17053</v>
      </c>
      <c r="G99" s="64"/>
      <c r="H99" s="210"/>
      <c r="I99" s="64"/>
      <c r="J99" s="209"/>
      <c r="K99" s="64"/>
      <c r="L99" s="64">
        <v>17053</v>
      </c>
      <c r="M99" s="64"/>
      <c r="N99" s="64"/>
      <c r="O99" s="64"/>
      <c r="P99" s="64"/>
      <c r="Q99" s="115">
        <f t="shared" si="2"/>
        <v>0</v>
      </c>
      <c r="R99" s="107"/>
      <c r="S99" s="107"/>
      <c r="T99" s="107"/>
    </row>
    <row r="100" spans="1:20" ht="15.75" customHeight="1">
      <c r="A100" s="9" t="s">
        <v>30</v>
      </c>
      <c r="B100" s="388" t="s">
        <v>88</v>
      </c>
      <c r="C100" s="64"/>
      <c r="D100" s="64"/>
      <c r="E100" s="64"/>
      <c r="F100" s="64">
        <v>-6003</v>
      </c>
      <c r="G100" s="64"/>
      <c r="H100" s="210"/>
      <c r="I100" s="64"/>
      <c r="J100" s="209"/>
      <c r="K100" s="64"/>
      <c r="L100" s="64">
        <v>6003</v>
      </c>
      <c r="M100" s="64"/>
      <c r="N100" s="64"/>
      <c r="O100" s="64"/>
      <c r="P100" s="64"/>
      <c r="Q100" s="115">
        <f t="shared" si="2"/>
        <v>0</v>
      </c>
      <c r="R100" s="107"/>
      <c r="S100" s="107"/>
      <c r="T100" s="107"/>
    </row>
    <row r="101" spans="1:20" s="2" customFormat="1" ht="15.75" customHeight="1">
      <c r="A101" s="9" t="s">
        <v>29</v>
      </c>
      <c r="B101" s="388" t="s">
        <v>88</v>
      </c>
      <c r="C101" s="64"/>
      <c r="D101" s="64"/>
      <c r="E101" s="64"/>
      <c r="F101" s="202"/>
      <c r="G101" s="202"/>
      <c r="H101" s="210"/>
      <c r="I101" s="64">
        <v>-1211</v>
      </c>
      <c r="J101" s="64"/>
      <c r="K101" s="64"/>
      <c r="L101" s="64">
        <v>1211</v>
      </c>
      <c r="M101" s="64"/>
      <c r="N101" s="64"/>
      <c r="O101" s="64"/>
      <c r="P101" s="64"/>
      <c r="Q101" s="115">
        <f t="shared" si="2"/>
        <v>0</v>
      </c>
      <c r="R101" s="107"/>
      <c r="S101" s="107"/>
      <c r="T101" s="107"/>
    </row>
    <row r="102" spans="1:20" s="2" customFormat="1" ht="15.75" customHeight="1">
      <c r="A102" s="9" t="s">
        <v>30</v>
      </c>
      <c r="B102" s="388" t="s">
        <v>88</v>
      </c>
      <c r="C102" s="64"/>
      <c r="D102" s="64"/>
      <c r="E102" s="64"/>
      <c r="F102" s="202"/>
      <c r="G102" s="202"/>
      <c r="H102" s="210"/>
      <c r="I102" s="64">
        <v>-426</v>
      </c>
      <c r="J102" s="64"/>
      <c r="K102" s="64"/>
      <c r="L102" s="64">
        <v>426</v>
      </c>
      <c r="M102" s="64"/>
      <c r="N102" s="64"/>
      <c r="O102" s="64"/>
      <c r="P102" s="64"/>
      <c r="Q102" s="115">
        <f t="shared" si="2"/>
        <v>0</v>
      </c>
      <c r="R102" s="107"/>
      <c r="S102" s="107"/>
      <c r="T102" s="107"/>
    </row>
    <row r="103" spans="1:20" s="2" customFormat="1" ht="15.75" customHeight="1">
      <c r="A103" s="9" t="s">
        <v>29</v>
      </c>
      <c r="B103" s="388" t="s">
        <v>88</v>
      </c>
      <c r="C103" s="64">
        <v>35893.49</v>
      </c>
      <c r="D103" s="64"/>
      <c r="E103" s="64"/>
      <c r="F103" s="202"/>
      <c r="G103" s="202"/>
      <c r="H103" s="210"/>
      <c r="I103" s="64">
        <v>-35893.49</v>
      </c>
      <c r="J103" s="64"/>
      <c r="K103" s="64"/>
      <c r="L103" s="64"/>
      <c r="M103" s="64"/>
      <c r="N103" s="64"/>
      <c r="O103" s="64"/>
      <c r="P103" s="64"/>
      <c r="Q103" s="115"/>
      <c r="R103" s="107"/>
      <c r="S103" s="107"/>
      <c r="T103" s="107"/>
    </row>
    <row r="104" spans="1:20" s="2" customFormat="1" ht="15.75" customHeight="1">
      <c r="A104" s="9" t="s">
        <v>30</v>
      </c>
      <c r="B104" s="388" t="s">
        <v>88</v>
      </c>
      <c r="C104" s="64">
        <v>12634.51</v>
      </c>
      <c r="D104" s="64"/>
      <c r="E104" s="64"/>
      <c r="F104" s="202"/>
      <c r="G104" s="202"/>
      <c r="H104" s="210"/>
      <c r="I104" s="64">
        <v>-12634.51</v>
      </c>
      <c r="J104" s="64"/>
      <c r="K104" s="64"/>
      <c r="L104" s="64"/>
      <c r="M104" s="64"/>
      <c r="N104" s="64"/>
      <c r="O104" s="64"/>
      <c r="P104" s="64"/>
      <c r="Q104" s="115"/>
      <c r="R104" s="107"/>
      <c r="S104" s="107"/>
      <c r="T104" s="107"/>
    </row>
    <row r="105" spans="1:20" s="2" customFormat="1" ht="15.75" customHeight="1">
      <c r="A105" s="9" t="s">
        <v>29</v>
      </c>
      <c r="B105" s="388" t="s">
        <v>88</v>
      </c>
      <c r="C105" s="64"/>
      <c r="D105" s="64"/>
      <c r="E105" s="64">
        <v>6422.33</v>
      </c>
      <c r="F105" s="202"/>
      <c r="G105" s="202"/>
      <c r="H105" s="210"/>
      <c r="I105" s="64">
        <v>-6422.33</v>
      </c>
      <c r="J105" s="64"/>
      <c r="K105" s="64"/>
      <c r="L105" s="64"/>
      <c r="M105" s="64"/>
      <c r="N105" s="64"/>
      <c r="O105" s="64"/>
      <c r="P105" s="64"/>
      <c r="Q105" s="115"/>
      <c r="R105" s="107"/>
      <c r="S105" s="107"/>
      <c r="T105" s="107"/>
    </row>
    <row r="106" spans="1:20" s="2" customFormat="1" ht="15.75" customHeight="1">
      <c r="A106" s="9" t="s">
        <v>30</v>
      </c>
      <c r="B106" s="388" t="s">
        <v>88</v>
      </c>
      <c r="C106" s="64"/>
      <c r="D106" s="64"/>
      <c r="E106" s="64">
        <v>2260.67</v>
      </c>
      <c r="F106" s="202"/>
      <c r="G106" s="202"/>
      <c r="H106" s="210"/>
      <c r="I106" s="64">
        <v>-2260.67</v>
      </c>
      <c r="J106" s="64"/>
      <c r="K106" s="64"/>
      <c r="L106" s="64"/>
      <c r="M106" s="64"/>
      <c r="N106" s="64"/>
      <c r="O106" s="64"/>
      <c r="P106" s="64"/>
      <c r="Q106" s="115"/>
      <c r="R106" s="107"/>
      <c r="S106" s="107"/>
      <c r="T106" s="107"/>
    </row>
    <row r="107" spans="1:20" s="2" customFormat="1" ht="15.75" customHeight="1">
      <c r="A107" s="9" t="s">
        <v>29</v>
      </c>
      <c r="B107" s="388" t="s">
        <v>88</v>
      </c>
      <c r="C107" s="64"/>
      <c r="D107" s="64"/>
      <c r="E107" s="64">
        <v>2297</v>
      </c>
      <c r="F107" s="202"/>
      <c r="G107" s="202"/>
      <c r="H107" s="210"/>
      <c r="I107" s="64"/>
      <c r="J107" s="64"/>
      <c r="K107" s="64"/>
      <c r="L107" s="64">
        <v>-2297</v>
      </c>
      <c r="M107" s="64"/>
      <c r="N107" s="64"/>
      <c r="O107" s="64"/>
      <c r="P107" s="64"/>
      <c r="Q107" s="115"/>
      <c r="R107" s="107"/>
      <c r="S107" s="107"/>
      <c r="T107" s="107"/>
    </row>
    <row r="108" spans="1:20" s="2" customFormat="1" ht="15.75" customHeight="1">
      <c r="A108" s="9" t="s">
        <v>30</v>
      </c>
      <c r="B108" s="388" t="s">
        <v>88</v>
      </c>
      <c r="C108" s="64"/>
      <c r="D108" s="64"/>
      <c r="E108" s="64">
        <v>808</v>
      </c>
      <c r="F108" s="202"/>
      <c r="G108" s="202"/>
      <c r="H108" s="210"/>
      <c r="I108" s="64"/>
      <c r="J108" s="64"/>
      <c r="K108" s="64"/>
      <c r="L108" s="64">
        <v>-808</v>
      </c>
      <c r="M108" s="64"/>
      <c r="N108" s="64"/>
      <c r="O108" s="64"/>
      <c r="P108" s="64"/>
      <c r="Q108" s="115"/>
      <c r="R108" s="107"/>
      <c r="S108" s="107"/>
      <c r="T108" s="107"/>
    </row>
    <row r="109" spans="1:20" s="2" customFormat="1" ht="15.75" customHeight="1">
      <c r="A109" s="9" t="s">
        <v>29</v>
      </c>
      <c r="B109" s="388" t="s">
        <v>88</v>
      </c>
      <c r="C109" s="64"/>
      <c r="D109" s="64"/>
      <c r="E109" s="64">
        <v>-3428</v>
      </c>
      <c r="F109" s="202"/>
      <c r="G109" s="202"/>
      <c r="H109" s="210"/>
      <c r="I109" s="64"/>
      <c r="J109" s="64"/>
      <c r="K109" s="64"/>
      <c r="L109" s="64">
        <v>3428</v>
      </c>
      <c r="M109" s="64"/>
      <c r="N109" s="64"/>
      <c r="O109" s="64"/>
      <c r="P109" s="64"/>
      <c r="Q109" s="115"/>
      <c r="R109" s="107"/>
      <c r="S109" s="107"/>
      <c r="T109" s="107"/>
    </row>
    <row r="110" spans="1:20" s="2" customFormat="1" ht="15.75" customHeight="1">
      <c r="A110" s="9" t="s">
        <v>30</v>
      </c>
      <c r="B110" s="388" t="s">
        <v>88</v>
      </c>
      <c r="C110" s="64"/>
      <c r="D110" s="64"/>
      <c r="E110" s="64">
        <v>-1206</v>
      </c>
      <c r="F110" s="202"/>
      <c r="G110" s="202"/>
      <c r="H110" s="210"/>
      <c r="I110" s="64"/>
      <c r="J110" s="64"/>
      <c r="K110" s="64"/>
      <c r="L110" s="64">
        <v>1206</v>
      </c>
      <c r="M110" s="64"/>
      <c r="N110" s="64"/>
      <c r="O110" s="64"/>
      <c r="P110" s="64"/>
      <c r="Q110" s="115"/>
      <c r="R110" s="107"/>
      <c r="S110" s="107"/>
      <c r="T110" s="107"/>
    </row>
    <row r="111" spans="1:20" s="2" customFormat="1" ht="15.75" customHeight="1">
      <c r="A111" s="9" t="s">
        <v>29</v>
      </c>
      <c r="B111" s="388" t="s">
        <v>88</v>
      </c>
      <c r="C111" s="64">
        <v>-2146.56</v>
      </c>
      <c r="D111" s="64"/>
      <c r="E111" s="64">
        <v>2146.56</v>
      </c>
      <c r="F111" s="202"/>
      <c r="G111" s="202"/>
      <c r="H111" s="210"/>
      <c r="I111" s="64">
        <v>-1143.49</v>
      </c>
      <c r="J111" s="64"/>
      <c r="K111" s="64"/>
      <c r="L111" s="64">
        <v>1143.49</v>
      </c>
      <c r="M111" s="64"/>
      <c r="N111" s="64"/>
      <c r="O111" s="64"/>
      <c r="P111" s="64"/>
      <c r="Q111" s="115"/>
      <c r="R111" s="107"/>
      <c r="S111" s="107"/>
      <c r="T111" s="107"/>
    </row>
    <row r="112" spans="1:20" s="2" customFormat="1" ht="15.75" customHeight="1">
      <c r="A112" s="9" t="s">
        <v>30</v>
      </c>
      <c r="B112" s="388" t="s">
        <v>88</v>
      </c>
      <c r="C112" s="64">
        <v>-1181.44</v>
      </c>
      <c r="D112" s="64"/>
      <c r="E112" s="64">
        <v>1181.44</v>
      </c>
      <c r="F112" s="202"/>
      <c r="G112" s="202"/>
      <c r="H112" s="210"/>
      <c r="I112" s="64">
        <v>-402.51</v>
      </c>
      <c r="J112" s="64"/>
      <c r="K112" s="64"/>
      <c r="L112" s="64">
        <v>402.51</v>
      </c>
      <c r="M112" s="64"/>
      <c r="N112" s="64"/>
      <c r="O112" s="64"/>
      <c r="P112" s="64"/>
      <c r="Q112" s="115"/>
      <c r="R112" s="107"/>
      <c r="S112" s="107"/>
      <c r="T112" s="107"/>
    </row>
    <row r="113" spans="1:20" ht="15.75" customHeight="1">
      <c r="A113" s="9" t="s">
        <v>223</v>
      </c>
      <c r="B113" s="388" t="s">
        <v>87</v>
      </c>
      <c r="C113" s="64">
        <v>56300</v>
      </c>
      <c r="D113" s="64">
        <v>37573</v>
      </c>
      <c r="E113" s="64">
        <v>52860</v>
      </c>
      <c r="F113" s="64">
        <v>63880</v>
      </c>
      <c r="G113" s="64">
        <v>18768</v>
      </c>
      <c r="H113" s="210">
        <v>37532</v>
      </c>
      <c r="I113" s="64">
        <v>18767</v>
      </c>
      <c r="J113" s="64"/>
      <c r="K113" s="64"/>
      <c r="L113" s="64">
        <v>14320</v>
      </c>
      <c r="M113" s="64"/>
      <c r="N113" s="64"/>
      <c r="O113" s="64">
        <v>-300000</v>
      </c>
      <c r="P113" s="64"/>
      <c r="Q113" s="115">
        <f t="shared" si="2"/>
        <v>0</v>
      </c>
      <c r="R113" s="107"/>
      <c r="S113" s="107"/>
      <c r="T113" s="107"/>
    </row>
    <row r="114" spans="1:20" ht="15.75" customHeight="1">
      <c r="A114" s="9" t="s">
        <v>174</v>
      </c>
      <c r="B114" s="388" t="s">
        <v>88</v>
      </c>
      <c r="C114" s="64">
        <f>834.16+1079.5+7556.5</f>
        <v>9470.16</v>
      </c>
      <c r="D114" s="64"/>
      <c r="E114" s="64">
        <f>829.48+1073.45+7514.15</f>
        <v>9417.08</v>
      </c>
      <c r="F114" s="64">
        <f>768.63+994.7+6962.9</f>
        <v>8726.23</v>
      </c>
      <c r="G114" s="64">
        <f>753.49+975.1+6825.7</f>
        <v>8554.29</v>
      </c>
      <c r="H114" s="210">
        <f>834.16+1079.5+7556.5</f>
        <v>9470.16</v>
      </c>
      <c r="I114" s="64"/>
      <c r="J114" s="64"/>
      <c r="K114" s="64"/>
      <c r="L114" s="64"/>
      <c r="M114" s="64"/>
      <c r="N114" s="64">
        <f>-4019.92-5202.25-36415.75</f>
        <v>-45637.92</v>
      </c>
      <c r="O114" s="64"/>
      <c r="P114" s="64"/>
      <c r="Q114" s="115">
        <f t="shared" si="2"/>
        <v>0</v>
      </c>
      <c r="R114" s="107"/>
      <c r="S114" s="107"/>
      <c r="T114" s="107"/>
    </row>
    <row r="115" spans="1:20" ht="15.75" customHeight="1">
      <c r="A115" s="9" t="s">
        <v>175</v>
      </c>
      <c r="B115" s="388" t="s">
        <v>88</v>
      </c>
      <c r="C115" s="64">
        <f>260.26+336.8+2357.6</f>
        <v>2954.66</v>
      </c>
      <c r="D115" s="64"/>
      <c r="E115" s="64">
        <f>258.8+334.92+2344.44</f>
        <v>2938.16</v>
      </c>
      <c r="F115" s="64">
        <f>270.56+350.13+2450.91</f>
        <v>3071.6</v>
      </c>
      <c r="G115" s="64">
        <f>263.23+343.24+2402.68</f>
        <v>3009.1499999999996</v>
      </c>
      <c r="H115" s="210">
        <f>260.26+336.8+2357.6</f>
        <v>2954.66</v>
      </c>
      <c r="I115" s="64"/>
      <c r="J115" s="64"/>
      <c r="K115" s="64"/>
      <c r="L115" s="64"/>
      <c r="M115" s="64"/>
      <c r="N115" s="64">
        <f>-1313.11-1701.89-11913.23</f>
        <v>-14928.23</v>
      </c>
      <c r="O115" s="64"/>
      <c r="P115" s="64"/>
      <c r="Q115" s="115">
        <f t="shared" si="2"/>
        <v>0</v>
      </c>
      <c r="R115" s="107"/>
      <c r="S115" s="107"/>
      <c r="T115" s="107"/>
    </row>
    <row r="116" spans="1:20" ht="12.75">
      <c r="A116" s="9" t="s">
        <v>146</v>
      </c>
      <c r="B116" s="388" t="s">
        <v>87</v>
      </c>
      <c r="C116" s="64">
        <f>0</f>
        <v>0</v>
      </c>
      <c r="D116" s="64">
        <f>900+317+600+212+300+106+400+141+300+106</f>
        <v>3382</v>
      </c>
      <c r="E116" s="64">
        <f>300+106+100+36+100+36+700+247</f>
        <v>1625</v>
      </c>
      <c r="F116" s="64">
        <f>400+141+100+36</f>
        <v>677</v>
      </c>
      <c r="G116" s="64"/>
      <c r="H116" s="210">
        <f>700+247+600+212+400+141+500+176</f>
        <v>2976</v>
      </c>
      <c r="I116" s="64"/>
      <c r="J116" s="64"/>
      <c r="K116" s="64"/>
      <c r="L116" s="64"/>
      <c r="M116" s="64"/>
      <c r="N116" s="64"/>
      <c r="O116" s="64">
        <f>-2000-705-1000-354-800-283-136-1800-635-300-106-400-141</f>
        <v>-8660</v>
      </c>
      <c r="P116" s="64"/>
      <c r="Q116" s="115">
        <f t="shared" si="2"/>
        <v>0</v>
      </c>
      <c r="R116" s="107"/>
      <c r="S116" s="107"/>
      <c r="T116" s="107"/>
    </row>
    <row r="117" spans="1:20" ht="12.75">
      <c r="A117" s="9" t="s">
        <v>180</v>
      </c>
      <c r="B117" s="388" t="s">
        <v>88</v>
      </c>
      <c r="C117" s="64"/>
      <c r="D117" s="64"/>
      <c r="E117" s="64"/>
      <c r="F117" s="64"/>
      <c r="G117" s="64"/>
      <c r="H117" s="210"/>
      <c r="I117" s="64"/>
      <c r="J117" s="64"/>
      <c r="K117" s="64"/>
      <c r="L117" s="64"/>
      <c r="M117" s="64">
        <f>-62088-21855</f>
        <v>-83943</v>
      </c>
      <c r="N117" s="64">
        <f>62088+21855</f>
        <v>83943</v>
      </c>
      <c r="O117" s="64"/>
      <c r="P117" s="64"/>
      <c r="Q117" s="115">
        <f t="shared" si="2"/>
        <v>0</v>
      </c>
      <c r="R117" s="107"/>
      <c r="S117" s="107"/>
      <c r="T117" s="107"/>
    </row>
    <row r="118" spans="1:20" s="10" customFormat="1" ht="12.75">
      <c r="A118" s="9" t="s">
        <v>179</v>
      </c>
      <c r="B118" s="388" t="s">
        <v>181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>
        <v>83943</v>
      </c>
      <c r="N118" s="13">
        <v>-83943</v>
      </c>
      <c r="O118" s="13"/>
      <c r="P118" s="197"/>
      <c r="Q118" s="301">
        <f t="shared" si="2"/>
        <v>0</v>
      </c>
      <c r="R118" s="107"/>
      <c r="S118" s="107"/>
      <c r="T118" s="107"/>
    </row>
    <row r="119" spans="1:20" s="10" customFormat="1" ht="12" customHeight="1">
      <c r="A119" s="725" t="s">
        <v>183</v>
      </c>
      <c r="B119" s="388" t="s">
        <v>87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>
        <v>-30000</v>
      </c>
      <c r="P119" s="197"/>
      <c r="Q119" s="301">
        <f t="shared" si="2"/>
        <v>-30000</v>
      </c>
      <c r="R119" s="107"/>
      <c r="S119" s="107"/>
      <c r="T119" s="107"/>
    </row>
    <row r="120" spans="1:20" s="10" customFormat="1" ht="12" customHeight="1">
      <c r="A120" s="725" t="s">
        <v>183</v>
      </c>
      <c r="B120" s="388" t="s">
        <v>88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>
        <v>30000</v>
      </c>
      <c r="P120" s="197"/>
      <c r="Q120" s="301">
        <f t="shared" si="2"/>
        <v>30000</v>
      </c>
      <c r="R120" s="107"/>
      <c r="S120" s="107"/>
      <c r="T120" s="107"/>
    </row>
    <row r="121" spans="1:20" s="10" customFormat="1" ht="12" customHeight="1">
      <c r="A121" s="9" t="s">
        <v>94</v>
      </c>
      <c r="B121" s="388" t="s">
        <v>88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97"/>
      <c r="Q121" s="301">
        <f t="shared" si="2"/>
        <v>0</v>
      </c>
      <c r="R121" s="107"/>
      <c r="S121" s="107"/>
      <c r="T121" s="107"/>
    </row>
    <row r="122" spans="1:20" ht="12.75">
      <c r="A122" s="9" t="s">
        <v>95</v>
      </c>
      <c r="B122" s="388" t="s">
        <v>88</v>
      </c>
      <c r="C122" s="13"/>
      <c r="D122" s="13"/>
      <c r="E122" s="222"/>
      <c r="F122" s="64"/>
      <c r="G122" s="64"/>
      <c r="H122" s="64"/>
      <c r="I122" s="13"/>
      <c r="J122" s="13"/>
      <c r="K122" s="13"/>
      <c r="L122" s="13"/>
      <c r="M122" s="13"/>
      <c r="N122" s="13"/>
      <c r="O122" s="13"/>
      <c r="P122" s="197"/>
      <c r="Q122" s="301">
        <f t="shared" si="2"/>
        <v>0</v>
      </c>
      <c r="R122" s="107"/>
      <c r="S122" s="107"/>
      <c r="T122" s="107"/>
    </row>
    <row r="123" spans="1:20" ht="12.75">
      <c r="A123" s="9" t="s">
        <v>96</v>
      </c>
      <c r="B123" s="389" t="s">
        <v>88</v>
      </c>
      <c r="C123" s="13"/>
      <c r="D123" s="13"/>
      <c r="E123" s="13"/>
      <c r="F123" s="13"/>
      <c r="G123" s="13"/>
      <c r="H123" s="64"/>
      <c r="I123" s="13"/>
      <c r="J123" s="13"/>
      <c r="K123" s="13"/>
      <c r="L123" s="13"/>
      <c r="M123" s="13"/>
      <c r="N123" s="13"/>
      <c r="O123" s="13"/>
      <c r="P123" s="197"/>
      <c r="Q123" s="301">
        <f t="shared" si="2"/>
        <v>0</v>
      </c>
      <c r="R123" s="107"/>
      <c r="S123" s="107"/>
      <c r="T123" s="107"/>
    </row>
    <row r="124" spans="1:20" s="10" customFormat="1" ht="12.75">
      <c r="A124" s="11" t="s">
        <v>125</v>
      </c>
      <c r="B124" s="388" t="s">
        <v>88</v>
      </c>
      <c r="C124" s="13">
        <v>1500000</v>
      </c>
      <c r="D124" s="13">
        <v>861083</v>
      </c>
      <c r="E124" s="222">
        <f>1627195+58151</f>
        <v>1685346</v>
      </c>
      <c r="F124" s="64">
        <v>490397.77</v>
      </c>
      <c r="G124" s="64"/>
      <c r="H124" s="64">
        <v>7391</v>
      </c>
      <c r="I124" s="13">
        <v>147820</v>
      </c>
      <c r="J124" s="13"/>
      <c r="K124" s="13"/>
      <c r="L124" s="13">
        <v>129229</v>
      </c>
      <c r="M124" s="13"/>
      <c r="N124" s="13">
        <v>432000</v>
      </c>
      <c r="O124" s="13"/>
      <c r="P124" s="197"/>
      <c r="Q124" s="301">
        <f aca="true" t="shared" si="3" ref="Q124:Q142">SUM(C124:P124)</f>
        <v>5253266.77</v>
      </c>
      <c r="R124" s="107"/>
      <c r="S124" s="107"/>
      <c r="T124" s="107"/>
    </row>
    <row r="125" spans="1:20" s="10" customFormat="1" ht="14.25" customHeight="1">
      <c r="A125" s="11" t="s">
        <v>31</v>
      </c>
      <c r="B125" s="389" t="s">
        <v>88</v>
      </c>
      <c r="C125" s="13">
        <v>528000</v>
      </c>
      <c r="D125" s="13">
        <v>250271</v>
      </c>
      <c r="E125" s="13">
        <f>572773+20469</f>
        <v>593242</v>
      </c>
      <c r="F125" s="13">
        <v>345476.26</v>
      </c>
      <c r="G125" s="13"/>
      <c r="H125" s="13">
        <v>2609</v>
      </c>
      <c r="I125" s="13">
        <v>52180</v>
      </c>
      <c r="J125" s="13"/>
      <c r="K125" s="13"/>
      <c r="L125" s="13">
        <v>25024</v>
      </c>
      <c r="M125" s="13"/>
      <c r="N125" s="13">
        <v>141000</v>
      </c>
      <c r="O125" s="13"/>
      <c r="P125" s="197"/>
      <c r="Q125" s="301">
        <f t="shared" si="3"/>
        <v>1937802.26</v>
      </c>
      <c r="R125" s="107"/>
      <c r="S125" s="107"/>
      <c r="T125" s="107"/>
    </row>
    <row r="126" spans="1:20" s="10" customFormat="1" ht="14.25" customHeight="1">
      <c r="A126" s="11" t="s">
        <v>66</v>
      </c>
      <c r="B126" s="388" t="s">
        <v>88</v>
      </c>
      <c r="C126" s="13"/>
      <c r="D126" s="13">
        <v>41000</v>
      </c>
      <c r="E126" s="13">
        <f>550538+34499</f>
        <v>585037</v>
      </c>
      <c r="F126" s="13">
        <v>685786.52</v>
      </c>
      <c r="G126" s="13"/>
      <c r="H126" s="13"/>
      <c r="I126" s="13"/>
      <c r="J126" s="13"/>
      <c r="K126" s="13"/>
      <c r="M126" s="13"/>
      <c r="N126" s="13">
        <v>320730.25</v>
      </c>
      <c r="O126" s="13"/>
      <c r="P126" s="197"/>
      <c r="Q126" s="301">
        <f t="shared" si="3"/>
        <v>1632553.77</v>
      </c>
      <c r="R126" s="107"/>
      <c r="S126" s="107"/>
      <c r="T126" s="107"/>
    </row>
    <row r="127" spans="1:20" s="10" customFormat="1" ht="14.25" customHeight="1">
      <c r="A127" s="11" t="s">
        <v>126</v>
      </c>
      <c r="B127" s="389" t="s">
        <v>87</v>
      </c>
      <c r="C127" s="13">
        <f>-1500000-528000</f>
        <v>-2028000</v>
      </c>
      <c r="D127" s="13">
        <f>-1111354-41000</f>
        <v>-1152354</v>
      </c>
      <c r="E127" s="13">
        <f>-2750506-113119</f>
        <v>-2863625</v>
      </c>
      <c r="F127" s="13">
        <v>-1521660.55</v>
      </c>
      <c r="G127" s="13"/>
      <c r="H127" s="13"/>
      <c r="I127" s="13"/>
      <c r="J127" s="13"/>
      <c r="K127" s="13"/>
      <c r="L127" s="13">
        <v>-154253</v>
      </c>
      <c r="M127" s="13"/>
      <c r="N127" s="13">
        <v>-893730.25</v>
      </c>
      <c r="O127" s="13"/>
      <c r="P127" s="197"/>
      <c r="Q127" s="301">
        <f t="shared" si="3"/>
        <v>-8613622.8</v>
      </c>
      <c r="R127" s="107"/>
      <c r="S127" s="107"/>
      <c r="T127" s="107"/>
    </row>
    <row r="128" spans="1:20" s="10" customFormat="1" ht="14.25" customHeight="1">
      <c r="A128" s="11" t="s">
        <v>66</v>
      </c>
      <c r="B128" s="388" t="s">
        <v>88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204"/>
      <c r="M128" s="204"/>
      <c r="N128" s="204"/>
      <c r="O128" s="204"/>
      <c r="P128" s="197"/>
      <c r="Q128" s="301">
        <f t="shared" si="3"/>
        <v>0</v>
      </c>
      <c r="R128" s="107"/>
      <c r="S128" s="107"/>
      <c r="T128" s="107"/>
    </row>
    <row r="129" spans="1:20" s="10" customFormat="1" ht="14.25" customHeight="1">
      <c r="A129" s="11" t="s">
        <v>126</v>
      </c>
      <c r="B129" s="389" t="s">
        <v>87</v>
      </c>
      <c r="C129" s="13"/>
      <c r="D129" s="13"/>
      <c r="E129" s="13"/>
      <c r="F129" s="13"/>
      <c r="G129" s="13"/>
      <c r="H129" s="13">
        <v>-10000</v>
      </c>
      <c r="I129" s="13">
        <v>-200000</v>
      </c>
      <c r="J129" s="13"/>
      <c r="K129" s="13"/>
      <c r="L129" s="204"/>
      <c r="M129" s="204"/>
      <c r="N129" s="204"/>
      <c r="O129" s="204"/>
      <c r="P129" s="197"/>
      <c r="Q129" s="301">
        <f t="shared" si="3"/>
        <v>-210000</v>
      </c>
      <c r="R129" s="107"/>
      <c r="S129" s="107"/>
      <c r="T129" s="107"/>
    </row>
    <row r="130" spans="1:20" s="10" customFormat="1" ht="14.25" customHeight="1">
      <c r="A130" s="11" t="s">
        <v>62</v>
      </c>
      <c r="B130" s="389" t="s">
        <v>87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204"/>
      <c r="M130" s="204"/>
      <c r="N130" s="204"/>
      <c r="O130" s="13">
        <f>-58571</f>
        <v>-58571</v>
      </c>
      <c r="P130" s="197"/>
      <c r="Q130" s="798">
        <f t="shared" si="3"/>
        <v>-58571</v>
      </c>
      <c r="R130" s="107"/>
      <c r="S130" s="107"/>
      <c r="T130" s="107"/>
    </row>
    <row r="131" spans="1:20" s="10" customFormat="1" ht="14.25" customHeight="1">
      <c r="A131" s="11" t="s">
        <v>62</v>
      </c>
      <c r="B131" s="389" t="s">
        <v>245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204"/>
      <c r="M131" s="204"/>
      <c r="N131" s="204"/>
      <c r="O131" s="13">
        <v>43322</v>
      </c>
      <c r="P131" s="197"/>
      <c r="Q131" s="798">
        <f t="shared" si="3"/>
        <v>43322</v>
      </c>
      <c r="R131" s="107"/>
      <c r="S131" s="107"/>
      <c r="T131" s="107"/>
    </row>
    <row r="132" spans="1:20" s="10" customFormat="1" ht="14.25" customHeight="1">
      <c r="A132" s="11" t="s">
        <v>62</v>
      </c>
      <c r="B132" s="389" t="s">
        <v>133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204"/>
      <c r="M132" s="204"/>
      <c r="N132" s="204"/>
      <c r="O132" s="13">
        <v>15249</v>
      </c>
      <c r="P132" s="197"/>
      <c r="Q132" s="798">
        <f t="shared" si="3"/>
        <v>15249</v>
      </c>
      <c r="R132" s="107"/>
      <c r="S132" s="107"/>
      <c r="T132" s="107"/>
    </row>
    <row r="133" spans="1:20" s="10" customFormat="1" ht="12.75">
      <c r="A133" s="11" t="s">
        <v>131</v>
      </c>
      <c r="B133" s="390" t="s">
        <v>87</v>
      </c>
      <c r="C133" s="64">
        <v>2370</v>
      </c>
      <c r="D133" s="64">
        <v>1616</v>
      </c>
      <c r="E133" s="64">
        <v>1508</v>
      </c>
      <c r="F133" s="64">
        <v>1400</v>
      </c>
      <c r="G133" s="64">
        <f>1616</f>
        <v>1616</v>
      </c>
      <c r="H133" s="64">
        <f>1830</f>
        <v>1830</v>
      </c>
      <c r="I133" s="210">
        <f>1508</f>
        <v>1508</v>
      </c>
      <c r="J133" s="64"/>
      <c r="K133" s="64"/>
      <c r="L133" s="64">
        <f>323</f>
        <v>323</v>
      </c>
      <c r="M133" s="64"/>
      <c r="N133" s="64">
        <f>400</f>
        <v>400</v>
      </c>
      <c r="O133" s="64">
        <f>-12571</f>
        <v>-12571</v>
      </c>
      <c r="P133" s="64"/>
      <c r="Q133" s="301">
        <f t="shared" si="3"/>
        <v>0</v>
      </c>
      <c r="R133" s="107">
        <f>R134+R138</f>
        <v>0</v>
      </c>
      <c r="S133" s="107"/>
      <c r="T133" s="107"/>
    </row>
    <row r="134" spans="1:20" s="10" customFormat="1" ht="12.75">
      <c r="A134" s="11" t="s">
        <v>132</v>
      </c>
      <c r="B134" s="390" t="s">
        <v>87</v>
      </c>
      <c r="C134" s="64">
        <f>835</f>
        <v>835</v>
      </c>
      <c r="D134" s="64">
        <f>569</f>
        <v>569</v>
      </c>
      <c r="E134" s="64">
        <f>531</f>
        <v>531</v>
      </c>
      <c r="F134" s="64">
        <f>493</f>
        <v>493</v>
      </c>
      <c r="G134" s="64">
        <f>569</f>
        <v>569</v>
      </c>
      <c r="H134" s="64">
        <f>645</f>
        <v>645</v>
      </c>
      <c r="I134" s="210">
        <f>531</f>
        <v>531</v>
      </c>
      <c r="J134" s="115"/>
      <c r="K134" s="64"/>
      <c r="L134" s="64">
        <f>114</f>
        <v>114</v>
      </c>
      <c r="M134" s="64"/>
      <c r="N134" s="458">
        <f>141</f>
        <v>141</v>
      </c>
      <c r="O134" s="64">
        <f>-4428</f>
        <v>-4428</v>
      </c>
      <c r="P134" s="64"/>
      <c r="Q134" s="301">
        <f t="shared" si="3"/>
        <v>0</v>
      </c>
      <c r="R134" s="107">
        <f>C135+D135+E135+F135+G135+H135+I135</f>
        <v>46300</v>
      </c>
      <c r="S134" s="107"/>
      <c r="T134" s="107"/>
    </row>
    <row r="135" spans="1:20" s="10" customFormat="1" ht="14.25" customHeight="1">
      <c r="A135" s="12" t="s">
        <v>64</v>
      </c>
      <c r="B135" s="389" t="s">
        <v>88</v>
      </c>
      <c r="C135" s="13">
        <f>3000+3000+1300+2000</f>
        <v>9300</v>
      </c>
      <c r="D135" s="13">
        <f>2000+5000</f>
        <v>7000</v>
      </c>
      <c r="E135" s="13">
        <f>2500+3000</f>
        <v>5500</v>
      </c>
      <c r="F135" s="13">
        <f>3000+2500+2000+2000</f>
        <v>9500</v>
      </c>
      <c r="G135" s="13">
        <f>2000+3000+3000</f>
        <v>8000</v>
      </c>
      <c r="H135" s="13">
        <f>3000+2000</f>
        <v>5000</v>
      </c>
      <c r="I135" s="13">
        <f>2000</f>
        <v>2000</v>
      </c>
      <c r="J135" s="13"/>
      <c r="K135" s="13"/>
      <c r="L135" s="13"/>
      <c r="M135" s="13"/>
      <c r="N135" s="13">
        <f>16711+23400</f>
        <v>40111</v>
      </c>
      <c r="O135" s="13">
        <f>SUM(C135:N135)*-1</f>
        <v>-86411</v>
      </c>
      <c r="P135" s="13"/>
      <c r="Q135" s="798">
        <f t="shared" si="3"/>
        <v>0</v>
      </c>
      <c r="R135" s="107"/>
      <c r="S135" s="107"/>
      <c r="T135" s="107"/>
    </row>
    <row r="136" spans="1:20" s="10" customFormat="1" ht="14.25" customHeight="1">
      <c r="A136" s="12" t="s">
        <v>32</v>
      </c>
      <c r="B136" s="389" t="s">
        <v>88</v>
      </c>
      <c r="C136" s="13">
        <f>1056+1056+458+704</f>
        <v>3274</v>
      </c>
      <c r="D136" s="13">
        <f>704+1760</f>
        <v>2464</v>
      </c>
      <c r="E136" s="13">
        <f>880+1056</f>
        <v>1936</v>
      </c>
      <c r="F136" s="13">
        <f>1056+880+704+704</f>
        <v>3344</v>
      </c>
      <c r="G136" s="13">
        <f>704+1056+1056</f>
        <v>2816</v>
      </c>
      <c r="H136" s="13">
        <f>1056+704</f>
        <v>1760</v>
      </c>
      <c r="I136" s="13">
        <f>704</f>
        <v>704</v>
      </c>
      <c r="J136" s="13"/>
      <c r="K136" s="13"/>
      <c r="L136" s="13"/>
      <c r="M136" s="13"/>
      <c r="N136" s="13">
        <f>5883+8237</f>
        <v>14120</v>
      </c>
      <c r="O136" s="13">
        <f>SUM(C136:N136)*-1</f>
        <v>-30418</v>
      </c>
      <c r="P136" s="13"/>
      <c r="Q136" s="798">
        <f t="shared" si="3"/>
        <v>0</v>
      </c>
      <c r="R136" s="107">
        <f>Q135+Q136</f>
        <v>0</v>
      </c>
      <c r="S136" s="107"/>
      <c r="T136" s="107"/>
    </row>
    <row r="137" spans="1:20" s="10" customFormat="1" ht="14.25" customHeight="1">
      <c r="A137" s="214" t="s">
        <v>129</v>
      </c>
      <c r="B137" s="389" t="s">
        <v>88</v>
      </c>
      <c r="C137" s="13">
        <v>100</v>
      </c>
      <c r="D137" s="13">
        <v>200</v>
      </c>
      <c r="E137" s="13">
        <v>300</v>
      </c>
      <c r="F137" s="13">
        <v>300</v>
      </c>
      <c r="G137" s="13"/>
      <c r="H137" s="13">
        <v>200</v>
      </c>
      <c r="I137" s="13"/>
      <c r="J137" s="13"/>
      <c r="K137" s="13"/>
      <c r="L137" s="13"/>
      <c r="M137" s="13"/>
      <c r="N137" s="13">
        <v>300</v>
      </c>
      <c r="O137" s="13">
        <v>-1400</v>
      </c>
      <c r="P137" s="13"/>
      <c r="Q137" s="301">
        <f t="shared" si="3"/>
        <v>0</v>
      </c>
      <c r="R137" s="107"/>
      <c r="S137" s="107"/>
      <c r="T137" s="107"/>
    </row>
    <row r="138" spans="1:20" s="10" customFormat="1" ht="14.25" customHeight="1">
      <c r="A138" s="214" t="s">
        <v>130</v>
      </c>
      <c r="B138" s="389" t="s">
        <v>88</v>
      </c>
      <c r="C138" s="13">
        <v>36</v>
      </c>
      <c r="D138" s="13">
        <v>71</v>
      </c>
      <c r="E138" s="13">
        <v>106</v>
      </c>
      <c r="F138" s="13">
        <v>106</v>
      </c>
      <c r="G138" s="13"/>
      <c r="H138" s="13">
        <v>71</v>
      </c>
      <c r="I138" s="13"/>
      <c r="J138" s="13"/>
      <c r="K138" s="13"/>
      <c r="L138" s="13"/>
      <c r="M138" s="13"/>
      <c r="N138" s="13">
        <v>106</v>
      </c>
      <c r="O138" s="13">
        <v>-496</v>
      </c>
      <c r="P138" s="13"/>
      <c r="Q138" s="301">
        <f t="shared" si="3"/>
        <v>0</v>
      </c>
      <c r="R138" s="107">
        <f>N135+O135</f>
        <v>-46300</v>
      </c>
      <c r="S138" s="107"/>
      <c r="T138" s="107"/>
    </row>
    <row r="139" spans="1:20" s="10" customFormat="1" ht="12.75" customHeight="1">
      <c r="A139" s="214" t="s">
        <v>64</v>
      </c>
      <c r="B139" s="388" t="s">
        <v>87</v>
      </c>
      <c r="C139" s="64"/>
      <c r="D139" s="64"/>
      <c r="E139" s="64"/>
      <c r="F139" s="64"/>
      <c r="G139" s="64"/>
      <c r="H139" s="64"/>
      <c r="I139" s="64"/>
      <c r="J139" s="208"/>
      <c r="K139" s="208"/>
      <c r="L139" s="64"/>
      <c r="M139" s="64"/>
      <c r="N139" s="64"/>
      <c r="O139" s="64"/>
      <c r="P139" s="198"/>
      <c r="Q139" s="301">
        <f t="shared" si="3"/>
        <v>0</v>
      </c>
      <c r="R139" s="107"/>
      <c r="S139" s="107"/>
      <c r="T139" s="107"/>
    </row>
    <row r="140" spans="1:20" s="10" customFormat="1" ht="13.5" thickBot="1">
      <c r="A140" s="215" t="s">
        <v>32</v>
      </c>
      <c r="B140" s="391" t="s">
        <v>87</v>
      </c>
      <c r="C140" s="129"/>
      <c r="D140" s="129"/>
      <c r="E140" s="129"/>
      <c r="F140" s="129"/>
      <c r="G140" s="129"/>
      <c r="H140" s="129"/>
      <c r="I140" s="118"/>
      <c r="J140" s="118"/>
      <c r="K140" s="118"/>
      <c r="L140" s="118"/>
      <c r="M140" s="118"/>
      <c r="N140" s="118"/>
      <c r="O140" s="118"/>
      <c r="P140" s="119"/>
      <c r="Q140" s="302">
        <f t="shared" si="3"/>
        <v>0</v>
      </c>
      <c r="R140" s="107"/>
      <c r="S140" s="107"/>
      <c r="T140" s="107"/>
    </row>
    <row r="141" spans="1:20" ht="15.75" customHeight="1" thickBot="1">
      <c r="A141" s="173" t="s">
        <v>33</v>
      </c>
      <c r="B141" s="220"/>
      <c r="C141" s="168">
        <f aca="true" t="shared" si="4" ref="C141:M141">SUM(C7:C140)</f>
        <v>2409648.030000001</v>
      </c>
      <c r="D141" s="168">
        <f>SUM(D7:D140)-D68-D69</f>
        <v>1689594.6999999997</v>
      </c>
      <c r="E141" s="168">
        <f>SUM(E7:E140)-E68</f>
        <v>2856729.51</v>
      </c>
      <c r="F141" s="168">
        <f>SUM(F7:F140)-F69</f>
        <v>3941976.3999999994</v>
      </c>
      <c r="G141" s="168">
        <f t="shared" si="4"/>
        <v>994062.5600000002</v>
      </c>
      <c r="H141" s="168">
        <f t="shared" si="4"/>
        <v>1781973.7</v>
      </c>
      <c r="I141" s="168">
        <f t="shared" si="4"/>
        <v>611229.3300000002</v>
      </c>
      <c r="J141" s="168">
        <f t="shared" si="4"/>
        <v>397409.11</v>
      </c>
      <c r="K141" s="168">
        <f t="shared" si="4"/>
        <v>5000</v>
      </c>
      <c r="L141" s="168">
        <f t="shared" si="4"/>
        <v>192298.32</v>
      </c>
      <c r="M141" s="168">
        <f t="shared" si="4"/>
        <v>0</v>
      </c>
      <c r="N141" s="168">
        <f>SUM(N6:N140)-N68</f>
        <v>1712474.8600000003</v>
      </c>
      <c r="O141" s="168">
        <f>SUM(O6:O140)</f>
        <v>-709326.15</v>
      </c>
      <c r="P141" s="168">
        <f>SUM(P6:P140)</f>
        <v>-1064339</v>
      </c>
      <c r="Q141" s="168">
        <f t="shared" si="3"/>
        <v>14818731.37</v>
      </c>
      <c r="R141" s="107"/>
      <c r="S141" s="107"/>
      <c r="T141" s="107"/>
    </row>
    <row r="142" spans="1:20" ht="18" customHeight="1" thickBot="1">
      <c r="A142" s="14" t="s">
        <v>34</v>
      </c>
      <c r="B142" s="221"/>
      <c r="C142" s="169">
        <f aca="true" t="shared" si="5" ref="C142:P142">C141-C7-C8-C9-C10</f>
        <v>1693258.0300000012</v>
      </c>
      <c r="D142" s="169">
        <f>D141-D7-D8-D9-D10</f>
        <v>898259.3399999999</v>
      </c>
      <c r="E142" s="169">
        <f t="shared" si="5"/>
        <v>1587495.71</v>
      </c>
      <c r="F142" s="169">
        <f t="shared" si="5"/>
        <v>1777113.3799999994</v>
      </c>
      <c r="G142" s="169">
        <f t="shared" si="5"/>
        <v>902464.5600000002</v>
      </c>
      <c r="H142" s="169">
        <f t="shared" si="5"/>
        <v>1257310.23</v>
      </c>
      <c r="I142" s="169">
        <f t="shared" si="5"/>
        <v>335863.0300000002</v>
      </c>
      <c r="J142" s="169">
        <f t="shared" si="5"/>
        <v>397409.11</v>
      </c>
      <c r="K142" s="169">
        <f t="shared" si="5"/>
        <v>5000</v>
      </c>
      <c r="L142" s="169">
        <f t="shared" si="5"/>
        <v>192298.32</v>
      </c>
      <c r="M142" s="169">
        <f t="shared" si="5"/>
        <v>0</v>
      </c>
      <c r="N142" s="169">
        <f>N141-N7-N8-N9-N10</f>
        <v>1668829.8600000003</v>
      </c>
      <c r="O142" s="169">
        <f>O141-O7-O8-O9-O10</f>
        <v>-709326.15</v>
      </c>
      <c r="P142" s="169">
        <f t="shared" si="5"/>
        <v>-1064339</v>
      </c>
      <c r="Q142" s="169">
        <f t="shared" si="3"/>
        <v>8941636.42</v>
      </c>
      <c r="R142" s="107">
        <f>'súhrnná po AS'!S9-úpravy!Q4</f>
        <v>8941636.415819764</v>
      </c>
      <c r="S142" s="107"/>
      <c r="T142" s="107"/>
    </row>
    <row r="143" spans="1:20" ht="19.5" customHeight="1" thickBot="1">
      <c r="A143" s="74" t="s">
        <v>80</v>
      </c>
      <c r="B143" s="217"/>
      <c r="C143" s="170">
        <f>C4+C141</f>
        <v>12529556.030000001</v>
      </c>
      <c r="D143" s="170">
        <f aca="true" t="shared" si="6" ref="D143:M143">D4+D141+D6</f>
        <v>5895003.699999999</v>
      </c>
      <c r="E143" s="170">
        <f t="shared" si="6"/>
        <v>12067331.51</v>
      </c>
      <c r="F143" s="170">
        <f t="shared" si="6"/>
        <v>13871601.399999999</v>
      </c>
      <c r="G143" s="170">
        <f t="shared" si="6"/>
        <v>4574603.564180236</v>
      </c>
      <c r="H143" s="170">
        <f t="shared" si="6"/>
        <v>9645324.7</v>
      </c>
      <c r="I143" s="170">
        <f t="shared" si="6"/>
        <v>3615584.33</v>
      </c>
      <c r="J143" s="170">
        <f t="shared" si="6"/>
        <v>3072980.11</v>
      </c>
      <c r="K143" s="170">
        <f t="shared" si="6"/>
        <v>75076</v>
      </c>
      <c r="L143" s="170">
        <f t="shared" si="6"/>
        <v>945584.3200000001</v>
      </c>
      <c r="M143" s="170">
        <f t="shared" si="6"/>
        <v>248311</v>
      </c>
      <c r="N143" s="170">
        <f>N4+N141</f>
        <v>4532336.86</v>
      </c>
      <c r="O143" s="170">
        <f>O4+O141+O6</f>
        <v>2389716.85</v>
      </c>
      <c r="P143" s="170">
        <f>P4+P141</f>
        <v>451716</v>
      </c>
      <c r="Q143" s="170">
        <f>Q4+Q141</f>
        <v>73914726.37418024</v>
      </c>
      <c r="R143" s="107">
        <f>Q143-'súhrnná po AS'!S7</f>
        <v>0.004180252552032471</v>
      </c>
      <c r="S143" s="107"/>
      <c r="T143" s="107"/>
    </row>
    <row r="144" spans="1:20" ht="29.25" customHeight="1" thickBot="1">
      <c r="A144" s="799" t="s">
        <v>81</v>
      </c>
      <c r="B144" s="800"/>
      <c r="C144" s="171">
        <f aca="true" t="shared" si="7" ref="C144:Q144">C4+C142</f>
        <v>11813166.030000001</v>
      </c>
      <c r="D144" s="167">
        <f t="shared" si="7"/>
        <v>5103668.34</v>
      </c>
      <c r="E144" s="171">
        <f t="shared" si="7"/>
        <v>10798097.71</v>
      </c>
      <c r="F144" s="171">
        <f t="shared" si="7"/>
        <v>11706738.379999999</v>
      </c>
      <c r="G144" s="171">
        <f t="shared" si="7"/>
        <v>4483005.564180236</v>
      </c>
      <c r="H144" s="171">
        <f t="shared" si="7"/>
        <v>9120661.23</v>
      </c>
      <c r="I144" s="195">
        <f t="shared" si="7"/>
        <v>3340218.0300000003</v>
      </c>
      <c r="J144" s="171">
        <f t="shared" si="7"/>
        <v>3072980.11</v>
      </c>
      <c r="K144" s="171">
        <f t="shared" si="7"/>
        <v>75076</v>
      </c>
      <c r="L144" s="171">
        <f t="shared" si="7"/>
        <v>945584.3200000001</v>
      </c>
      <c r="M144" s="171">
        <f t="shared" si="7"/>
        <v>248311</v>
      </c>
      <c r="N144" s="171">
        <f t="shared" si="7"/>
        <v>4488691.86</v>
      </c>
      <c r="O144" s="171">
        <f t="shared" si="7"/>
        <v>2389716.85</v>
      </c>
      <c r="P144" s="171">
        <f t="shared" si="7"/>
        <v>451716</v>
      </c>
      <c r="Q144" s="171">
        <f t="shared" si="7"/>
        <v>68037631.42418024</v>
      </c>
      <c r="R144" s="172">
        <f>P143-P5</f>
        <v>99055</v>
      </c>
      <c r="S144" s="107"/>
      <c r="T144" s="107"/>
    </row>
    <row r="145" spans="1:20" s="10" customFormat="1" ht="14.25" customHeight="1">
      <c r="A145" s="3"/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07"/>
      <c r="S145" s="107"/>
      <c r="T145" s="107"/>
    </row>
    <row r="146" spans="1:20" s="18" customFormat="1" ht="12.75">
      <c r="A146" s="121"/>
      <c r="B146" s="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20"/>
      <c r="S146" s="120"/>
      <c r="T146" s="120"/>
    </row>
    <row r="147" spans="1:20" s="18" customFormat="1" ht="12.75">
      <c r="A147" s="122" t="s">
        <v>51</v>
      </c>
      <c r="B147" s="17"/>
      <c r="C147" s="56">
        <f>C143-'súhrnná po AS'!C7</f>
        <v>0</v>
      </c>
      <c r="D147" s="56">
        <f>D143-'súhrnná po AS'!D7</f>
        <v>0</v>
      </c>
      <c r="E147" s="56">
        <f>E143-'súhrnná po AS'!E7</f>
        <v>0</v>
      </c>
      <c r="F147" s="56">
        <f>F143-'súhrnná po AS'!F7</f>
        <v>0</v>
      </c>
      <c r="G147" s="56">
        <f>G143-'súhrnná po AS'!G7</f>
        <v>0.004180235788226128</v>
      </c>
      <c r="H147" s="56">
        <f>H143-'súhrnná po AS'!H7</f>
        <v>0</v>
      </c>
      <c r="I147" s="56">
        <f>I143-'súhrnná po AS'!I7</f>
        <v>0</v>
      </c>
      <c r="J147" s="56">
        <f>J143-'súhrnná po AS'!M7</f>
        <v>0</v>
      </c>
      <c r="K147" s="56">
        <f>K143-'súhrnná po AS'!N7</f>
        <v>0</v>
      </c>
      <c r="L147" s="56">
        <f>L143-'súhrnná po AS'!J7</f>
        <v>0</v>
      </c>
      <c r="M147" s="56">
        <f>M143-'súhrnná po AS'!K7</f>
        <v>0</v>
      </c>
      <c r="N147" s="56">
        <f>N143-'súhrnná po AS'!O7</f>
        <v>-99055</v>
      </c>
      <c r="O147" s="56">
        <f>O143-'súhrnná po AS'!P7</f>
        <v>0</v>
      </c>
      <c r="P147" s="56">
        <f>P143-'súhrnná po AS'!R7-'súhrnná po AS'!Q7</f>
        <v>99055</v>
      </c>
      <c r="Q147" s="56">
        <f>Q143-'súhrnná po AS'!S7</f>
        <v>0.004180252552032471</v>
      </c>
      <c r="R147" s="120"/>
      <c r="S147" s="120">
        <f>Q5-Q4</f>
        <v>14818731.365819767</v>
      </c>
      <c r="T147" s="120"/>
    </row>
    <row r="148" spans="1:20" ht="16.5" customHeight="1" thickBot="1">
      <c r="A148" s="77" t="s">
        <v>35</v>
      </c>
      <c r="B148" s="77"/>
      <c r="C148" s="19"/>
      <c r="D148" s="387"/>
      <c r="E148" s="19"/>
      <c r="F148" s="19"/>
      <c r="G148" s="387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07"/>
      <c r="S148" s="107"/>
      <c r="T148" s="107"/>
    </row>
    <row r="149" spans="1:20" ht="13.5" thickBot="1">
      <c r="A149" s="104"/>
      <c r="B149" s="123"/>
      <c r="C149" s="230" t="s">
        <v>1</v>
      </c>
      <c r="D149" s="232" t="s">
        <v>2</v>
      </c>
      <c r="E149" s="232" t="s">
        <v>3</v>
      </c>
      <c r="F149" s="234" t="s">
        <v>4</v>
      </c>
      <c r="G149" s="232" t="s">
        <v>5</v>
      </c>
      <c r="H149" s="234" t="s">
        <v>6</v>
      </c>
      <c r="I149" s="232" t="s">
        <v>7</v>
      </c>
      <c r="J149" s="234" t="s">
        <v>21</v>
      </c>
      <c r="K149" s="232"/>
      <c r="L149" s="234" t="s">
        <v>9</v>
      </c>
      <c r="M149" s="232"/>
      <c r="N149" s="234" t="s">
        <v>22</v>
      </c>
      <c r="O149" s="232"/>
      <c r="P149" s="234" t="s">
        <v>23</v>
      </c>
      <c r="Q149" s="124" t="s">
        <v>24</v>
      </c>
      <c r="R149" s="107"/>
      <c r="S149" s="107"/>
      <c r="T149" s="107"/>
    </row>
    <row r="150" spans="1:20" ht="21" customHeight="1" thickBot="1">
      <c r="A150" s="74" t="s">
        <v>244</v>
      </c>
      <c r="B150" s="125"/>
      <c r="C150" s="235">
        <v>0</v>
      </c>
      <c r="D150" s="126">
        <v>0</v>
      </c>
      <c r="E150" s="126">
        <v>0</v>
      </c>
      <c r="F150" s="235">
        <v>0</v>
      </c>
      <c r="G150" s="126">
        <v>0</v>
      </c>
      <c r="H150" s="235">
        <v>0</v>
      </c>
      <c r="I150" s="126">
        <v>0</v>
      </c>
      <c r="J150" s="235">
        <v>0</v>
      </c>
      <c r="K150" s="126">
        <v>0</v>
      </c>
      <c r="L150" s="235">
        <v>0</v>
      </c>
      <c r="M150" s="126"/>
      <c r="N150" s="235"/>
      <c r="O150" s="126">
        <v>0</v>
      </c>
      <c r="P150" s="235">
        <v>0</v>
      </c>
      <c r="Q150" s="126">
        <f>SUM(C150:P150)</f>
        <v>0</v>
      </c>
      <c r="R150" s="107"/>
      <c r="S150" s="107"/>
      <c r="T150" s="107"/>
    </row>
    <row r="151" spans="1:20" ht="21" customHeight="1" thickBot="1">
      <c r="A151" s="801" t="s">
        <v>36</v>
      </c>
      <c r="B151" s="802"/>
      <c r="C151" s="616">
        <f>C182</f>
        <v>0</v>
      </c>
      <c r="D151" s="109">
        <f aca="true" t="shared" si="8" ref="D151:P151">D182</f>
        <v>180000</v>
      </c>
      <c r="E151" s="109">
        <f t="shared" si="8"/>
        <v>370000</v>
      </c>
      <c r="F151" s="615">
        <f t="shared" si="8"/>
        <v>0</v>
      </c>
      <c r="G151" s="109">
        <f t="shared" si="8"/>
        <v>0</v>
      </c>
      <c r="H151" s="615">
        <f t="shared" si="8"/>
        <v>0</v>
      </c>
      <c r="I151" s="109">
        <f t="shared" si="8"/>
        <v>0</v>
      </c>
      <c r="J151" s="615">
        <f>J153+J154+J155+J156+J157+J158+J159+J178+J162+J163+J164+J165+J166+J167+J168+J169+J170</f>
        <v>4620207</v>
      </c>
      <c r="K151" s="109">
        <f t="shared" si="8"/>
        <v>0</v>
      </c>
      <c r="L151" s="615">
        <f t="shared" si="8"/>
        <v>0</v>
      </c>
      <c r="M151" s="109"/>
      <c r="N151" s="615"/>
      <c r="O151" s="109">
        <f t="shared" si="8"/>
        <v>0</v>
      </c>
      <c r="P151" s="615">
        <f t="shared" si="8"/>
        <v>0</v>
      </c>
      <c r="Q151" s="109">
        <f>H151+J151+D151+E151</f>
        <v>5170207</v>
      </c>
      <c r="R151" s="107"/>
      <c r="S151" s="107"/>
      <c r="T151" s="107"/>
    </row>
    <row r="152" spans="1:20" ht="12.75">
      <c r="A152" s="732" t="s">
        <v>63</v>
      </c>
      <c r="B152" s="738" t="s">
        <v>25</v>
      </c>
      <c r="C152" s="236"/>
      <c r="D152" s="735"/>
      <c r="E152" s="128"/>
      <c r="F152" s="236"/>
      <c r="G152" s="128"/>
      <c r="H152" s="236"/>
      <c r="I152" s="128"/>
      <c r="J152" s="236"/>
      <c r="K152" s="128"/>
      <c r="L152" s="236"/>
      <c r="M152" s="128"/>
      <c r="N152" s="236"/>
      <c r="O152" s="128"/>
      <c r="P152" s="236"/>
      <c r="Q152" s="116"/>
      <c r="R152" s="107"/>
      <c r="S152" s="107"/>
      <c r="T152" s="107"/>
    </row>
    <row r="153" spans="1:20" ht="25.5">
      <c r="A153" s="736" t="s">
        <v>207</v>
      </c>
      <c r="B153" s="260" t="s">
        <v>123</v>
      </c>
      <c r="C153" s="223"/>
      <c r="D153" s="64"/>
      <c r="E153" s="64"/>
      <c r="F153" s="223"/>
      <c r="G153" s="64"/>
      <c r="H153" s="223"/>
      <c r="I153" s="64"/>
      <c r="J153" s="223">
        <v>350000</v>
      </c>
      <c r="K153" s="64"/>
      <c r="L153" s="223"/>
      <c r="M153" s="64"/>
      <c r="N153" s="223"/>
      <c r="O153" s="64"/>
      <c r="P153" s="223"/>
      <c r="Q153" s="115">
        <f aca="true" t="shared" si="9" ref="Q153:Q177">SUM(C153:P153)</f>
        <v>350000</v>
      </c>
      <c r="R153" s="107"/>
      <c r="S153" s="107"/>
      <c r="T153" s="107"/>
    </row>
    <row r="154" spans="1:20" ht="25.5">
      <c r="A154" s="736" t="s">
        <v>208</v>
      </c>
      <c r="B154" s="260" t="s">
        <v>123</v>
      </c>
      <c r="C154" s="223"/>
      <c r="D154" s="64"/>
      <c r="E154" s="64"/>
      <c r="F154" s="223"/>
      <c r="G154" s="64"/>
      <c r="H154" s="223"/>
      <c r="I154" s="64"/>
      <c r="J154" s="223">
        <v>709792</v>
      </c>
      <c r="K154" s="64"/>
      <c r="L154" s="223"/>
      <c r="M154" s="64"/>
      <c r="N154" s="223"/>
      <c r="O154" s="64"/>
      <c r="P154" s="223"/>
      <c r="Q154" s="115">
        <f t="shared" si="9"/>
        <v>709792</v>
      </c>
      <c r="R154" s="107"/>
      <c r="S154" s="107"/>
      <c r="T154" s="107"/>
    </row>
    <row r="155" spans="1:20" ht="25.5">
      <c r="A155" s="736" t="s">
        <v>209</v>
      </c>
      <c r="B155" s="260" t="s">
        <v>123</v>
      </c>
      <c r="C155" s="223"/>
      <c r="D155" s="64"/>
      <c r="E155" s="64"/>
      <c r="F155" s="223"/>
      <c r="G155" s="64"/>
      <c r="H155" s="223"/>
      <c r="I155" s="64"/>
      <c r="J155" s="223">
        <v>61000</v>
      </c>
      <c r="K155" s="64"/>
      <c r="L155" s="223"/>
      <c r="M155" s="64"/>
      <c r="N155" s="223"/>
      <c r="O155" s="64"/>
      <c r="P155" s="223"/>
      <c r="Q155" s="115">
        <f t="shared" si="9"/>
        <v>61000</v>
      </c>
      <c r="R155" s="107"/>
      <c r="S155" s="107"/>
      <c r="T155" s="107"/>
    </row>
    <row r="156" spans="1:20" ht="26.25" thickBot="1">
      <c r="A156" s="736" t="s">
        <v>210</v>
      </c>
      <c r="B156" s="260" t="s">
        <v>123</v>
      </c>
      <c r="C156" s="775"/>
      <c r="D156" s="64"/>
      <c r="E156" s="64"/>
      <c r="F156" s="223"/>
      <c r="G156" s="64"/>
      <c r="H156" s="223"/>
      <c r="I156" s="64"/>
      <c r="J156" s="223">
        <v>117000</v>
      </c>
      <c r="K156" s="64"/>
      <c r="L156" s="223"/>
      <c r="M156" s="64"/>
      <c r="N156" s="223"/>
      <c r="O156" s="64"/>
      <c r="P156" s="223"/>
      <c r="Q156" s="115">
        <f t="shared" si="9"/>
        <v>117000</v>
      </c>
      <c r="R156" s="107"/>
      <c r="S156" s="107"/>
      <c r="T156" s="107"/>
    </row>
    <row r="157" spans="1:20" ht="25.5">
      <c r="A157" s="736" t="s">
        <v>211</v>
      </c>
      <c r="B157" s="260" t="s">
        <v>123</v>
      </c>
      <c r="C157" s="621"/>
      <c r="D157" s="64"/>
      <c r="E157" s="64"/>
      <c r="F157" s="223"/>
      <c r="G157" s="64"/>
      <c r="H157" s="223"/>
      <c r="I157" s="64"/>
      <c r="J157" s="223">
        <v>992000</v>
      </c>
      <c r="K157" s="64"/>
      <c r="L157" s="223"/>
      <c r="M157" s="64"/>
      <c r="N157" s="223"/>
      <c r="O157" s="64"/>
      <c r="P157" s="223"/>
      <c r="Q157" s="115">
        <f t="shared" si="9"/>
        <v>992000</v>
      </c>
      <c r="R157" s="107"/>
      <c r="S157" s="107"/>
      <c r="T157" s="107"/>
    </row>
    <row r="158" spans="1:20" ht="26.25" thickBot="1">
      <c r="A158" s="736" t="s">
        <v>212</v>
      </c>
      <c r="B158" s="260" t="s">
        <v>123</v>
      </c>
      <c r="C158" s="776"/>
      <c r="D158" s="776"/>
      <c r="E158" s="64"/>
      <c r="F158" s="223"/>
      <c r="G158" s="64"/>
      <c r="H158" s="223">
        <v>270208</v>
      </c>
      <c r="I158" s="64"/>
      <c r="J158" s="223"/>
      <c r="K158" s="64"/>
      <c r="L158" s="223"/>
      <c r="M158" s="64"/>
      <c r="N158" s="223"/>
      <c r="O158" s="64"/>
      <c r="P158" s="223"/>
      <c r="Q158" s="115">
        <f t="shared" si="9"/>
        <v>270208</v>
      </c>
      <c r="R158" s="107"/>
      <c r="S158" s="107"/>
      <c r="T158" s="107"/>
    </row>
    <row r="159" spans="1:20" ht="26.25" thickBot="1">
      <c r="A159" s="737" t="s">
        <v>213</v>
      </c>
      <c r="B159" s="739" t="s">
        <v>88</v>
      </c>
      <c r="C159" s="777"/>
      <c r="D159" s="777"/>
      <c r="E159" s="733">
        <v>370000</v>
      </c>
      <c r="F159" s="734"/>
      <c r="G159" s="733"/>
      <c r="H159" s="734"/>
      <c r="I159" s="733"/>
      <c r="J159" s="734"/>
      <c r="K159" s="128"/>
      <c r="L159" s="236"/>
      <c r="M159" s="128"/>
      <c r="N159" s="236"/>
      <c r="O159" s="128"/>
      <c r="P159" s="236"/>
      <c r="Q159" s="614">
        <f t="shared" si="9"/>
        <v>370000</v>
      </c>
      <c r="R159" s="107"/>
      <c r="S159" s="107"/>
      <c r="T159" s="107"/>
    </row>
    <row r="160" spans="1:20" ht="26.25" thickBot="1">
      <c r="A160" s="737" t="s">
        <v>214</v>
      </c>
      <c r="B160" s="762" t="s">
        <v>88</v>
      </c>
      <c r="C160" s="777"/>
      <c r="D160" s="228">
        <v>180000</v>
      </c>
      <c r="E160" s="13"/>
      <c r="F160" s="224"/>
      <c r="G160" s="13"/>
      <c r="H160" s="224"/>
      <c r="I160" s="13"/>
      <c r="J160" s="224"/>
      <c r="K160" s="13"/>
      <c r="L160" s="224"/>
      <c r="M160" s="13"/>
      <c r="N160" s="224"/>
      <c r="O160" s="13"/>
      <c r="P160" s="224"/>
      <c r="Q160" s="614">
        <f t="shared" si="9"/>
        <v>180000</v>
      </c>
      <c r="R160" s="107"/>
      <c r="S160" s="107"/>
      <c r="T160" s="107"/>
    </row>
    <row r="161" spans="1:20" ht="25.5">
      <c r="A161" s="66" t="s">
        <v>205</v>
      </c>
      <c r="B161" s="260" t="s">
        <v>123</v>
      </c>
      <c r="C161" s="224"/>
      <c r="D161" s="13"/>
      <c r="E161" s="13"/>
      <c r="F161" s="224"/>
      <c r="G161" s="13"/>
      <c r="H161" s="224">
        <v>-270208</v>
      </c>
      <c r="I161" s="13"/>
      <c r="J161" s="224"/>
      <c r="K161" s="13"/>
      <c r="L161" s="224"/>
      <c r="M161" s="13"/>
      <c r="N161" s="224"/>
      <c r="O161" s="13"/>
      <c r="P161" s="224"/>
      <c r="Q161" s="614">
        <f t="shared" si="9"/>
        <v>-270208</v>
      </c>
      <c r="R161" s="107"/>
      <c r="S161" s="107"/>
      <c r="T161" s="107"/>
    </row>
    <row r="162" spans="1:20" ht="25.5">
      <c r="A162" s="736" t="s">
        <v>206</v>
      </c>
      <c r="B162" s="260" t="s">
        <v>88</v>
      </c>
      <c r="C162" s="224"/>
      <c r="D162" s="13"/>
      <c r="E162" s="13"/>
      <c r="F162" s="224"/>
      <c r="G162" s="13"/>
      <c r="H162" s="224"/>
      <c r="I162" s="13"/>
      <c r="J162" s="224">
        <v>270208</v>
      </c>
      <c r="K162" s="13"/>
      <c r="L162" s="224"/>
      <c r="M162" s="13"/>
      <c r="N162" s="224"/>
      <c r="O162" s="13"/>
      <c r="P162" s="224"/>
      <c r="Q162" s="614">
        <f t="shared" si="9"/>
        <v>270208</v>
      </c>
      <c r="R162" s="107"/>
      <c r="S162" s="107"/>
      <c r="T162" s="107"/>
    </row>
    <row r="163" spans="1:20" ht="25.5">
      <c r="A163" s="736" t="s">
        <v>224</v>
      </c>
      <c r="B163" s="260" t="s">
        <v>88</v>
      </c>
      <c r="C163" s="224"/>
      <c r="D163" s="13"/>
      <c r="E163" s="13"/>
      <c r="F163" s="224"/>
      <c r="G163" s="13"/>
      <c r="H163" s="224"/>
      <c r="I163" s="13"/>
      <c r="J163" s="224">
        <v>100048</v>
      </c>
      <c r="K163" s="13"/>
      <c r="L163" s="224"/>
      <c r="M163" s="13"/>
      <c r="N163" s="224"/>
      <c r="O163" s="13"/>
      <c r="P163" s="224"/>
      <c r="Q163" s="614">
        <f t="shared" si="9"/>
        <v>100048</v>
      </c>
      <c r="R163" s="107"/>
      <c r="S163" s="107"/>
      <c r="T163" s="107"/>
    </row>
    <row r="164" spans="1:20" ht="25.5">
      <c r="A164" s="736" t="s">
        <v>225</v>
      </c>
      <c r="B164" s="260" t="s">
        <v>88</v>
      </c>
      <c r="C164" s="224"/>
      <c r="D164" s="13"/>
      <c r="E164" s="13"/>
      <c r="F164" s="224"/>
      <c r="G164" s="13"/>
      <c r="H164" s="224"/>
      <c r="I164" s="13"/>
      <c r="J164" s="224">
        <v>-9103</v>
      </c>
      <c r="K164" s="13"/>
      <c r="L164" s="224"/>
      <c r="M164" s="13"/>
      <c r="N164" s="224"/>
      <c r="O164" s="13"/>
      <c r="P164" s="224"/>
      <c r="Q164" s="614">
        <f t="shared" si="9"/>
        <v>-9103</v>
      </c>
      <c r="R164" s="107"/>
      <c r="S164" s="107"/>
      <c r="T164" s="107"/>
    </row>
    <row r="165" spans="1:20" ht="25.5">
      <c r="A165" s="736" t="s">
        <v>226</v>
      </c>
      <c r="B165" s="260" t="s">
        <v>88</v>
      </c>
      <c r="C165" s="224"/>
      <c r="D165" s="13"/>
      <c r="E165" s="13"/>
      <c r="F165" s="224"/>
      <c r="G165" s="13"/>
      <c r="H165" s="224"/>
      <c r="I165" s="13"/>
      <c r="J165" s="224">
        <v>-233</v>
      </c>
      <c r="K165" s="13"/>
      <c r="L165" s="224"/>
      <c r="M165" s="13"/>
      <c r="N165" s="224"/>
      <c r="O165" s="13"/>
      <c r="P165" s="224"/>
      <c r="Q165" s="614">
        <f t="shared" si="9"/>
        <v>-233</v>
      </c>
      <c r="R165" s="107"/>
      <c r="S165" s="107"/>
      <c r="T165" s="107"/>
    </row>
    <row r="166" spans="1:20" ht="25.5">
      <c r="A166" s="736" t="s">
        <v>227</v>
      </c>
      <c r="B166" s="260" t="s">
        <v>88</v>
      </c>
      <c r="C166" s="224"/>
      <c r="D166" s="13"/>
      <c r="E166" s="13"/>
      <c r="F166" s="224"/>
      <c r="G166" s="13"/>
      <c r="H166" s="224"/>
      <c r="I166" s="13"/>
      <c r="J166" s="224">
        <v>-2571</v>
      </c>
      <c r="K166" s="13"/>
      <c r="L166" s="224"/>
      <c r="M166" s="13"/>
      <c r="N166" s="224"/>
      <c r="O166" s="13"/>
      <c r="P166" s="224"/>
      <c r="Q166" s="614">
        <f t="shared" si="9"/>
        <v>-2571</v>
      </c>
      <c r="R166" s="107"/>
      <c r="S166" s="107"/>
      <c r="T166" s="107"/>
    </row>
    <row r="167" spans="1:20" ht="25.5">
      <c r="A167" s="736" t="s">
        <v>228</v>
      </c>
      <c r="B167" s="260" t="s">
        <v>88</v>
      </c>
      <c r="C167" s="224"/>
      <c r="D167" s="13"/>
      <c r="E167" s="13"/>
      <c r="F167" s="224"/>
      <c r="G167" s="13"/>
      <c r="H167" s="224"/>
      <c r="I167" s="13"/>
      <c r="J167" s="224">
        <v>-427</v>
      </c>
      <c r="K167" s="13"/>
      <c r="L167" s="224"/>
      <c r="M167" s="13"/>
      <c r="N167" s="224"/>
      <c r="O167" s="13"/>
      <c r="P167" s="224"/>
      <c r="Q167" s="614">
        <f t="shared" si="9"/>
        <v>-427</v>
      </c>
      <c r="R167" s="107"/>
      <c r="S167" s="107"/>
      <c r="T167" s="107"/>
    </row>
    <row r="168" spans="1:20" ht="25.5">
      <c r="A168" s="736" t="s">
        <v>229</v>
      </c>
      <c r="B168" s="260" t="s">
        <v>88</v>
      </c>
      <c r="C168" s="224"/>
      <c r="D168" s="13"/>
      <c r="E168" s="13"/>
      <c r="F168" s="224"/>
      <c r="G168" s="13"/>
      <c r="H168" s="224"/>
      <c r="I168" s="13"/>
      <c r="J168" s="224">
        <v>-87714</v>
      </c>
      <c r="K168" s="13"/>
      <c r="L168" s="224"/>
      <c r="M168" s="13"/>
      <c r="N168" s="224"/>
      <c r="O168" s="13"/>
      <c r="P168" s="224"/>
      <c r="Q168" s="614">
        <f t="shared" si="9"/>
        <v>-87714</v>
      </c>
      <c r="R168" s="107"/>
      <c r="S168" s="107"/>
      <c r="T168" s="107"/>
    </row>
    <row r="169" spans="1:20" ht="25.5">
      <c r="A169" s="737" t="s">
        <v>235</v>
      </c>
      <c r="B169" s="130"/>
      <c r="C169" s="224"/>
      <c r="D169" s="13"/>
      <c r="E169" s="13"/>
      <c r="F169" s="224"/>
      <c r="G169" s="13"/>
      <c r="H169" s="224"/>
      <c r="I169" s="13"/>
      <c r="J169" s="224">
        <v>720207</v>
      </c>
      <c r="K169" s="13"/>
      <c r="L169" s="224"/>
      <c r="M169" s="13"/>
      <c r="N169" s="224"/>
      <c r="O169" s="13"/>
      <c r="P169" s="224"/>
      <c r="Q169" s="614">
        <f t="shared" si="9"/>
        <v>720207</v>
      </c>
      <c r="R169" s="107"/>
      <c r="S169" s="107"/>
      <c r="T169" s="107"/>
    </row>
    <row r="170" spans="1:20" ht="25.5">
      <c r="A170" s="737" t="s">
        <v>236</v>
      </c>
      <c r="B170" s="130"/>
      <c r="C170" s="224"/>
      <c r="D170" s="13"/>
      <c r="E170" s="13"/>
      <c r="F170" s="224"/>
      <c r="G170" s="13"/>
      <c r="H170" s="224"/>
      <c r="I170" s="13"/>
      <c r="J170" s="224">
        <v>1400000</v>
      </c>
      <c r="K170" s="13"/>
      <c r="L170" s="224"/>
      <c r="M170" s="13"/>
      <c r="N170" s="224"/>
      <c r="O170" s="13"/>
      <c r="P170" s="224"/>
      <c r="Q170" s="614">
        <f t="shared" si="9"/>
        <v>1400000</v>
      </c>
      <c r="R170" s="107"/>
      <c r="S170" s="107"/>
      <c r="T170" s="107"/>
    </row>
    <row r="171" spans="1:20" ht="13.5" customHeight="1">
      <c r="A171" s="737"/>
      <c r="B171" s="130"/>
      <c r="C171" s="224"/>
      <c r="D171" s="13"/>
      <c r="E171" s="13"/>
      <c r="F171" s="224"/>
      <c r="G171" s="13"/>
      <c r="H171" s="224"/>
      <c r="I171" s="13"/>
      <c r="J171" s="224"/>
      <c r="K171" s="13"/>
      <c r="L171" s="224"/>
      <c r="M171" s="13"/>
      <c r="N171" s="224"/>
      <c r="O171" s="13"/>
      <c r="P171" s="224"/>
      <c r="Q171" s="614">
        <f t="shared" si="9"/>
        <v>0</v>
      </c>
      <c r="R171" s="107"/>
      <c r="S171" s="107"/>
      <c r="T171" s="107"/>
    </row>
    <row r="172" spans="1:20" ht="0.75" customHeight="1">
      <c r="A172" s="737"/>
      <c r="B172" s="130"/>
      <c r="C172" s="224"/>
      <c r="D172" s="13"/>
      <c r="E172" s="13"/>
      <c r="F172" s="224"/>
      <c r="G172" s="13"/>
      <c r="H172" s="224"/>
      <c r="I172" s="13"/>
      <c r="J172" s="224"/>
      <c r="K172" s="13"/>
      <c r="L172" s="224"/>
      <c r="M172" s="13"/>
      <c r="N172" s="224"/>
      <c r="O172" s="13"/>
      <c r="P172" s="224"/>
      <c r="Q172" s="614">
        <f t="shared" si="9"/>
        <v>0</v>
      </c>
      <c r="R172" s="107"/>
      <c r="S172" s="107"/>
      <c r="T172" s="107"/>
    </row>
    <row r="173" spans="1:20" ht="13.5" customHeight="1">
      <c r="A173" s="737"/>
      <c r="B173" s="130"/>
      <c r="C173" s="224"/>
      <c r="D173" s="13"/>
      <c r="E173" s="13"/>
      <c r="F173" s="224"/>
      <c r="G173" s="13"/>
      <c r="H173" s="224"/>
      <c r="I173" s="13"/>
      <c r="J173" s="224"/>
      <c r="K173" s="13"/>
      <c r="L173" s="224"/>
      <c r="M173" s="13"/>
      <c r="N173" s="224"/>
      <c r="O173" s="13"/>
      <c r="P173" s="224"/>
      <c r="Q173" s="614">
        <f t="shared" si="9"/>
        <v>0</v>
      </c>
      <c r="R173" s="107"/>
      <c r="S173" s="107"/>
      <c r="T173" s="107"/>
    </row>
    <row r="174" spans="1:20" ht="15.75" customHeight="1">
      <c r="A174" s="737"/>
      <c r="B174" s="130"/>
      <c r="C174" s="225"/>
      <c r="D174" s="129"/>
      <c r="E174" s="129"/>
      <c r="F174" s="225"/>
      <c r="G174" s="129"/>
      <c r="H174" s="225"/>
      <c r="I174" s="129"/>
      <c r="J174" s="225"/>
      <c r="K174" s="129"/>
      <c r="L174" s="225"/>
      <c r="M174" s="129"/>
      <c r="N174" s="225"/>
      <c r="O174" s="129"/>
      <c r="P174" s="225"/>
      <c r="Q174" s="614">
        <f t="shared" si="9"/>
        <v>0</v>
      </c>
      <c r="R174" s="107"/>
      <c r="S174" s="107"/>
      <c r="T174" s="107"/>
    </row>
    <row r="175" spans="1:20" ht="12.75" customHeight="1">
      <c r="A175" s="737"/>
      <c r="B175" s="260"/>
      <c r="C175" s="224"/>
      <c r="D175" s="13"/>
      <c r="E175" s="13"/>
      <c r="F175" s="224"/>
      <c r="G175" s="13"/>
      <c r="H175" s="224"/>
      <c r="I175" s="13"/>
      <c r="J175" s="224"/>
      <c r="K175" s="13"/>
      <c r="L175" s="224"/>
      <c r="M175" s="13"/>
      <c r="N175" s="224"/>
      <c r="O175" s="13"/>
      <c r="P175" s="224"/>
      <c r="Q175" s="614">
        <f t="shared" si="9"/>
        <v>0</v>
      </c>
      <c r="R175" s="107"/>
      <c r="S175" s="107"/>
      <c r="T175" s="107"/>
    </row>
    <row r="176" spans="1:20" ht="16.5" customHeight="1">
      <c r="A176" s="737"/>
      <c r="B176" s="740"/>
      <c r="C176" s="225"/>
      <c r="D176" s="129"/>
      <c r="E176" s="63"/>
      <c r="F176" s="744"/>
      <c r="G176" s="129"/>
      <c r="H176" s="225"/>
      <c r="I176" s="129"/>
      <c r="J176" s="225"/>
      <c r="K176" s="129"/>
      <c r="L176" s="225"/>
      <c r="M176" s="129"/>
      <c r="N176" s="225"/>
      <c r="O176" s="129"/>
      <c r="P176" s="225"/>
      <c r="Q176" s="614">
        <f t="shared" si="9"/>
        <v>0</v>
      </c>
      <c r="R176" s="107"/>
      <c r="S176" s="107"/>
      <c r="T176" s="107"/>
    </row>
    <row r="177" spans="1:20" ht="16.5" customHeight="1" thickBot="1">
      <c r="A177" s="737"/>
      <c r="B177" s="741"/>
      <c r="C177" s="205"/>
      <c r="D177" s="118"/>
      <c r="E177" s="118"/>
      <c r="F177" s="745"/>
      <c r="G177" s="118"/>
      <c r="H177" s="205"/>
      <c r="I177" s="118"/>
      <c r="J177" s="205"/>
      <c r="K177" s="118"/>
      <c r="L177" s="205"/>
      <c r="M177" s="118"/>
      <c r="N177" s="205"/>
      <c r="O177" s="118"/>
      <c r="P177" s="205"/>
      <c r="Q177" s="614">
        <f t="shared" si="9"/>
        <v>0</v>
      </c>
      <c r="R177" s="107"/>
      <c r="S177" s="107"/>
      <c r="T177" s="107"/>
    </row>
    <row r="178" spans="1:20" ht="13.5" thickBot="1">
      <c r="A178" s="737"/>
      <c r="B178" s="762"/>
      <c r="C178" s="131"/>
      <c r="D178" s="228"/>
      <c r="E178" s="233"/>
      <c r="F178" s="746"/>
      <c r="G178" s="228"/>
      <c r="H178" s="131"/>
      <c r="I178" s="228"/>
      <c r="J178" s="131"/>
      <c r="K178" s="228"/>
      <c r="L178" s="131"/>
      <c r="M178" s="228"/>
      <c r="N178" s="131"/>
      <c r="O178" s="228"/>
      <c r="P178" s="131"/>
      <c r="Q178" s="132">
        <f>SUM(C178:P178)</f>
        <v>0</v>
      </c>
      <c r="R178" s="107"/>
      <c r="S178" s="107"/>
      <c r="T178" s="107"/>
    </row>
    <row r="179" spans="1:20" ht="18" customHeight="1" thickBot="1">
      <c r="A179" s="133" t="s">
        <v>33</v>
      </c>
      <c r="B179" s="742"/>
      <c r="C179" s="231">
        <f aca="true" t="shared" si="10" ref="C179:J179">SUM(C153:C178)</f>
        <v>0</v>
      </c>
      <c r="D179" s="229">
        <f t="shared" si="10"/>
        <v>180000</v>
      </c>
      <c r="E179" s="229">
        <f t="shared" si="10"/>
        <v>370000</v>
      </c>
      <c r="F179" s="237">
        <f t="shared" si="10"/>
        <v>0</v>
      </c>
      <c r="G179" s="229">
        <f t="shared" si="10"/>
        <v>0</v>
      </c>
      <c r="H179" s="237">
        <f t="shared" si="10"/>
        <v>0</v>
      </c>
      <c r="I179" s="229">
        <f t="shared" si="10"/>
        <v>0</v>
      </c>
      <c r="J179" s="237">
        <f t="shared" si="10"/>
        <v>4620207</v>
      </c>
      <c r="K179" s="229"/>
      <c r="L179" s="237">
        <f>SUM(L153:L178)</f>
        <v>0</v>
      </c>
      <c r="M179" s="229"/>
      <c r="N179" s="237">
        <f>SUM(N153:N178)</f>
        <v>0</v>
      </c>
      <c r="O179" s="229">
        <f>SUM(O153:O178)</f>
        <v>0</v>
      </c>
      <c r="P179" s="237">
        <f>SUM(P153:P178)</f>
        <v>0</v>
      </c>
      <c r="Q179" s="303">
        <f>SUM(C179:P179)</f>
        <v>5170207</v>
      </c>
      <c r="R179" s="107"/>
      <c r="S179" s="107"/>
      <c r="T179" s="107"/>
    </row>
    <row r="180" spans="1:20" ht="18" customHeight="1" thickBot="1">
      <c r="A180" s="134" t="s">
        <v>34</v>
      </c>
      <c r="B180" s="743"/>
      <c r="C180" s="193">
        <f aca="true" t="shared" si="11" ref="C180:L180">C179-C160</f>
        <v>0</v>
      </c>
      <c r="D180" s="169">
        <f>D179-D161</f>
        <v>180000</v>
      </c>
      <c r="E180" s="169">
        <f t="shared" si="11"/>
        <v>370000</v>
      </c>
      <c r="F180" s="193">
        <f t="shared" si="11"/>
        <v>0</v>
      </c>
      <c r="G180" s="169">
        <f t="shared" si="11"/>
        <v>0</v>
      </c>
      <c r="H180" s="226">
        <f t="shared" si="11"/>
        <v>0</v>
      </c>
      <c r="I180" s="169">
        <f t="shared" si="11"/>
        <v>0</v>
      </c>
      <c r="J180" s="226">
        <f t="shared" si="11"/>
        <v>4620207</v>
      </c>
      <c r="K180" s="169">
        <f t="shared" si="11"/>
        <v>0</v>
      </c>
      <c r="L180" s="226">
        <f t="shared" si="11"/>
        <v>0</v>
      </c>
      <c r="M180" s="169"/>
      <c r="N180" s="226">
        <f>N179</f>
        <v>0</v>
      </c>
      <c r="O180" s="169">
        <f>O179-O160</f>
        <v>0</v>
      </c>
      <c r="P180" s="226">
        <f>P179-P160</f>
        <v>0</v>
      </c>
      <c r="Q180" s="169">
        <f>SUM(C180:P180)</f>
        <v>5170207</v>
      </c>
      <c r="R180" s="107"/>
      <c r="S180" s="107"/>
      <c r="T180" s="107"/>
    </row>
    <row r="181" spans="1:20" ht="21" customHeight="1" thickBot="1">
      <c r="A181" s="74" t="s">
        <v>72</v>
      </c>
      <c r="B181" s="217"/>
      <c r="C181" s="194">
        <f aca="true" t="shared" si="12" ref="C181:O181">C150+C179</f>
        <v>0</v>
      </c>
      <c r="D181" s="170">
        <f t="shared" si="12"/>
        <v>180000</v>
      </c>
      <c r="E181" s="170">
        <f t="shared" si="12"/>
        <v>370000</v>
      </c>
      <c r="F181" s="194">
        <f t="shared" si="12"/>
        <v>0</v>
      </c>
      <c r="G181" s="170">
        <f t="shared" si="12"/>
        <v>0</v>
      </c>
      <c r="H181" s="206">
        <f t="shared" si="12"/>
        <v>0</v>
      </c>
      <c r="I181" s="170">
        <f t="shared" si="12"/>
        <v>0</v>
      </c>
      <c r="J181" s="206">
        <f t="shared" si="12"/>
        <v>4620207</v>
      </c>
      <c r="K181" s="170">
        <f t="shared" si="12"/>
        <v>0</v>
      </c>
      <c r="L181" s="206">
        <f t="shared" si="12"/>
        <v>0</v>
      </c>
      <c r="M181" s="170">
        <f t="shared" si="12"/>
        <v>0</v>
      </c>
      <c r="N181" s="206">
        <f t="shared" si="12"/>
        <v>0</v>
      </c>
      <c r="O181" s="170">
        <f t="shared" si="12"/>
        <v>0</v>
      </c>
      <c r="P181" s="206">
        <f>P152+P179</f>
        <v>0</v>
      </c>
      <c r="Q181" s="170">
        <f>SUM(C181:P181)</f>
        <v>5170207</v>
      </c>
      <c r="R181" s="107"/>
      <c r="S181" s="107"/>
      <c r="T181" s="107"/>
    </row>
    <row r="182" spans="1:20" ht="20.25" customHeight="1" thickBot="1">
      <c r="A182" s="799" t="s">
        <v>82</v>
      </c>
      <c r="B182" s="800"/>
      <c r="C182" s="195">
        <f aca="true" t="shared" si="13" ref="C182:L182">C150+C180</f>
        <v>0</v>
      </c>
      <c r="D182" s="171">
        <f t="shared" si="13"/>
        <v>180000</v>
      </c>
      <c r="E182" s="171">
        <f t="shared" si="13"/>
        <v>370000</v>
      </c>
      <c r="F182" s="195">
        <f t="shared" si="13"/>
        <v>0</v>
      </c>
      <c r="G182" s="171">
        <f t="shared" si="13"/>
        <v>0</v>
      </c>
      <c r="H182" s="207">
        <f t="shared" si="13"/>
        <v>0</v>
      </c>
      <c r="I182" s="171">
        <f t="shared" si="13"/>
        <v>0</v>
      </c>
      <c r="J182" s="207">
        <f t="shared" si="13"/>
        <v>4620207</v>
      </c>
      <c r="K182" s="171">
        <f t="shared" si="13"/>
        <v>0</v>
      </c>
      <c r="L182" s="207">
        <f t="shared" si="13"/>
        <v>0</v>
      </c>
      <c r="M182" s="171"/>
      <c r="N182" s="207">
        <f>N150+N180</f>
        <v>0</v>
      </c>
      <c r="O182" s="171">
        <f>O150+O180</f>
        <v>0</v>
      </c>
      <c r="P182" s="207">
        <f>P150+P180</f>
        <v>0</v>
      </c>
      <c r="Q182" s="171">
        <f>SUM(C182:P182)</f>
        <v>5170207</v>
      </c>
      <c r="R182" s="135"/>
      <c r="S182" s="107"/>
      <c r="T182" s="107"/>
    </row>
    <row r="183" spans="1:20" s="20" customFormat="1" ht="12.75">
      <c r="A183" s="136"/>
      <c r="B183" s="136" t="s">
        <v>37</v>
      </c>
      <c r="C183" s="137">
        <f aca="true" t="shared" si="14" ref="C183:M183">C181+C143</f>
        <v>12529556.030000001</v>
      </c>
      <c r="D183" s="137">
        <f t="shared" si="14"/>
        <v>6075003.699999999</v>
      </c>
      <c r="E183" s="137">
        <f t="shared" si="14"/>
        <v>12437331.51</v>
      </c>
      <c r="F183" s="137">
        <f t="shared" si="14"/>
        <v>13871601.399999999</v>
      </c>
      <c r="G183" s="137">
        <f t="shared" si="14"/>
        <v>4574603.564180236</v>
      </c>
      <c r="H183" s="137">
        <f t="shared" si="14"/>
        <v>9645324.7</v>
      </c>
      <c r="I183" s="137">
        <f t="shared" si="14"/>
        <v>3615584.33</v>
      </c>
      <c r="J183" s="137">
        <f t="shared" si="14"/>
        <v>7693187.109999999</v>
      </c>
      <c r="K183" s="137">
        <f t="shared" si="14"/>
        <v>75076</v>
      </c>
      <c r="L183" s="137">
        <f t="shared" si="14"/>
        <v>945584.3200000001</v>
      </c>
      <c r="M183" s="137">
        <f t="shared" si="14"/>
        <v>248311</v>
      </c>
      <c r="N183" s="137">
        <f>N143+N181</f>
        <v>4532336.86</v>
      </c>
      <c r="O183" s="137">
        <f>O143+O181</f>
        <v>2389716.85</v>
      </c>
      <c r="P183" s="137">
        <f>P181+P143</f>
        <v>451716</v>
      </c>
      <c r="Q183" s="137">
        <f>Q143+Q181</f>
        <v>79084933.37418024</v>
      </c>
      <c r="R183" s="137"/>
      <c r="S183" s="137"/>
      <c r="T183" s="137"/>
    </row>
    <row r="184" spans="1:20" ht="12.75">
      <c r="A184" s="103"/>
      <c r="B184" s="103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07"/>
      <c r="S184" s="107"/>
      <c r="T184" s="107"/>
    </row>
    <row r="185" spans="1:20" ht="12.75">
      <c r="A185" s="103"/>
      <c r="B185" s="103"/>
      <c r="C185" s="107"/>
      <c r="D185" s="107"/>
      <c r="E185" s="107"/>
      <c r="F185" s="107"/>
      <c r="G185" s="107"/>
      <c r="H185" s="107"/>
      <c r="I185" s="107"/>
      <c r="J185" s="107">
        <f>J182-'súhrnná po AS'!M97</f>
        <v>0</v>
      </c>
      <c r="K185" s="107"/>
      <c r="L185" s="107"/>
      <c r="M185" s="107"/>
      <c r="N185" s="107"/>
      <c r="O185" s="107"/>
      <c r="P185" s="107">
        <v>0</v>
      </c>
      <c r="Q185" s="107">
        <f>SUM(C185:P185)</f>
        <v>0</v>
      </c>
      <c r="R185" s="107"/>
      <c r="S185" s="107"/>
      <c r="T185" s="107"/>
    </row>
    <row r="186" spans="1:20" ht="12.75">
      <c r="A186" s="103"/>
      <c r="B186" s="103"/>
      <c r="C186" s="107"/>
      <c r="D186" s="107"/>
      <c r="E186" s="139"/>
      <c r="F186" s="140"/>
      <c r="G186" s="21"/>
      <c r="H186" s="139"/>
      <c r="I186" s="139"/>
      <c r="J186" s="139"/>
      <c r="K186" s="139"/>
      <c r="L186" s="107"/>
      <c r="M186" s="107"/>
      <c r="N186" s="107"/>
      <c r="O186" s="107"/>
      <c r="P186" s="107"/>
      <c r="Q186" s="107"/>
      <c r="R186" s="107"/>
      <c r="S186" s="107"/>
      <c r="T186" s="107"/>
    </row>
    <row r="187" spans="1:20" ht="12.75">
      <c r="A187" s="103" t="s">
        <v>38</v>
      </c>
      <c r="B187" s="103"/>
      <c r="C187" s="107">
        <f aca="true" t="shared" si="15" ref="C187:P187">C181+C143</f>
        <v>12529556.030000001</v>
      </c>
      <c r="D187" s="107">
        <f t="shared" si="15"/>
        <v>6075003.699999999</v>
      </c>
      <c r="E187" s="107">
        <f t="shared" si="15"/>
        <v>12437331.51</v>
      </c>
      <c r="F187" s="107">
        <f t="shared" si="15"/>
        <v>13871601.399999999</v>
      </c>
      <c r="G187" s="107">
        <f t="shared" si="15"/>
        <v>4574603.564180236</v>
      </c>
      <c r="H187" s="107">
        <f t="shared" si="15"/>
        <v>9645324.7</v>
      </c>
      <c r="I187" s="107">
        <f t="shared" si="15"/>
        <v>3615584.33</v>
      </c>
      <c r="J187" s="139">
        <f t="shared" si="15"/>
        <v>7693187.109999999</v>
      </c>
      <c r="K187" s="139">
        <f t="shared" si="15"/>
        <v>75076</v>
      </c>
      <c r="L187" s="139">
        <f t="shared" si="15"/>
        <v>945584.3200000001</v>
      </c>
      <c r="M187" s="139">
        <f t="shared" si="15"/>
        <v>248311</v>
      </c>
      <c r="N187" s="139">
        <f t="shared" si="15"/>
        <v>4532336.86</v>
      </c>
      <c r="O187" s="139">
        <f t="shared" si="15"/>
        <v>2389716.85</v>
      </c>
      <c r="P187" s="139">
        <f t="shared" si="15"/>
        <v>451716</v>
      </c>
      <c r="Q187" s="107">
        <f>SUM(C187:P187)</f>
        <v>79084933.37418023</v>
      </c>
      <c r="R187" s="107"/>
      <c r="S187" s="107"/>
      <c r="T187" s="107"/>
    </row>
    <row r="188" spans="1:20" ht="12.75">
      <c r="A188" s="103" t="s">
        <v>39</v>
      </c>
      <c r="B188" s="103"/>
      <c r="C188" s="107"/>
      <c r="D188" s="107"/>
      <c r="E188" s="107"/>
      <c r="F188" s="107"/>
      <c r="G188" s="107"/>
      <c r="H188" s="107"/>
      <c r="I188" s="107"/>
      <c r="J188" s="139"/>
      <c r="K188" s="139"/>
      <c r="L188" s="139"/>
      <c r="M188" s="139"/>
      <c r="N188" s="139"/>
      <c r="O188" s="139"/>
      <c r="P188" s="139"/>
      <c r="Q188" s="107">
        <f>SUM(C188:P188)</f>
        <v>0</v>
      </c>
      <c r="R188" s="107"/>
      <c r="S188" s="107"/>
      <c r="T188" s="107"/>
    </row>
    <row r="189" spans="1:20" ht="12.75">
      <c r="A189" s="103"/>
      <c r="B189" s="103"/>
      <c r="C189" s="383">
        <f>'súhrnná po AS'!C5</f>
        <v>12529556.030000001</v>
      </c>
      <c r="D189" s="383">
        <f>'súhrnná po AS'!D5</f>
        <v>6075003.7</v>
      </c>
      <c r="E189" s="383">
        <f>'súhrnná po AS'!E5</f>
        <v>12437331.51</v>
      </c>
      <c r="F189" s="383">
        <f>'súhrnná po AS'!F5</f>
        <v>13871601.4</v>
      </c>
      <c r="G189" s="383">
        <f>'súhrnná po AS'!G5</f>
        <v>4574603.5600000005</v>
      </c>
      <c r="H189" s="383">
        <f>'súhrnná po AS'!H5</f>
        <v>9645324.700000001</v>
      </c>
      <c r="I189" s="383">
        <f>'súhrnná po AS'!I5</f>
        <v>3615584.3299999996</v>
      </c>
      <c r="J189" s="383">
        <f>'súhrnná po AS'!M5</f>
        <v>7693187.109999999</v>
      </c>
      <c r="K189" s="383">
        <f>'súhrnná po AS'!N5</f>
        <v>75076</v>
      </c>
      <c r="L189" s="383">
        <f>'súhrnná po AS'!J5</f>
        <v>945584.3200000001</v>
      </c>
      <c r="M189" s="383">
        <f>'súhrnná po AS'!K5</f>
        <v>248311</v>
      </c>
      <c r="N189" s="383">
        <f>'súhrnná po AS'!O5</f>
        <v>4631391.86</v>
      </c>
      <c r="O189" s="383">
        <f>'súhrnná po AS'!P5</f>
        <v>2389716.85</v>
      </c>
      <c r="P189" s="383">
        <f>'súhrnná po AS'!Q5+'súhrnná po AS'!R5</f>
        <v>352661</v>
      </c>
      <c r="Q189" s="383">
        <f>Q181-'súhrnná po AS'!S97</f>
        <v>0</v>
      </c>
      <c r="R189" s="107"/>
      <c r="S189" s="107"/>
      <c r="T189" s="107"/>
    </row>
    <row r="190" spans="1:20" ht="12.75">
      <c r="A190" s="103"/>
      <c r="B190" s="103"/>
      <c r="C190" s="107">
        <f aca="true" t="shared" si="16" ref="C190:N190">C187-C189</f>
        <v>0</v>
      </c>
      <c r="D190" s="107">
        <f>D187-D189</f>
        <v>0</v>
      </c>
      <c r="E190" s="107">
        <f t="shared" si="16"/>
        <v>0</v>
      </c>
      <c r="F190" s="107">
        <f t="shared" si="16"/>
        <v>0</v>
      </c>
      <c r="G190" s="107">
        <f t="shared" si="16"/>
        <v>0.004180235788226128</v>
      </c>
      <c r="H190" s="107">
        <f t="shared" si="16"/>
        <v>0</v>
      </c>
      <c r="I190" s="107">
        <f t="shared" si="16"/>
        <v>0</v>
      </c>
      <c r="J190" s="107">
        <f t="shared" si="16"/>
        <v>0</v>
      </c>
      <c r="K190" s="107">
        <f t="shared" si="16"/>
        <v>0</v>
      </c>
      <c r="L190" s="107">
        <f t="shared" si="16"/>
        <v>0</v>
      </c>
      <c r="M190" s="107">
        <f t="shared" si="16"/>
        <v>0</v>
      </c>
      <c r="N190" s="107">
        <f t="shared" si="16"/>
        <v>-99055</v>
      </c>
      <c r="O190" s="107">
        <f>O187-O189</f>
        <v>0</v>
      </c>
      <c r="P190" s="107">
        <f>P181-'súhrnná po AS'!Q97</f>
        <v>0</v>
      </c>
      <c r="Q190" s="107">
        <f>Q181-'súhrnná po AS'!S97</f>
        <v>0</v>
      </c>
      <c r="R190" s="107"/>
      <c r="S190" s="107"/>
      <c r="T190" s="107"/>
    </row>
    <row r="191" spans="1:20" ht="12.75">
      <c r="A191" s="103"/>
      <c r="B191" s="103"/>
      <c r="C191" s="107"/>
      <c r="D191" s="107"/>
      <c r="E191" s="139"/>
      <c r="F191" s="139"/>
      <c r="G191" s="139"/>
      <c r="H191" s="139"/>
      <c r="I191" s="139"/>
      <c r="J191" s="139"/>
      <c r="K191" s="139"/>
      <c r="L191" s="107"/>
      <c r="M191" s="107"/>
      <c r="N191" s="107"/>
      <c r="O191" s="107"/>
      <c r="P191" s="107"/>
      <c r="Q191" s="107"/>
      <c r="R191" s="107"/>
      <c r="S191" s="107"/>
      <c r="T191" s="107"/>
    </row>
    <row r="192" spans="1:20" ht="12.75">
      <c r="A192" s="103"/>
      <c r="B192" s="103"/>
      <c r="C192" s="107"/>
      <c r="D192" s="107"/>
      <c r="E192" s="139"/>
      <c r="F192" s="139"/>
      <c r="G192" s="139"/>
      <c r="H192" s="139"/>
      <c r="I192" s="139"/>
      <c r="J192" s="139"/>
      <c r="K192" s="139"/>
      <c r="L192" s="107"/>
      <c r="M192" s="107"/>
      <c r="N192" s="107"/>
      <c r="O192" s="107"/>
      <c r="P192" s="107"/>
      <c r="Q192" s="141">
        <f>Q181+Q143</f>
        <v>79084933.37418024</v>
      </c>
      <c r="R192" s="141">
        <f>'súhrnná po AS'!S5</f>
        <v>79084933.36999999</v>
      </c>
      <c r="S192" s="107">
        <f>Q192-R192</f>
        <v>0.004180252552032471</v>
      </c>
      <c r="T192" s="107"/>
    </row>
    <row r="193" spans="1:20" ht="12.75">
      <c r="A193" s="103"/>
      <c r="B193" s="103"/>
      <c r="C193" s="107"/>
      <c r="D193" s="107"/>
      <c r="E193" s="139"/>
      <c r="F193" s="139"/>
      <c r="G193" s="139"/>
      <c r="H193" s="139"/>
      <c r="I193" s="139"/>
      <c r="J193" s="139"/>
      <c r="K193" s="139"/>
      <c r="L193" s="107"/>
      <c r="M193" s="107"/>
      <c r="N193" s="107"/>
      <c r="O193" s="107"/>
      <c r="P193" s="107"/>
      <c r="Q193" s="107"/>
      <c r="R193" s="107"/>
      <c r="S193" s="107"/>
      <c r="T193" s="107"/>
    </row>
    <row r="194" spans="1:20" ht="12.75">
      <c r="A194" s="103"/>
      <c r="B194" s="103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>
        <f>R192+S192</f>
        <v>79084933.37418024</v>
      </c>
      <c r="S194" s="107"/>
      <c r="T194" s="107"/>
    </row>
    <row r="195" spans="1:20" ht="12.75">
      <c r="A195" s="103"/>
      <c r="B195" s="103"/>
      <c r="C195" s="107"/>
      <c r="D195" s="107"/>
      <c r="E195" s="107"/>
      <c r="F195" s="107"/>
      <c r="G195" s="107"/>
      <c r="H195" s="107"/>
      <c r="I195" s="107"/>
      <c r="J195" s="107" t="s">
        <v>230</v>
      </c>
      <c r="K195" s="107"/>
      <c r="L195" s="107">
        <f>Q24+Q25+Q29+Q30+Q31+Q42+Q43+Q44+Q46</f>
        <v>152162.41999999998</v>
      </c>
      <c r="M195" s="107"/>
      <c r="N195" s="107"/>
      <c r="O195" s="107"/>
      <c r="P195" s="107"/>
      <c r="Q195" s="107"/>
      <c r="R195" s="107"/>
      <c r="S195" s="107"/>
      <c r="T195" s="107"/>
    </row>
    <row r="196" spans="1:20" ht="12.75">
      <c r="A196" s="103"/>
      <c r="B196" s="103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3"/>
      <c r="S196" s="103"/>
      <c r="T196" s="103"/>
    </row>
    <row r="197" spans="3:17" ht="12.75"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304"/>
      <c r="O197" s="304"/>
      <c r="P197" s="304"/>
      <c r="Q197" s="304"/>
    </row>
  </sheetData>
  <sheetProtection/>
  <mergeCells count="3">
    <mergeCell ref="A182:B182"/>
    <mergeCell ref="A151:B151"/>
    <mergeCell ref="A144:B144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1" fitToWidth="1" horizontalDpi="600" verticalDpi="600" orientation="portrait" paperSize="9" scale="27" r:id="rId1"/>
  <headerFooter alignWithMargins="0">
    <oddHeader>&amp;RPríloha č. 1</oddHeader>
    <oddFooter>&amp;L&amp;Z&amp;F&amp;R&amp;D</oddFooter>
  </headerFooter>
  <rowBreaks count="1" manualBreakCount="1">
    <brk id="1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32"/>
  <sheetViews>
    <sheetView tabSelected="1" zoomScale="85" zoomScaleNormal="85" zoomScaleSheetLayoutView="75"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3" sqref="P13"/>
    </sheetView>
  </sheetViews>
  <sheetFormatPr defaultColWidth="9.140625" defaultRowHeight="12.75"/>
  <cols>
    <col min="1" max="1" width="48.28125" style="22" customWidth="1"/>
    <col min="2" max="2" width="15.7109375" style="576" customWidth="1"/>
    <col min="3" max="3" width="15.7109375" style="55" customWidth="1"/>
    <col min="4" max="4" width="14.421875" style="55" customWidth="1"/>
    <col min="5" max="5" width="15.140625" style="55" customWidth="1"/>
    <col min="6" max="6" width="15.7109375" style="55" customWidth="1"/>
    <col min="7" max="7" width="14.421875" style="55" customWidth="1"/>
    <col min="8" max="8" width="15.140625" style="55" customWidth="1"/>
    <col min="9" max="10" width="14.421875" style="55" customWidth="1"/>
    <col min="11" max="11" width="11.8515625" style="55" customWidth="1"/>
    <col min="12" max="12" width="17.421875" style="150" customWidth="1"/>
    <col min="13" max="13" width="14.421875" style="55" customWidth="1"/>
    <col min="14" max="14" width="11.7109375" style="55" customWidth="1"/>
    <col min="15" max="16" width="19.421875" style="55" customWidth="1"/>
    <col min="17" max="17" width="14.421875" style="55" customWidth="1"/>
    <col min="18" max="18" width="17.8515625" style="55" customWidth="1"/>
    <col min="19" max="19" width="16.7109375" style="55" bestFit="1" customWidth="1"/>
    <col min="20" max="20" width="19.00390625" style="55" customWidth="1"/>
    <col min="21" max="22" width="17.8515625" style="55" bestFit="1" customWidth="1"/>
    <col min="23" max="23" width="16.7109375" style="55" bestFit="1" customWidth="1"/>
    <col min="24" max="24" width="9.140625" style="55" customWidth="1"/>
    <col min="25" max="16384" width="9.140625" style="22" customWidth="1"/>
  </cols>
  <sheetData>
    <row r="1" spans="1:19" ht="24" customHeight="1">
      <c r="A1" s="803" t="s">
        <v>152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</row>
    <row r="2" spans="1:19" ht="18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>
        <f>J5+K5+N5+O5+P5+Q5+R5</f>
        <v>8642741.030000001</v>
      </c>
      <c r="P2" s="25">
        <f>J7+K7+N7+O7+P7+Q7+R7</f>
        <v>8642741.030000001</v>
      </c>
      <c r="Q2" s="25">
        <f>O2-P2</f>
        <v>0</v>
      </c>
      <c r="R2" s="25">
        <f>Q5+R5</f>
        <v>352661</v>
      </c>
      <c r="S2" s="310" t="s">
        <v>40</v>
      </c>
    </row>
    <row r="3" spans="1:24" s="27" customFormat="1" ht="13.5" thickBot="1">
      <c r="A3" s="62"/>
      <c r="B3" s="26"/>
      <c r="C3" s="311"/>
      <c r="D3" s="311"/>
      <c r="E3" s="311"/>
      <c r="F3" s="311"/>
      <c r="G3" s="311"/>
      <c r="H3" s="311">
        <f>H10-5477275.79</f>
        <v>13077.649999999441</v>
      </c>
      <c r="I3" s="311"/>
      <c r="J3" s="311"/>
      <c r="K3" s="311"/>
      <c r="L3" s="312"/>
      <c r="M3" s="311"/>
      <c r="N3" s="311"/>
      <c r="O3" s="312" t="s">
        <v>117</v>
      </c>
      <c r="P3" s="312" t="s">
        <v>115</v>
      </c>
      <c r="Q3" s="312" t="s">
        <v>116</v>
      </c>
      <c r="R3" s="311"/>
      <c r="S3" s="313" t="s">
        <v>41</v>
      </c>
      <c r="T3" s="314"/>
      <c r="U3" s="314"/>
      <c r="V3" s="314"/>
      <c r="W3" s="314"/>
      <c r="X3" s="314"/>
    </row>
    <row r="4" spans="1:19" ht="28.5" customHeight="1" thickBot="1">
      <c r="A4" s="72" t="s">
        <v>0</v>
      </c>
      <c r="B4" s="175" t="s">
        <v>42</v>
      </c>
      <c r="C4" s="503" t="s">
        <v>1</v>
      </c>
      <c r="D4" s="28" t="s">
        <v>2</v>
      </c>
      <c r="E4" s="327" t="s">
        <v>3</v>
      </c>
      <c r="F4" s="28" t="s">
        <v>4</v>
      </c>
      <c r="G4" s="327" t="s">
        <v>5</v>
      </c>
      <c r="H4" s="28" t="s">
        <v>6</v>
      </c>
      <c r="I4" s="327" t="s">
        <v>7</v>
      </c>
      <c r="J4" s="145" t="s">
        <v>9</v>
      </c>
      <c r="K4" s="611" t="s">
        <v>99</v>
      </c>
      <c r="L4" s="415" t="s">
        <v>100</v>
      </c>
      <c r="M4" s="28" t="s">
        <v>8</v>
      </c>
      <c r="N4" s="28" t="s">
        <v>68</v>
      </c>
      <c r="O4" s="501" t="s">
        <v>10</v>
      </c>
      <c r="P4" s="29" t="s">
        <v>11</v>
      </c>
      <c r="Q4" s="508" t="s">
        <v>74</v>
      </c>
      <c r="R4" s="315" t="s">
        <v>75</v>
      </c>
      <c r="S4" s="147" t="s">
        <v>12</v>
      </c>
    </row>
    <row r="5" spans="1:27" s="31" customFormat="1" ht="23.25" customHeight="1" thickBot="1">
      <c r="A5" s="93" t="s">
        <v>13</v>
      </c>
      <c r="B5" s="176"/>
      <c r="C5" s="502">
        <f aca="true" t="shared" si="0" ref="C5:K5">C7+C97</f>
        <v>12529556.030000001</v>
      </c>
      <c r="D5" s="30">
        <f t="shared" si="0"/>
        <v>6075003.7</v>
      </c>
      <c r="E5" s="328">
        <f t="shared" si="0"/>
        <v>12437331.51</v>
      </c>
      <c r="F5" s="30">
        <f t="shared" si="0"/>
        <v>13871601.4</v>
      </c>
      <c r="G5" s="328">
        <f t="shared" si="0"/>
        <v>4574603.5600000005</v>
      </c>
      <c r="H5" s="30">
        <f t="shared" si="0"/>
        <v>9645324.700000001</v>
      </c>
      <c r="I5" s="328">
        <f t="shared" si="0"/>
        <v>3615584.3299999996</v>
      </c>
      <c r="J5" s="30">
        <f t="shared" si="0"/>
        <v>945584.3200000001</v>
      </c>
      <c r="K5" s="30">
        <f t="shared" si="0"/>
        <v>248311</v>
      </c>
      <c r="L5" s="267">
        <f>SUM(C5:K5)</f>
        <v>63942900.550000004</v>
      </c>
      <c r="M5" s="30">
        <f aca="true" t="shared" si="1" ref="M5:S5">M7+M97</f>
        <v>7693187.109999999</v>
      </c>
      <c r="N5" s="30">
        <f t="shared" si="1"/>
        <v>75076</v>
      </c>
      <c r="O5" s="502">
        <f t="shared" si="1"/>
        <v>4631391.86</v>
      </c>
      <c r="P5" s="30">
        <f t="shared" si="1"/>
        <v>2389716.85</v>
      </c>
      <c r="Q5" s="267">
        <f t="shared" si="1"/>
        <v>0</v>
      </c>
      <c r="R5" s="243">
        <f t="shared" si="1"/>
        <v>352661</v>
      </c>
      <c r="S5" s="251">
        <f t="shared" si="1"/>
        <v>79084933.36999999</v>
      </c>
      <c r="T5" s="264">
        <f>Q5+R5</f>
        <v>352661</v>
      </c>
      <c r="U5" s="264">
        <f>S7+S97</f>
        <v>79084933.36999999</v>
      </c>
      <c r="V5" s="264">
        <f>U5-S7</f>
        <v>5170207</v>
      </c>
      <c r="W5" s="264" t="s">
        <v>116</v>
      </c>
      <c r="X5" s="264"/>
      <c r="Y5" s="264"/>
      <c r="Z5" s="264"/>
      <c r="AA5" s="264"/>
    </row>
    <row r="6" spans="1:27" ht="10.5" customHeight="1" thickBot="1">
      <c r="A6" s="94"/>
      <c r="B6" s="95"/>
      <c r="C6" s="503"/>
      <c r="D6" s="28"/>
      <c r="E6" s="327"/>
      <c r="F6" s="28"/>
      <c r="G6" s="327"/>
      <c r="H6" s="28"/>
      <c r="I6" s="327"/>
      <c r="J6" s="28"/>
      <c r="K6" s="266"/>
      <c r="L6" s="266"/>
      <c r="M6" s="28"/>
      <c r="N6" s="28"/>
      <c r="O6" s="503"/>
      <c r="P6" s="28"/>
      <c r="Q6" s="509"/>
      <c r="R6" s="162"/>
      <c r="S6" s="252"/>
      <c r="Y6" s="55"/>
      <c r="Z6" s="55"/>
      <c r="AA6" s="55"/>
    </row>
    <row r="7" spans="1:27" s="31" customFormat="1" ht="26.25" customHeight="1" thickBot="1">
      <c r="A7" s="96" t="s">
        <v>14</v>
      </c>
      <c r="B7" s="448">
        <f>'[31]SD 2018'!$C$8</f>
        <v>59950735</v>
      </c>
      <c r="C7" s="504">
        <f aca="true" t="shared" si="2" ref="C7:R7">C9+C90+C92+C94+C95</f>
        <v>12529556.030000001</v>
      </c>
      <c r="D7" s="32">
        <f t="shared" si="2"/>
        <v>5895003.7</v>
      </c>
      <c r="E7" s="329">
        <f t="shared" si="2"/>
        <v>12067331.51</v>
      </c>
      <c r="F7" s="32">
        <f t="shared" si="2"/>
        <v>13871601.4</v>
      </c>
      <c r="G7" s="329">
        <f t="shared" si="2"/>
        <v>4574603.5600000005</v>
      </c>
      <c r="H7" s="32">
        <f t="shared" si="2"/>
        <v>9645324.700000001</v>
      </c>
      <c r="I7" s="329">
        <f t="shared" si="2"/>
        <v>3615584.3299999996</v>
      </c>
      <c r="J7" s="32">
        <f t="shared" si="2"/>
        <v>945584.3200000001</v>
      </c>
      <c r="K7" s="32">
        <f t="shared" si="2"/>
        <v>248311</v>
      </c>
      <c r="L7" s="268">
        <f t="shared" si="2"/>
        <v>63392900.550000004</v>
      </c>
      <c r="M7" s="32">
        <f t="shared" si="2"/>
        <v>3072980.11</v>
      </c>
      <c r="N7" s="504">
        <f t="shared" si="2"/>
        <v>75076</v>
      </c>
      <c r="O7" s="32">
        <f t="shared" si="2"/>
        <v>4631391.86</v>
      </c>
      <c r="P7" s="32">
        <f t="shared" si="2"/>
        <v>2389716.85</v>
      </c>
      <c r="Q7" s="268">
        <f t="shared" si="2"/>
        <v>0</v>
      </c>
      <c r="R7" s="32">
        <f t="shared" si="2"/>
        <v>352661</v>
      </c>
      <c r="S7" s="32">
        <f>S9+S90+S92+S94+S95+S91</f>
        <v>73914726.36999999</v>
      </c>
      <c r="T7" s="264">
        <f>S9+S90+S91+S92+S93+S94+S95</f>
        <v>73914726.36999999</v>
      </c>
      <c r="U7" s="797">
        <f>73914726.37-S7</f>
        <v>0</v>
      </c>
      <c r="V7" s="264"/>
      <c r="W7" s="264"/>
      <c r="X7" s="264"/>
      <c r="Y7" s="264"/>
      <c r="Z7" s="264"/>
      <c r="AA7" s="264"/>
    </row>
    <row r="8" spans="1:27" s="33" customFormat="1" ht="25.5" customHeight="1" thickBot="1">
      <c r="A8" s="459" t="s">
        <v>15</v>
      </c>
      <c r="B8" s="550"/>
      <c r="C8" s="505">
        <f>C47</f>
        <v>2602730.4699999997</v>
      </c>
      <c r="D8" s="78">
        <f aca="true" t="shared" si="3" ref="D8:R8">D47</f>
        <v>864292.04</v>
      </c>
      <c r="E8" s="684">
        <f t="shared" si="3"/>
        <v>2257926.39</v>
      </c>
      <c r="F8" s="78">
        <f t="shared" si="3"/>
        <v>3963570.380000001</v>
      </c>
      <c r="G8" s="392">
        <f t="shared" si="3"/>
        <v>1072573</v>
      </c>
      <c r="H8" s="78">
        <f t="shared" si="3"/>
        <v>2556816.57</v>
      </c>
      <c r="I8" s="78">
        <f t="shared" si="3"/>
        <v>521902</v>
      </c>
      <c r="J8" s="78">
        <f t="shared" si="3"/>
        <v>308188</v>
      </c>
      <c r="K8" s="78">
        <f t="shared" si="3"/>
        <v>248181</v>
      </c>
      <c r="L8" s="357">
        <f>L47</f>
        <v>14396179.850000001</v>
      </c>
      <c r="M8" s="78">
        <f t="shared" si="3"/>
        <v>0</v>
      </c>
      <c r="N8" s="505">
        <f t="shared" si="3"/>
        <v>0</v>
      </c>
      <c r="O8" s="78">
        <f t="shared" si="3"/>
        <v>521541</v>
      </c>
      <c r="P8" s="78">
        <f t="shared" si="3"/>
        <v>1137094</v>
      </c>
      <c r="Q8" s="392">
        <f t="shared" si="3"/>
        <v>0</v>
      </c>
      <c r="R8" s="78">
        <f t="shared" si="3"/>
        <v>0</v>
      </c>
      <c r="S8" s="71">
        <f>L8+M8+N8+O8+P8+Q8+R8</f>
        <v>16054814.850000001</v>
      </c>
      <c r="T8" s="623"/>
      <c r="U8" s="623"/>
      <c r="V8" s="623"/>
      <c r="W8" s="623"/>
      <c r="X8" s="623"/>
      <c r="Y8" s="623"/>
      <c r="Z8" s="623"/>
      <c r="AA8" s="623"/>
    </row>
    <row r="9" spans="1:27" s="31" customFormat="1" ht="22.5" customHeight="1" thickBot="1">
      <c r="A9" s="454" t="s">
        <v>16</v>
      </c>
      <c r="B9" s="449">
        <f>'[31]SD 2018'!$C$10</f>
        <v>59950735</v>
      </c>
      <c r="C9" s="658">
        <f aca="true" t="shared" si="4" ref="C9:J9">C10+C47+C73+C75</f>
        <v>11813166.030000001</v>
      </c>
      <c r="D9" s="79">
        <f t="shared" si="4"/>
        <v>5103668.34</v>
      </c>
      <c r="E9" s="330">
        <f t="shared" si="4"/>
        <v>10798097.709999999</v>
      </c>
      <c r="F9" s="79">
        <f t="shared" si="4"/>
        <v>11706738.38</v>
      </c>
      <c r="G9" s="330">
        <f t="shared" si="4"/>
        <v>4483005.5600000005</v>
      </c>
      <c r="H9" s="79">
        <f t="shared" si="4"/>
        <v>9120661.23</v>
      </c>
      <c r="I9" s="330">
        <f t="shared" si="4"/>
        <v>3340218.03</v>
      </c>
      <c r="J9" s="79">
        <f t="shared" si="4"/>
        <v>945584.3200000001</v>
      </c>
      <c r="K9" s="269">
        <f>K10+K48+K71+K72+K73+K75</f>
        <v>248311</v>
      </c>
      <c r="L9" s="269">
        <f>SUM(C9:I9)+J9+K9</f>
        <v>57559450.6</v>
      </c>
      <c r="M9" s="269">
        <f aca="true" t="shared" si="5" ref="M9:R9">M10+M48+M71+M72+M73+M75</f>
        <v>3072980.11</v>
      </c>
      <c r="N9" s="269">
        <f t="shared" si="5"/>
        <v>75076</v>
      </c>
      <c r="O9" s="269">
        <f t="shared" si="5"/>
        <v>4587746.86</v>
      </c>
      <c r="P9" s="269">
        <f t="shared" si="5"/>
        <v>2389716.85</v>
      </c>
      <c r="Q9" s="269">
        <f t="shared" si="5"/>
        <v>0</v>
      </c>
      <c r="R9" s="269">
        <f t="shared" si="5"/>
        <v>352661</v>
      </c>
      <c r="S9" s="79">
        <f>SUM(L9:R9)</f>
        <v>68037631.42</v>
      </c>
      <c r="T9" s="264">
        <v>36366240</v>
      </c>
      <c r="U9" s="264">
        <f>S9-T9</f>
        <v>31671391.42</v>
      </c>
      <c r="V9" s="264"/>
      <c r="W9" s="264"/>
      <c r="X9" s="264"/>
      <c r="Y9" s="264"/>
      <c r="Z9" s="264"/>
      <c r="AA9" s="264"/>
    </row>
    <row r="10" spans="1:27" s="33" customFormat="1" ht="24.75" customHeight="1" thickBot="1">
      <c r="A10" s="460" t="s">
        <v>56</v>
      </c>
      <c r="B10" s="450">
        <f>'[31]SD 2018'!$C$11</f>
        <v>31101507</v>
      </c>
      <c r="C10" s="506">
        <f>C11+C17+C23+C42</f>
        <v>8778643.56</v>
      </c>
      <c r="D10" s="416">
        <f aca="true" t="shared" si="6" ref="D10:K10">D11+D17+D23+D42</f>
        <v>4021255.3</v>
      </c>
      <c r="E10" s="417">
        <f t="shared" si="6"/>
        <v>7986985.319999999</v>
      </c>
      <c r="F10" s="416">
        <f>F11+F17+F23+F42</f>
        <v>7332326</v>
      </c>
      <c r="G10" s="417">
        <f t="shared" si="6"/>
        <v>3273729.56</v>
      </c>
      <c r="H10" s="416">
        <f t="shared" si="6"/>
        <v>5490353.4399999995</v>
      </c>
      <c r="I10" s="417">
        <f t="shared" si="6"/>
        <v>2487576.03</v>
      </c>
      <c r="J10" s="416">
        <f t="shared" si="6"/>
        <v>622163.3200000001</v>
      </c>
      <c r="K10" s="418">
        <f t="shared" si="6"/>
        <v>130</v>
      </c>
      <c r="L10" s="418">
        <f>SUM(C10:K10)</f>
        <v>39993162.53</v>
      </c>
      <c r="M10" s="416">
        <f aca="true" t="shared" si="7" ref="M10:R10">M11+M17+M23+M42</f>
        <v>0</v>
      </c>
      <c r="N10" s="506">
        <f t="shared" si="7"/>
        <v>10000</v>
      </c>
      <c r="O10" s="416">
        <f t="shared" si="7"/>
        <v>3968780.8600000003</v>
      </c>
      <c r="P10" s="416">
        <f t="shared" si="7"/>
        <v>1237250.85</v>
      </c>
      <c r="Q10" s="418">
        <f>Q11+Q17+Q23+Q42</f>
        <v>0</v>
      </c>
      <c r="R10" s="416">
        <f t="shared" si="7"/>
        <v>332661</v>
      </c>
      <c r="S10" s="416">
        <f>L10+M10+N10+O10+P10+Q10+R10</f>
        <v>45541855.24</v>
      </c>
      <c r="T10" s="623">
        <v>36033579.44</v>
      </c>
      <c r="U10" s="623">
        <f>S10-T10</f>
        <v>9508275.800000004</v>
      </c>
      <c r="V10" s="623"/>
      <c r="W10" s="623"/>
      <c r="X10" s="623"/>
      <c r="Y10" s="623"/>
      <c r="Z10" s="623"/>
      <c r="AA10" s="623"/>
    </row>
    <row r="11" spans="1:27" s="148" customFormat="1" ht="18.75" customHeight="1" thickBot="1">
      <c r="A11" s="486" t="s">
        <v>57</v>
      </c>
      <c r="B11" s="487">
        <f>'[31]SD 2018'!$C$12</f>
        <v>18959089</v>
      </c>
      <c r="C11" s="721">
        <f>3664810+1375+9430+580231+834.16+1079.5+C13+1500000+13543+7556.5+35893.49-2146.56</f>
        <v>5821906.090000001</v>
      </c>
      <c r="D11" s="722">
        <f>1448190+9414-1375+894+298727+861083+D13+5574</f>
        <v>2629507</v>
      </c>
      <c r="E11" s="720">
        <f>2740159+483640+829.48+1073.45+1627195+E13+100+8755+7514.15+6422.33+58151+2297-3428+2146.56</f>
        <v>4940354.97</v>
      </c>
      <c r="F11" s="722">
        <f>3237284-894+553653-11280+768.63+994.7+F13-17053+11821+6962.9+490397.77</f>
        <v>4282155</v>
      </c>
      <c r="G11" s="723">
        <f>1604665-9414-9430+235923+753.49+975.1+G13+4463+6825.7</f>
        <v>1842761.29</v>
      </c>
      <c r="H11" s="724">
        <f>2988408+469344+834.16+1079.5+H13+9025+7556.5+7391</f>
        <v>3488638.16</v>
      </c>
      <c r="I11" s="724">
        <f>1267592+141115+3473-1211+I13-35893.49-6422.33-1143.49+200000</f>
        <v>1569509.69</v>
      </c>
      <c r="J11" s="724">
        <f>306973+0+11280+17053+1795+1211+55740-2297+3428+1143.49</f>
        <v>396326.49</v>
      </c>
      <c r="K11" s="724">
        <f>62088-62088</f>
        <v>0</v>
      </c>
      <c r="L11" s="489">
        <f>SUM(C11:K11)</f>
        <v>24971158.689999998</v>
      </c>
      <c r="M11" s="488">
        <v>0</v>
      </c>
      <c r="N11" s="507">
        <v>0</v>
      </c>
      <c r="O11" s="490">
        <f>1121679+493633-4019.92-5202.25+62088+O13-36415.75-55740+432000</f>
        <v>2048133.08</v>
      </c>
      <c r="P11" s="491">
        <f>138035-3000+43322+P15-7500-32211-10800-1300+7500-42400</f>
        <v>113835</v>
      </c>
      <c r="Q11" s="510"/>
      <c r="R11" s="492">
        <f>-356186+356186</f>
        <v>0</v>
      </c>
      <c r="S11" s="493">
        <f aca="true" t="shared" si="8" ref="S11:S16">SUM(L11:R11)</f>
        <v>27133126.769999996</v>
      </c>
      <c r="T11" s="259"/>
      <c r="U11" s="259"/>
      <c r="V11" s="259"/>
      <c r="W11" s="259"/>
      <c r="X11" s="259"/>
      <c r="Y11" s="259"/>
      <c r="Z11" s="259"/>
      <c r="AA11" s="259"/>
    </row>
    <row r="12" spans="1:27" s="36" customFormat="1" ht="15.75">
      <c r="A12" s="461" t="s">
        <v>104</v>
      </c>
      <c r="B12" s="551"/>
      <c r="C12" s="659"/>
      <c r="D12" s="154"/>
      <c r="E12" s="326"/>
      <c r="F12" s="154"/>
      <c r="G12" s="393"/>
      <c r="H12" s="154"/>
      <c r="I12" s="154"/>
      <c r="J12" s="439"/>
      <c r="K12" s="393"/>
      <c r="L12" s="358">
        <f>SUM(C12:J12)</f>
        <v>0</v>
      </c>
      <c r="M12" s="154"/>
      <c r="N12" s="512"/>
      <c r="O12" s="154"/>
      <c r="P12" s="154"/>
      <c r="Q12" s="326"/>
      <c r="R12" s="51"/>
      <c r="S12" s="521">
        <f t="shared" si="8"/>
        <v>0</v>
      </c>
      <c r="T12" s="624"/>
      <c r="U12" s="624"/>
      <c r="V12" s="624"/>
      <c r="W12" s="624"/>
      <c r="X12" s="624"/>
      <c r="Y12" s="624"/>
      <c r="Z12" s="624"/>
      <c r="AA12" s="624"/>
    </row>
    <row r="13" spans="1:27" s="36" customFormat="1" ht="15.75">
      <c r="A13" s="461" t="s">
        <v>105</v>
      </c>
      <c r="B13" s="552"/>
      <c r="C13" s="659">
        <f>3000+3000+1300+2000</f>
        <v>9300</v>
      </c>
      <c r="D13" s="154">
        <f>2000+5000</f>
        <v>7000</v>
      </c>
      <c r="E13" s="326">
        <f>2500+3000</f>
        <v>5500</v>
      </c>
      <c r="F13" s="154">
        <f>3000+2500+2000+2000</f>
        <v>9500</v>
      </c>
      <c r="G13" s="393">
        <f>2000+3000+3000</f>
        <v>8000</v>
      </c>
      <c r="H13" s="154">
        <f>3000+2000</f>
        <v>5000</v>
      </c>
      <c r="I13" s="154">
        <f>2000</f>
        <v>2000</v>
      </c>
      <c r="J13" s="439"/>
      <c r="K13" s="398"/>
      <c r="L13" s="398">
        <f>SUM(C13:J13)</f>
        <v>46300</v>
      </c>
      <c r="M13" s="183"/>
      <c r="N13" s="513"/>
      <c r="O13" s="183">
        <f>16711+23400</f>
        <v>40111</v>
      </c>
      <c r="P13" s="693">
        <f>78035-3000+43322-7500-32211-1300+7500-42400</f>
        <v>42446</v>
      </c>
      <c r="Q13" s="337"/>
      <c r="R13" s="440"/>
      <c r="S13" s="441">
        <f t="shared" si="8"/>
        <v>128857</v>
      </c>
      <c r="T13" s="766">
        <f>S9-T9</f>
        <v>31671391.42</v>
      </c>
      <c r="U13" s="624"/>
      <c r="V13" s="624"/>
      <c r="W13" s="624"/>
      <c r="X13" s="624"/>
      <c r="Y13" s="624"/>
      <c r="Z13" s="624"/>
      <c r="AA13" s="624"/>
    </row>
    <row r="14" spans="1:27" s="36" customFormat="1" ht="15.75">
      <c r="A14" s="461" t="s">
        <v>98</v>
      </c>
      <c r="B14" s="552"/>
      <c r="C14" s="692">
        <f>'[33]Mzdy_2019_50,30,20'!$U$12</f>
        <v>14400</v>
      </c>
      <c r="D14" s="692"/>
      <c r="E14" s="692">
        <f>'[33]Mzdy_2019_50,30,20'!$U$14</f>
        <v>14400</v>
      </c>
      <c r="F14" s="692"/>
      <c r="G14" s="692"/>
      <c r="H14" s="692">
        <f>'[33]Mzdy_2019_50,30,20'!$U$17</f>
        <v>14400</v>
      </c>
      <c r="I14" s="692">
        <f>'[33]Mzdy_2019_50,30,20'!$U$18</f>
        <v>14400</v>
      </c>
      <c r="J14" s="439"/>
      <c r="K14" s="393"/>
      <c r="L14" s="358">
        <f>SUM(C14:J14)</f>
        <v>57600</v>
      </c>
      <c r="M14" s="154"/>
      <c r="N14" s="512"/>
      <c r="O14" s="154"/>
      <c r="P14" s="158">
        <f>'[33]SD 2019'!$T$15-10800</f>
        <v>49200</v>
      </c>
      <c r="Q14" s="326"/>
      <c r="R14" s="34"/>
      <c r="S14" s="177">
        <f t="shared" si="8"/>
        <v>106800</v>
      </c>
      <c r="T14" s="624"/>
      <c r="U14" s="624"/>
      <c r="V14" s="624"/>
      <c r="W14" s="624"/>
      <c r="X14" s="624"/>
      <c r="Y14" s="624"/>
      <c r="Z14" s="624"/>
      <c r="AA14" s="624"/>
    </row>
    <row r="15" spans="1:27" s="36" customFormat="1" ht="15">
      <c r="A15" s="715" t="s">
        <v>167</v>
      </c>
      <c r="B15" s="552"/>
      <c r="C15" s="659"/>
      <c r="D15" s="154"/>
      <c r="E15" s="326"/>
      <c r="F15" s="154"/>
      <c r="G15" s="326"/>
      <c r="H15" s="154"/>
      <c r="I15" s="326"/>
      <c r="J15" s="154"/>
      <c r="K15" s="393"/>
      <c r="L15" s="358">
        <f>SUM(C15:J15)</f>
        <v>0</v>
      </c>
      <c r="M15" s="154"/>
      <c r="N15" s="512"/>
      <c r="O15" s="154"/>
      <c r="P15" s="158">
        <v>22189</v>
      </c>
      <c r="Q15" s="326"/>
      <c r="R15" s="34"/>
      <c r="S15" s="177">
        <f t="shared" si="8"/>
        <v>22189</v>
      </c>
      <c r="T15" s="624"/>
      <c r="U15" s="624"/>
      <c r="V15" s="624"/>
      <c r="W15" s="624"/>
      <c r="X15" s="624"/>
      <c r="Y15" s="624"/>
      <c r="Z15" s="624"/>
      <c r="AA15" s="624"/>
    </row>
    <row r="16" spans="1:27" s="36" customFormat="1" ht="16.5" thickBot="1">
      <c r="A16" s="750"/>
      <c r="B16" s="751"/>
      <c r="C16" s="752"/>
      <c r="D16" s="155"/>
      <c r="E16" s="331"/>
      <c r="F16" s="155"/>
      <c r="G16" s="331"/>
      <c r="H16" s="155"/>
      <c r="I16" s="331"/>
      <c r="J16" s="155"/>
      <c r="K16" s="394"/>
      <c r="L16" s="359">
        <f>SUM(C16:J16)</f>
        <v>0</v>
      </c>
      <c r="M16" s="155"/>
      <c r="N16" s="514"/>
      <c r="O16" s="155"/>
      <c r="P16" s="753"/>
      <c r="Q16" s="331"/>
      <c r="R16" s="244"/>
      <c r="S16" s="253">
        <f t="shared" si="8"/>
        <v>0</v>
      </c>
      <c r="T16" s="624"/>
      <c r="U16" s="624"/>
      <c r="V16" s="624"/>
      <c r="W16" s="624"/>
      <c r="X16" s="624"/>
      <c r="Y16" s="624"/>
      <c r="Z16" s="624"/>
      <c r="AA16" s="624"/>
    </row>
    <row r="17" spans="1:27" s="148" customFormat="1" ht="21" customHeight="1" thickBot="1">
      <c r="A17" s="537" t="s">
        <v>54</v>
      </c>
      <c r="B17" s="539">
        <f>'[31]SD 2018'!$C$15</f>
        <v>6673599</v>
      </c>
      <c r="C17" s="756">
        <f>1290013+484+3319+204241+260.26+336.8+C21+C19+528000+4767+2357.6+12634.51-1181.44</f>
        <v>2057355.9900000002</v>
      </c>
      <c r="D17" s="757">
        <f>509763+3313-484+315+105151+D21+250271+D19+1962</f>
        <v>878656.98</v>
      </c>
      <c r="E17" s="758">
        <f>964536+170241+258.8+334.92+E21+572773+E19+36+3082+2344.44+2260.67+20469+808-1206+1181.44</f>
        <v>1748245.9899999998</v>
      </c>
      <c r="F17" s="757">
        <f>1139524-315+194885-3970+F19+270.56+350.13+F21-6003+4161+2450.91+345476.26</f>
        <v>1688149.9999999998</v>
      </c>
      <c r="G17" s="759">
        <f>564842-3313-3319+83046+263.23+343.24+G21+G19+1571+2402.68</f>
        <v>656210.84</v>
      </c>
      <c r="H17" s="760">
        <f>1051920+165208+260.26+336.8+H21+H19+3177+2357.6+2609</f>
        <v>1237175.05</v>
      </c>
      <c r="I17" s="760">
        <f>446192+49672+I21+1222-426+I19-12634.51-2260.67-402.51</f>
        <v>512520.99000000005</v>
      </c>
      <c r="J17" s="760">
        <f>108055+3970+6003+632+426+30278-808+1206+402.51</f>
        <v>150164.51</v>
      </c>
      <c r="K17" s="760">
        <f>21855-21855</f>
        <v>0</v>
      </c>
      <c r="L17" s="632">
        <f>SUM(C17:K17)</f>
        <v>8928480.35</v>
      </c>
      <c r="M17" s="633">
        <v>0</v>
      </c>
      <c r="N17" s="634">
        <v>0</v>
      </c>
      <c r="O17" s="633">
        <f>'[33]SD 2019'!$S$16+173759-1313.11-1701.89+O21+21855+O19-11913.23-30278+141000</f>
        <v>703580.14</v>
      </c>
      <c r="P17" s="633">
        <f>48588-1056+15249+100000-1347.84-28460.88-1182.18+P22-6231.98-2640-7978.99-11339-2947.62-1739.68-857.12-6329.31-9528.41-7685.87-3802-458+2640+100+23-8533.35-14925</f>
        <v>57367.770000000004</v>
      </c>
      <c r="Q17" s="635"/>
      <c r="R17" s="636">
        <f>-125374+125374</f>
        <v>0</v>
      </c>
      <c r="S17" s="637">
        <f>L17+M17+N17+O17+P17+Q17</f>
        <v>9689428.26</v>
      </c>
      <c r="T17" s="259"/>
      <c r="U17" s="259"/>
      <c r="V17" s="259"/>
      <c r="W17" s="259"/>
      <c r="X17" s="259"/>
      <c r="Y17" s="259"/>
      <c r="Z17" s="259"/>
      <c r="AA17" s="259"/>
    </row>
    <row r="18" spans="1:27" s="38" customFormat="1" ht="15.75">
      <c r="A18" s="580" t="s">
        <v>104</v>
      </c>
      <c r="B18" s="642"/>
      <c r="C18" s="659"/>
      <c r="D18" s="154"/>
      <c r="E18" s="326"/>
      <c r="F18" s="754"/>
      <c r="G18" s="526"/>
      <c r="H18" s="528"/>
      <c r="I18" s="524"/>
      <c r="J18" s="154"/>
      <c r="K18" s="326"/>
      <c r="L18" s="755">
        <f>SUM(C18:J18)</f>
        <v>0</v>
      </c>
      <c r="M18" s="326"/>
      <c r="N18" s="34"/>
      <c r="O18" s="163"/>
      <c r="P18" s="163"/>
      <c r="Q18" s="517"/>
      <c r="R18" s="34"/>
      <c r="S18" s="177">
        <f aca="true" t="shared" si="9" ref="S18:S24">SUM(L18:R18)</f>
        <v>0</v>
      </c>
      <c r="T18" s="317"/>
      <c r="U18" s="317"/>
      <c r="V18" s="317"/>
      <c r="W18" s="317"/>
      <c r="X18" s="317"/>
      <c r="Y18" s="317"/>
      <c r="Z18" s="317"/>
      <c r="AA18" s="317"/>
    </row>
    <row r="19" spans="1:27" s="536" customFormat="1" ht="15.75">
      <c r="A19" s="612" t="s">
        <v>105</v>
      </c>
      <c r="B19" s="643"/>
      <c r="C19" s="660">
        <f>1056+1056+458+704</f>
        <v>3274</v>
      </c>
      <c r="D19" s="160">
        <f>704+1760</f>
        <v>2464</v>
      </c>
      <c r="E19" s="346">
        <f>880+1056</f>
        <v>1936</v>
      </c>
      <c r="F19" s="160">
        <f>1056+880+704+704</f>
        <v>3344</v>
      </c>
      <c r="G19" s="346">
        <f>704+1056+1056</f>
        <v>2816</v>
      </c>
      <c r="H19" s="160">
        <f>1056+704</f>
        <v>1760</v>
      </c>
      <c r="I19" s="346">
        <f>704</f>
        <v>704</v>
      </c>
      <c r="J19" s="160"/>
      <c r="K19" s="346"/>
      <c r="L19" s="546">
        <f>SUM(C19:J19)</f>
        <v>16298</v>
      </c>
      <c r="M19" s="531"/>
      <c r="N19" s="533"/>
      <c r="O19" s="239">
        <f>5883+8237</f>
        <v>14120</v>
      </c>
      <c r="P19" s="239">
        <f>27468-1056+15249-2640-11339-458+2640-14925</f>
        <v>14939</v>
      </c>
      <c r="Q19" s="532"/>
      <c r="R19" s="533"/>
      <c r="S19" s="534">
        <f t="shared" si="9"/>
        <v>45357</v>
      </c>
      <c r="T19" s="535"/>
      <c r="U19" s="535"/>
      <c r="V19" s="535"/>
      <c r="W19" s="535"/>
      <c r="X19" s="535"/>
      <c r="Y19" s="535"/>
      <c r="Z19" s="535"/>
      <c r="AA19" s="535"/>
    </row>
    <row r="20" spans="1:27" s="38" customFormat="1" ht="15.75">
      <c r="A20" s="612" t="s">
        <v>98</v>
      </c>
      <c r="B20" s="643"/>
      <c r="C20" s="660">
        <v>5069</v>
      </c>
      <c r="D20" s="160"/>
      <c r="E20" s="346">
        <v>5069</v>
      </c>
      <c r="F20" s="160"/>
      <c r="G20" s="346"/>
      <c r="H20" s="160">
        <v>5069</v>
      </c>
      <c r="I20" s="346">
        <v>5068</v>
      </c>
      <c r="J20" s="160"/>
      <c r="K20" s="346"/>
      <c r="L20" s="546">
        <f>SUM(C20:J20)</f>
        <v>20275</v>
      </c>
      <c r="M20" s="346"/>
      <c r="N20" s="44"/>
      <c r="O20" s="160"/>
      <c r="P20" s="158">
        <f>21120-3802</f>
        <v>17318</v>
      </c>
      <c r="Q20" s="518"/>
      <c r="R20" s="44"/>
      <c r="S20" s="522">
        <f t="shared" si="9"/>
        <v>37593</v>
      </c>
      <c r="T20" s="317"/>
      <c r="U20" s="317"/>
      <c r="V20" s="317"/>
      <c r="W20" s="317"/>
      <c r="X20" s="317"/>
      <c r="Y20" s="317"/>
      <c r="Z20" s="317"/>
      <c r="AA20" s="317"/>
    </row>
    <row r="21" spans="1:27" s="38" customFormat="1" ht="15">
      <c r="A21" s="749" t="s">
        <v>178</v>
      </c>
      <c r="B21" s="643"/>
      <c r="C21" s="660">
        <f>4403.34+1005.84+909.32+1070.96+436.48+599.28+425.04</f>
        <v>8850.260000000002</v>
      </c>
      <c r="D21" s="160">
        <f>1305.28+737.45+851.79+853.4+2154.06</f>
        <v>5901.98</v>
      </c>
      <c r="E21" s="346">
        <f>3192.64+857.12+1742.4+880+1603.36+915.2</f>
        <v>9190.720000000001</v>
      </c>
      <c r="F21" s="160">
        <f>2741.9+762.96+960.96+865.04+723.36+842.16+1079.76</f>
        <v>7976.139999999999</v>
      </c>
      <c r="G21" s="346">
        <f>3044.21+934.75+791.4+582.75+441.1+947.13-23+840.35</f>
        <v>7558.6900000000005</v>
      </c>
      <c r="H21" s="160">
        <f>2943.17+1182.18+1202.76+948.28+871.88+225.28+919.09-100+1353.75</f>
        <v>9546.39</v>
      </c>
      <c r="I21" s="346">
        <f>10830.34+5469.02+4472.16+6401.12+1653.34+1628.7</f>
        <v>30454.68</v>
      </c>
      <c r="J21" s="160"/>
      <c r="K21" s="346"/>
      <c r="L21" s="546">
        <f>SUM(C21:K21)</f>
        <v>79478.86</v>
      </c>
      <c r="M21" s="346"/>
      <c r="N21" s="44"/>
      <c r="O21" s="160">
        <f>1347.84+363.48+339.89+344.49+421.07+268.11+136.49</f>
        <v>3221.37</v>
      </c>
      <c r="P21" s="158">
        <f>100000-74289.88+100+23-8533.35</f>
        <v>17299.769999999997</v>
      </c>
      <c r="Q21" s="518"/>
      <c r="R21" s="44"/>
      <c r="S21" s="522">
        <f t="shared" si="9"/>
        <v>100000</v>
      </c>
      <c r="T21" s="317"/>
      <c r="U21" s="317"/>
      <c r="V21" s="317"/>
      <c r="W21" s="317"/>
      <c r="X21" s="317"/>
      <c r="Y21" s="317"/>
      <c r="Z21" s="317"/>
      <c r="AA21" s="317"/>
    </row>
    <row r="22" spans="1:27" s="38" customFormat="1" ht="15.75" thickBot="1">
      <c r="A22" s="715" t="s">
        <v>167</v>
      </c>
      <c r="B22" s="644"/>
      <c r="C22" s="661"/>
      <c r="D22" s="516"/>
      <c r="E22" s="527"/>
      <c r="F22" s="516"/>
      <c r="G22" s="527"/>
      <c r="H22" s="516"/>
      <c r="I22" s="527"/>
      <c r="J22" s="530"/>
      <c r="K22" s="527"/>
      <c r="L22" s="547">
        <f>SUM(C22:J22)</f>
        <v>0</v>
      </c>
      <c r="M22" s="527"/>
      <c r="N22" s="41"/>
      <c r="O22" s="516"/>
      <c r="P22" s="511">
        <v>7811</v>
      </c>
      <c r="Q22" s="519"/>
      <c r="R22" s="41"/>
      <c r="S22" s="523">
        <f t="shared" si="9"/>
        <v>7811</v>
      </c>
      <c r="T22" s="317"/>
      <c r="U22" s="317"/>
      <c r="V22" s="317"/>
      <c r="W22" s="317"/>
      <c r="X22" s="317"/>
      <c r="Y22" s="317"/>
      <c r="Z22" s="317"/>
      <c r="AA22" s="317"/>
    </row>
    <row r="23" spans="1:27" s="148" customFormat="1" ht="18.75" customHeight="1" thickBot="1">
      <c r="A23" s="538" t="s">
        <v>55</v>
      </c>
      <c r="B23" s="645">
        <f>'[31]SD 2018'!$C$19</f>
        <v>5468819</v>
      </c>
      <c r="C23" s="662">
        <f>884757+2331.47+C36+3342.7+8814.31</f>
        <v>899381.48</v>
      </c>
      <c r="D23" s="549">
        <f>415952+D35+965.91+D36+2845.77+592+3861+7550+5333+5720.64+41000</f>
        <v>513091.32</v>
      </c>
      <c r="E23" s="685">
        <f>695696+550538+1026.55+E36+2306.59+655+1104+2407+1764+2047+5935.22+34499</f>
        <v>1298384.36</v>
      </c>
      <c r="F23" s="726">
        <f>659712+F36+6489.97+9626.51+685786.52</f>
        <v>1362021</v>
      </c>
      <c r="G23" s="654">
        <f>368480+200000+616.78+200000+1891.93+3768.72</f>
        <v>774757.43</v>
      </c>
      <c r="H23" s="549">
        <f>749663+H36+7632.38+6973.85</f>
        <v>764540.23</v>
      </c>
      <c r="I23" s="730">
        <f>401346+1384.81+1154.87+1659.67</f>
        <v>405545.35</v>
      </c>
      <c r="J23" s="726">
        <f>74945+727.32</f>
        <v>75672.32</v>
      </c>
      <c r="K23" s="525">
        <v>130</v>
      </c>
      <c r="L23" s="156">
        <f>SUM(C23:K23)</f>
        <v>6093523.49</v>
      </c>
      <c r="M23" s="548">
        <v>0</v>
      </c>
      <c r="N23" s="631">
        <f>'[33]SD 2019'!$O$20</f>
        <v>10000</v>
      </c>
      <c r="O23" s="631">
        <f>'[33]SD 2019'!$S$20+508500+929.58+O36+851.85+6103.96+320730.25</f>
        <v>1217067.64</v>
      </c>
      <c r="P23" s="156">
        <f>'[33]SD 2019'!$T$20-29000+122000-1400-496+50783.08</f>
        <v>1066048.08</v>
      </c>
      <c r="Q23" s="520">
        <f>708500-508500-200000</f>
        <v>0</v>
      </c>
      <c r="R23" s="156">
        <f>50783.08-50783.08+332661</f>
        <v>332661</v>
      </c>
      <c r="S23" s="254">
        <f t="shared" si="9"/>
        <v>8719300.21</v>
      </c>
      <c r="T23" s="259"/>
      <c r="U23" s="259"/>
      <c r="V23" s="259"/>
      <c r="W23" s="259"/>
      <c r="X23" s="259"/>
      <c r="Y23" s="259"/>
      <c r="Z23" s="259"/>
      <c r="AA23" s="259"/>
    </row>
    <row r="24" spans="1:27" s="146" customFormat="1" ht="15">
      <c r="A24" s="694" t="s">
        <v>153</v>
      </c>
      <c r="B24" s="553">
        <v>44000</v>
      </c>
      <c r="C24" s="529"/>
      <c r="D24" s="326">
        <f>'[33]SD 2019'!$E$21</f>
        <v>59000</v>
      </c>
      <c r="E24" s="529"/>
      <c r="F24" s="686"/>
      <c r="G24" s="529"/>
      <c r="H24" s="326"/>
      <c r="I24" s="529"/>
      <c r="J24" s="686"/>
      <c r="K24" s="529"/>
      <c r="L24" s="731">
        <f aca="true" t="shared" si="10" ref="L24:L37">SUM(C24:J24)</f>
        <v>59000</v>
      </c>
      <c r="M24" s="154"/>
      <c r="N24" s="154"/>
      <c r="O24" s="154"/>
      <c r="P24" s="154"/>
      <c r="Q24" s="154"/>
      <c r="R24" s="154"/>
      <c r="S24" s="163">
        <f t="shared" si="9"/>
        <v>59000</v>
      </c>
      <c r="T24" s="625"/>
      <c r="U24" s="625"/>
      <c r="V24" s="625"/>
      <c r="W24" s="625"/>
      <c r="X24" s="625"/>
      <c r="Y24" s="625"/>
      <c r="Z24" s="625"/>
      <c r="AA24" s="625"/>
    </row>
    <row r="25" spans="1:27" s="146" customFormat="1" ht="15">
      <c r="A25" s="695" t="s">
        <v>154</v>
      </c>
      <c r="B25" s="554"/>
      <c r="C25" s="154"/>
      <c r="D25" s="326"/>
      <c r="E25" s="154"/>
      <c r="F25" s="326"/>
      <c r="G25" s="154"/>
      <c r="H25" s="326"/>
      <c r="I25" s="154"/>
      <c r="J25" s="326"/>
      <c r="K25" s="154"/>
      <c r="L25" s="727">
        <f t="shared" si="10"/>
        <v>0</v>
      </c>
      <c r="M25" s="154"/>
      <c r="N25" s="154"/>
      <c r="O25" s="154"/>
      <c r="P25" s="154">
        <f>'[33]SD 2019'!$T$23</f>
        <v>31266</v>
      </c>
      <c r="Q25" s="154"/>
      <c r="R25" s="154"/>
      <c r="S25" s="158">
        <f aca="true" t="shared" si="11" ref="S25:S33">L25+P25</f>
        <v>31266</v>
      </c>
      <c r="T25" s="625"/>
      <c r="U25" s="625"/>
      <c r="V25" s="625"/>
      <c r="W25" s="625"/>
      <c r="X25" s="625"/>
      <c r="Y25" s="625"/>
      <c r="Z25" s="625"/>
      <c r="AA25" s="625"/>
    </row>
    <row r="26" spans="1:27" s="146" customFormat="1" ht="15">
      <c r="A26" s="695" t="s">
        <v>182</v>
      </c>
      <c r="B26" s="554"/>
      <c r="C26" s="154"/>
      <c r="D26" s="326"/>
      <c r="E26" s="154"/>
      <c r="F26" s="326"/>
      <c r="G26" s="154"/>
      <c r="H26" s="326"/>
      <c r="I26" s="154"/>
      <c r="J26" s="326"/>
      <c r="K26" s="154"/>
      <c r="L26" s="727">
        <f t="shared" si="10"/>
        <v>0</v>
      </c>
      <c r="M26" s="154"/>
      <c r="N26" s="154"/>
      <c r="O26" s="154"/>
      <c r="P26" s="154">
        <f>'[33]SD 2019'!$T$24</f>
        <v>25500</v>
      </c>
      <c r="Q26" s="154"/>
      <c r="R26" s="154"/>
      <c r="S26" s="158">
        <f t="shared" si="11"/>
        <v>25500</v>
      </c>
      <c r="T26" s="625"/>
      <c r="U26" s="625"/>
      <c r="V26" s="625"/>
      <c r="W26" s="625"/>
      <c r="X26" s="625"/>
      <c r="Y26" s="625"/>
      <c r="Z26" s="625"/>
      <c r="AA26" s="625"/>
    </row>
    <row r="27" spans="1:27" s="146" customFormat="1" ht="15">
      <c r="A27" s="696" t="s">
        <v>155</v>
      </c>
      <c r="B27" s="554"/>
      <c r="C27" s="154"/>
      <c r="D27" s="326"/>
      <c r="E27" s="154"/>
      <c r="F27" s="326"/>
      <c r="G27" s="154"/>
      <c r="H27" s="326"/>
      <c r="I27" s="154"/>
      <c r="J27" s="326"/>
      <c r="K27" s="154"/>
      <c r="L27" s="727">
        <f t="shared" si="10"/>
        <v>0</v>
      </c>
      <c r="M27" s="154"/>
      <c r="N27" s="154"/>
      <c r="O27" s="154"/>
      <c r="P27" s="316">
        <f>'[33]SD 2019'!$T$25</f>
        <v>6500</v>
      </c>
      <c r="Q27" s="154"/>
      <c r="R27" s="154"/>
      <c r="S27" s="158">
        <f t="shared" si="11"/>
        <v>6500</v>
      </c>
      <c r="T27" s="625"/>
      <c r="U27" s="625"/>
      <c r="V27" s="625"/>
      <c r="W27" s="625"/>
      <c r="X27" s="625"/>
      <c r="Y27" s="625"/>
      <c r="Z27" s="625"/>
      <c r="AA27" s="625"/>
    </row>
    <row r="28" spans="1:27" s="146" customFormat="1" ht="38.25">
      <c r="A28" s="695" t="s">
        <v>156</v>
      </c>
      <c r="B28" s="554"/>
      <c r="C28" s="154"/>
      <c r="D28" s="326"/>
      <c r="E28" s="154"/>
      <c r="F28" s="326"/>
      <c r="G28" s="154"/>
      <c r="H28" s="326"/>
      <c r="I28" s="154"/>
      <c r="J28" s="326"/>
      <c r="K28" s="154"/>
      <c r="L28" s="727">
        <f t="shared" si="10"/>
        <v>0</v>
      </c>
      <c r="M28" s="154"/>
      <c r="N28" s="154"/>
      <c r="O28" s="154"/>
      <c r="P28" s="318">
        <f>'[33]SD 2019'!$T$26</f>
        <v>24800</v>
      </c>
      <c r="Q28" s="154"/>
      <c r="R28" s="154"/>
      <c r="S28" s="158">
        <f t="shared" si="11"/>
        <v>24800</v>
      </c>
      <c r="T28" s="625"/>
      <c r="U28" s="625"/>
      <c r="V28" s="625"/>
      <c r="W28" s="625"/>
      <c r="X28" s="625"/>
      <c r="Y28" s="625"/>
      <c r="Z28" s="625"/>
      <c r="AA28" s="625"/>
    </row>
    <row r="29" spans="1:27" s="146" customFormat="1" ht="51">
      <c r="A29" s="695" t="s">
        <v>157</v>
      </c>
      <c r="B29" s="554"/>
      <c r="C29" s="154"/>
      <c r="D29" s="326"/>
      <c r="E29" s="154"/>
      <c r="F29" s="326"/>
      <c r="G29" s="154"/>
      <c r="H29" s="326"/>
      <c r="I29" s="154"/>
      <c r="J29" s="326"/>
      <c r="K29" s="154"/>
      <c r="L29" s="727">
        <f t="shared" si="10"/>
        <v>0</v>
      </c>
      <c r="M29" s="160"/>
      <c r="N29" s="160"/>
      <c r="O29" s="160"/>
      <c r="P29" s="316">
        <f>'[33]SD 2019'!$T$27</f>
        <v>129000</v>
      </c>
      <c r="Q29" s="158"/>
      <c r="R29" s="160"/>
      <c r="S29" s="158">
        <f t="shared" si="11"/>
        <v>129000</v>
      </c>
      <c r="T29" s="625"/>
      <c r="U29" s="625"/>
      <c r="V29" s="625"/>
      <c r="W29" s="625"/>
      <c r="X29" s="625"/>
      <c r="Y29" s="625"/>
      <c r="Z29" s="625"/>
      <c r="AA29" s="625"/>
    </row>
    <row r="30" spans="1:27" s="146" customFormat="1" ht="15">
      <c r="A30" s="696" t="s">
        <v>158</v>
      </c>
      <c r="B30" s="554"/>
      <c r="C30" s="154"/>
      <c r="D30" s="326"/>
      <c r="E30" s="154"/>
      <c r="F30" s="326"/>
      <c r="G30" s="154"/>
      <c r="H30" s="326"/>
      <c r="I30" s="154"/>
      <c r="J30" s="326"/>
      <c r="K30" s="154"/>
      <c r="L30" s="727">
        <f t="shared" si="10"/>
        <v>0</v>
      </c>
      <c r="M30" s="160"/>
      <c r="N30" s="160"/>
      <c r="O30" s="160"/>
      <c r="P30" s="319">
        <f>'[33]SD 2019'!$T$28</f>
        <v>230000</v>
      </c>
      <c r="Q30" s="159"/>
      <c r="R30" s="160"/>
      <c r="S30" s="158">
        <f t="shared" si="11"/>
        <v>230000</v>
      </c>
      <c r="T30" s="625"/>
      <c r="U30" s="625"/>
      <c r="V30" s="625"/>
      <c r="W30" s="625"/>
      <c r="X30" s="625"/>
      <c r="Y30" s="625"/>
      <c r="Z30" s="625"/>
      <c r="AA30" s="625"/>
    </row>
    <row r="31" spans="1:27" s="146" customFormat="1" ht="15">
      <c r="A31" s="696" t="s">
        <v>67</v>
      </c>
      <c r="B31" s="554"/>
      <c r="C31" s="154"/>
      <c r="D31" s="326"/>
      <c r="E31" s="154"/>
      <c r="F31" s="326"/>
      <c r="G31" s="154"/>
      <c r="H31" s="326"/>
      <c r="I31" s="154"/>
      <c r="J31" s="326"/>
      <c r="K31" s="154"/>
      <c r="L31" s="727">
        <f t="shared" si="10"/>
        <v>0</v>
      </c>
      <c r="M31" s="160"/>
      <c r="N31" s="160"/>
      <c r="O31" s="160"/>
      <c r="P31" s="319">
        <f>'[33]SD 2019'!$T$29</f>
        <v>426095</v>
      </c>
      <c r="Q31" s="159"/>
      <c r="R31" s="160"/>
      <c r="S31" s="158">
        <f t="shared" si="11"/>
        <v>426095</v>
      </c>
      <c r="T31" s="625"/>
      <c r="U31" s="625"/>
      <c r="V31" s="625"/>
      <c r="W31" s="625"/>
      <c r="X31" s="625"/>
      <c r="Y31" s="625"/>
      <c r="Z31" s="625"/>
      <c r="AA31" s="625"/>
    </row>
    <row r="32" spans="1:27" s="146" customFormat="1" ht="15">
      <c r="A32" s="696" t="s">
        <v>159</v>
      </c>
      <c r="B32" s="554"/>
      <c r="C32" s="154"/>
      <c r="D32" s="326"/>
      <c r="E32" s="154"/>
      <c r="F32" s="326"/>
      <c r="G32" s="154"/>
      <c r="H32" s="326"/>
      <c r="I32" s="154"/>
      <c r="J32" s="326"/>
      <c r="K32" s="154"/>
      <c r="L32" s="727">
        <f t="shared" si="10"/>
        <v>0</v>
      </c>
      <c r="M32" s="160"/>
      <c r="N32" s="160"/>
      <c r="O32" s="160"/>
      <c r="P32" s="319">
        <f>'[33]SD 2019'!$T$30</f>
        <v>0</v>
      </c>
      <c r="Q32" s="159"/>
      <c r="R32" s="160"/>
      <c r="S32" s="158">
        <f t="shared" si="11"/>
        <v>0</v>
      </c>
      <c r="T32" s="625"/>
      <c r="U32" s="625"/>
      <c r="V32" s="625"/>
      <c r="W32" s="625"/>
      <c r="X32" s="625"/>
      <c r="Y32" s="625"/>
      <c r="Z32" s="625"/>
      <c r="AA32" s="625"/>
    </row>
    <row r="33" spans="1:27" s="146" customFormat="1" ht="18.75" customHeight="1">
      <c r="A33" s="696" t="s">
        <v>101</v>
      </c>
      <c r="B33" s="555"/>
      <c r="C33" s="160"/>
      <c r="D33" s="346"/>
      <c r="E33" s="160"/>
      <c r="F33" s="346"/>
      <c r="G33" s="160"/>
      <c r="H33" s="346"/>
      <c r="I33" s="160"/>
      <c r="J33" s="346"/>
      <c r="K33" s="160"/>
      <c r="L33" s="727">
        <f t="shared" si="10"/>
        <v>0</v>
      </c>
      <c r="M33" s="160"/>
      <c r="N33" s="160"/>
      <c r="O33" s="160"/>
      <c r="P33" s="442">
        <f>'[33]SD 2019'!$T$31</f>
        <v>2000</v>
      </c>
      <c r="Q33" s="159"/>
      <c r="R33" s="160"/>
      <c r="S33" s="158">
        <f t="shared" si="11"/>
        <v>2000</v>
      </c>
      <c r="T33" s="625"/>
      <c r="U33" s="625"/>
      <c r="V33" s="625"/>
      <c r="W33" s="625"/>
      <c r="X33" s="625"/>
      <c r="Y33" s="625"/>
      <c r="Z33" s="625"/>
      <c r="AA33" s="625"/>
    </row>
    <row r="34" spans="1:27" s="146" customFormat="1" ht="18.75" customHeight="1" thickBot="1">
      <c r="A34" s="697" t="s">
        <v>160</v>
      </c>
      <c r="B34" s="556"/>
      <c r="C34" s="516"/>
      <c r="D34" s="527"/>
      <c r="E34" s="516"/>
      <c r="F34" s="527"/>
      <c r="G34" s="516"/>
      <c r="H34" s="527"/>
      <c r="I34" s="516"/>
      <c r="J34" s="527"/>
      <c r="K34" s="516"/>
      <c r="L34" s="727">
        <f t="shared" si="10"/>
        <v>0</v>
      </c>
      <c r="M34" s="160"/>
      <c r="N34" s="160"/>
      <c r="O34" s="160"/>
      <c r="P34" s="319">
        <f>'[33]SD 2019'!$T$32</f>
        <v>20000</v>
      </c>
      <c r="Q34" s="159"/>
      <c r="R34" s="160"/>
      <c r="S34" s="158">
        <f>SUM(N34:R34)</f>
        <v>20000</v>
      </c>
      <c r="T34" s="625"/>
      <c r="U34" s="625"/>
      <c r="V34" s="625"/>
      <c r="W34" s="625"/>
      <c r="X34" s="625"/>
      <c r="Y34" s="625"/>
      <c r="Z34" s="625"/>
      <c r="AA34" s="625"/>
    </row>
    <row r="35" spans="1:27" s="146" customFormat="1" ht="18.75" customHeight="1" thickBot="1">
      <c r="A35" s="698" t="s">
        <v>120</v>
      </c>
      <c r="B35" s="556"/>
      <c r="C35" s="160"/>
      <c r="D35" s="346">
        <v>29000</v>
      </c>
      <c r="E35" s="160"/>
      <c r="F35" s="346"/>
      <c r="G35" s="160"/>
      <c r="H35" s="346"/>
      <c r="I35" s="160"/>
      <c r="J35" s="346"/>
      <c r="K35" s="160"/>
      <c r="L35" s="727">
        <f t="shared" si="10"/>
        <v>29000</v>
      </c>
      <c r="M35" s="154"/>
      <c r="N35" s="154"/>
      <c r="O35" s="154"/>
      <c r="P35" s="319">
        <f>'[33]SD 2019'!$T$33-29000</f>
        <v>0</v>
      </c>
      <c r="Q35" s="159"/>
      <c r="R35" s="154"/>
      <c r="S35" s="163">
        <f aca="true" t="shared" si="12" ref="S35:S45">SUM(L35:R35)</f>
        <v>29000</v>
      </c>
      <c r="T35" s="625"/>
      <c r="U35" s="625"/>
      <c r="V35" s="625"/>
      <c r="W35" s="625"/>
      <c r="X35" s="625"/>
      <c r="Y35" s="625"/>
      <c r="Z35" s="625"/>
      <c r="AA35" s="625"/>
    </row>
    <row r="36" spans="1:27" s="146" customFormat="1" ht="18.75" customHeight="1" thickBot="1">
      <c r="A36" s="580" t="s">
        <v>170</v>
      </c>
      <c r="B36" s="556"/>
      <c r="C36" s="160">
        <f>100+36</f>
        <v>136</v>
      </c>
      <c r="D36" s="346">
        <f>200+71</f>
        <v>271</v>
      </c>
      <c r="E36" s="160">
        <f>300+106</f>
        <v>406</v>
      </c>
      <c r="F36" s="346">
        <f>300+106</f>
        <v>406</v>
      </c>
      <c r="G36" s="160"/>
      <c r="H36" s="346">
        <f>200+71</f>
        <v>271</v>
      </c>
      <c r="I36" s="160"/>
      <c r="J36" s="346"/>
      <c r="K36" s="160"/>
      <c r="L36" s="727">
        <f t="shared" si="10"/>
        <v>1490</v>
      </c>
      <c r="M36" s="154"/>
      <c r="N36" s="154"/>
      <c r="O36" s="154">
        <f>300+106</f>
        <v>406</v>
      </c>
      <c r="P36" s="319">
        <f>122000-1400-496</f>
        <v>120104</v>
      </c>
      <c r="Q36" s="159"/>
      <c r="R36" s="154"/>
      <c r="S36" s="163">
        <f t="shared" si="12"/>
        <v>122000</v>
      </c>
      <c r="T36" s="625"/>
      <c r="U36" s="625"/>
      <c r="V36" s="625"/>
      <c r="W36" s="625"/>
      <c r="X36" s="625"/>
      <c r="Y36" s="625"/>
      <c r="Z36" s="625"/>
      <c r="AA36" s="625"/>
    </row>
    <row r="37" spans="1:27" s="146" customFormat="1" ht="18.75" customHeight="1" thickBot="1">
      <c r="A37" s="698" t="s">
        <v>68</v>
      </c>
      <c r="B37" s="556"/>
      <c r="C37" s="728"/>
      <c r="D37" s="729"/>
      <c r="E37" s="728"/>
      <c r="F37" s="729"/>
      <c r="G37" s="728"/>
      <c r="H37" s="729"/>
      <c r="I37" s="728"/>
      <c r="J37" s="729"/>
      <c r="K37" s="728"/>
      <c r="L37" s="727">
        <f t="shared" si="10"/>
        <v>0</v>
      </c>
      <c r="M37" s="154"/>
      <c r="N37" s="154">
        <f>'[33]SD 2019'!$O$34</f>
        <v>10000</v>
      </c>
      <c r="O37" s="154"/>
      <c r="P37" s="319"/>
      <c r="Q37" s="159"/>
      <c r="R37" s="154"/>
      <c r="S37" s="163">
        <f t="shared" si="12"/>
        <v>10000</v>
      </c>
      <c r="T37" s="625"/>
      <c r="U37" s="625"/>
      <c r="V37" s="625"/>
      <c r="W37" s="625"/>
      <c r="X37" s="625"/>
      <c r="Y37" s="625"/>
      <c r="Z37" s="625"/>
      <c r="AA37" s="625"/>
    </row>
    <row r="38" spans="1:27" s="39" customFormat="1" ht="18.75" customHeight="1" hidden="1">
      <c r="A38" s="462"/>
      <c r="B38" s="557"/>
      <c r="C38" s="512"/>
      <c r="D38" s="34"/>
      <c r="E38" s="332"/>
      <c r="F38" s="34"/>
      <c r="G38" s="395"/>
      <c r="H38" s="34"/>
      <c r="I38" s="332"/>
      <c r="J38" s="512"/>
      <c r="K38" s="34"/>
      <c r="L38" s="360"/>
      <c r="M38" s="34"/>
      <c r="N38" s="34"/>
      <c r="O38" s="34"/>
      <c r="P38" s="34"/>
      <c r="Q38" s="185"/>
      <c r="R38" s="34"/>
      <c r="S38" s="177">
        <f t="shared" si="12"/>
        <v>0</v>
      </c>
      <c r="T38" s="625"/>
      <c r="U38" s="625"/>
      <c r="V38" s="625"/>
      <c r="W38" s="625"/>
      <c r="X38" s="625"/>
      <c r="Y38" s="625"/>
      <c r="Z38" s="625"/>
      <c r="AA38" s="625"/>
    </row>
    <row r="39" spans="1:27" s="36" customFormat="1" ht="16.5" hidden="1" thickBot="1">
      <c r="A39" s="462"/>
      <c r="B39" s="557"/>
      <c r="C39" s="512"/>
      <c r="D39" s="34"/>
      <c r="E39" s="332"/>
      <c r="F39" s="34"/>
      <c r="G39" s="395"/>
      <c r="H39" s="34"/>
      <c r="I39" s="332"/>
      <c r="J39" s="512"/>
      <c r="K39" s="34"/>
      <c r="L39" s="360"/>
      <c r="M39" s="34"/>
      <c r="N39" s="34"/>
      <c r="O39" s="34"/>
      <c r="P39" s="34"/>
      <c r="Q39" s="185"/>
      <c r="R39" s="34"/>
      <c r="S39" s="177">
        <f t="shared" si="12"/>
        <v>0</v>
      </c>
      <c r="T39" s="624"/>
      <c r="U39" s="624"/>
      <c r="V39" s="624"/>
      <c r="W39" s="624"/>
      <c r="X39" s="624"/>
      <c r="Y39" s="624"/>
      <c r="Z39" s="624"/>
      <c r="AA39" s="624"/>
    </row>
    <row r="40" spans="1:27" s="36" customFormat="1" ht="15" customHeight="1" hidden="1">
      <c r="A40" s="462"/>
      <c r="B40" s="557"/>
      <c r="C40" s="512"/>
      <c r="D40" s="34"/>
      <c r="E40" s="332"/>
      <c r="F40" s="34"/>
      <c r="G40" s="395"/>
      <c r="H40" s="34"/>
      <c r="I40" s="332"/>
      <c r="J40" s="512"/>
      <c r="K40" s="34"/>
      <c r="L40" s="360"/>
      <c r="M40" s="34"/>
      <c r="N40" s="34"/>
      <c r="O40" s="34"/>
      <c r="P40" s="34"/>
      <c r="Q40" s="185"/>
      <c r="R40" s="34"/>
      <c r="S40" s="177">
        <f t="shared" si="12"/>
        <v>0</v>
      </c>
      <c r="T40" s="624"/>
      <c r="U40" s="624"/>
      <c r="V40" s="624"/>
      <c r="W40" s="624"/>
      <c r="X40" s="624"/>
      <c r="Y40" s="624"/>
      <c r="Z40" s="624"/>
      <c r="AA40" s="624"/>
    </row>
    <row r="41" spans="1:27" s="36" customFormat="1" ht="16.5" hidden="1" thickBot="1">
      <c r="A41" s="462"/>
      <c r="B41" s="557"/>
      <c r="C41" s="512"/>
      <c r="D41" s="34"/>
      <c r="E41" s="332"/>
      <c r="F41" s="34"/>
      <c r="G41" s="395"/>
      <c r="H41" s="34"/>
      <c r="I41" s="332"/>
      <c r="J41" s="512"/>
      <c r="K41" s="34"/>
      <c r="L41" s="360"/>
      <c r="M41" s="34"/>
      <c r="N41" s="34"/>
      <c r="O41" s="34"/>
      <c r="P41" s="34"/>
      <c r="Q41" s="185"/>
      <c r="R41" s="34"/>
      <c r="S41" s="177">
        <f t="shared" si="12"/>
        <v>0</v>
      </c>
      <c r="T41" s="624"/>
      <c r="U41" s="624"/>
      <c r="V41" s="624"/>
      <c r="W41" s="624"/>
      <c r="X41" s="624"/>
      <c r="Y41" s="624"/>
      <c r="Z41" s="624"/>
      <c r="AA41" s="624"/>
    </row>
    <row r="42" spans="1:27" s="36" customFormat="1" ht="16.5" hidden="1" thickBot="1">
      <c r="A42" s="463"/>
      <c r="B42" s="558"/>
      <c r="C42" s="543">
        <f aca="true" t="shared" si="13" ref="C42:I42">C43+C44</f>
        <v>0</v>
      </c>
      <c r="D42" s="37">
        <f t="shared" si="13"/>
        <v>0</v>
      </c>
      <c r="E42" s="333">
        <f t="shared" si="13"/>
        <v>0</v>
      </c>
      <c r="F42" s="37">
        <f t="shared" si="13"/>
        <v>0</v>
      </c>
      <c r="G42" s="396">
        <f t="shared" si="13"/>
        <v>0</v>
      </c>
      <c r="H42" s="37">
        <f t="shared" si="13"/>
        <v>0</v>
      </c>
      <c r="I42" s="333">
        <f t="shared" si="13"/>
        <v>0</v>
      </c>
      <c r="J42" s="543"/>
      <c r="K42" s="37"/>
      <c r="L42" s="361">
        <f>SUM(C42:I42)</f>
        <v>0</v>
      </c>
      <c r="M42" s="37"/>
      <c r="N42" s="37"/>
      <c r="O42" s="37">
        <f>O43+O44</f>
        <v>0</v>
      </c>
      <c r="P42" s="37">
        <f>P43+P44</f>
        <v>0</v>
      </c>
      <c r="Q42" s="53">
        <f>Q43+Q44</f>
        <v>0</v>
      </c>
      <c r="R42" s="37">
        <f>R43+R44</f>
        <v>0</v>
      </c>
      <c r="S42" s="178">
        <f t="shared" si="12"/>
        <v>0</v>
      </c>
      <c r="T42" s="624"/>
      <c r="U42" s="624"/>
      <c r="V42" s="624"/>
      <c r="W42" s="624"/>
      <c r="X42" s="624"/>
      <c r="Y42" s="624"/>
      <c r="Z42" s="624"/>
      <c r="AA42" s="624"/>
    </row>
    <row r="43" spans="1:27" s="36" customFormat="1" ht="16.5" hidden="1" thickBot="1">
      <c r="A43" s="464"/>
      <c r="B43" s="559"/>
      <c r="C43" s="601"/>
      <c r="D43" s="40"/>
      <c r="E43" s="334"/>
      <c r="F43" s="40"/>
      <c r="G43" s="411"/>
      <c r="H43" s="34"/>
      <c r="I43" s="334"/>
      <c r="J43" s="513"/>
      <c r="K43" s="68"/>
      <c r="L43" s="360"/>
      <c r="M43" s="40"/>
      <c r="N43" s="40"/>
      <c r="O43" s="40"/>
      <c r="P43" s="40"/>
      <c r="Q43" s="186"/>
      <c r="R43" s="40"/>
      <c r="S43" s="179">
        <f t="shared" si="12"/>
        <v>0</v>
      </c>
      <c r="T43" s="624"/>
      <c r="U43" s="624"/>
      <c r="V43" s="624"/>
      <c r="W43" s="624"/>
      <c r="X43" s="624"/>
      <c r="Y43" s="624"/>
      <c r="Z43" s="624"/>
      <c r="AA43" s="624"/>
    </row>
    <row r="44" spans="1:27" s="33" customFormat="1" ht="15" customHeight="1" hidden="1">
      <c r="A44" s="465"/>
      <c r="B44" s="560"/>
      <c r="C44" s="663"/>
      <c r="D44" s="41"/>
      <c r="E44" s="335"/>
      <c r="F44" s="41"/>
      <c r="G44" s="655"/>
      <c r="H44" s="34"/>
      <c r="I44" s="335"/>
      <c r="J44" s="515"/>
      <c r="K44" s="44"/>
      <c r="L44" s="360"/>
      <c r="M44" s="41"/>
      <c r="N44" s="41"/>
      <c r="O44" s="41"/>
      <c r="P44" s="41"/>
      <c r="Q44" s="49"/>
      <c r="R44" s="245"/>
      <c r="S44" s="180">
        <f t="shared" si="12"/>
        <v>0</v>
      </c>
      <c r="T44" s="623"/>
      <c r="U44" s="623"/>
      <c r="V44" s="623"/>
      <c r="W44" s="623"/>
      <c r="X44" s="623"/>
      <c r="Y44" s="623"/>
      <c r="Z44" s="623"/>
      <c r="AA44" s="623"/>
    </row>
    <row r="45" spans="1:27" s="42" customFormat="1" ht="16.5" hidden="1" thickBot="1">
      <c r="A45" s="466"/>
      <c r="B45" s="559"/>
      <c r="C45" s="663"/>
      <c r="D45" s="41"/>
      <c r="E45" s="335"/>
      <c r="F45" s="41"/>
      <c r="G45" s="655"/>
      <c r="H45" s="34"/>
      <c r="I45" s="335"/>
      <c r="J45" s="515"/>
      <c r="K45" s="44"/>
      <c r="L45" s="360"/>
      <c r="M45" s="41"/>
      <c r="N45" s="41"/>
      <c r="O45" s="41"/>
      <c r="P45" s="41"/>
      <c r="Q45" s="49"/>
      <c r="R45" s="245"/>
      <c r="S45" s="180">
        <f t="shared" si="12"/>
        <v>0</v>
      </c>
      <c r="T45" s="320"/>
      <c r="U45" s="320"/>
      <c r="V45" s="320"/>
      <c r="W45" s="320"/>
      <c r="X45" s="320"/>
      <c r="Y45" s="320"/>
      <c r="Z45" s="320"/>
      <c r="AA45" s="320"/>
    </row>
    <row r="46" spans="1:27" s="33" customFormat="1" ht="16.5" hidden="1" thickBot="1">
      <c r="A46" s="467"/>
      <c r="B46" s="560"/>
      <c r="C46" s="604"/>
      <c r="D46" s="88"/>
      <c r="E46" s="687"/>
      <c r="F46" s="88"/>
      <c r="G46" s="656"/>
      <c r="H46" s="57"/>
      <c r="I46" s="355"/>
      <c r="J46" s="544"/>
      <c r="K46" s="142"/>
      <c r="L46" s="362"/>
      <c r="M46" s="88"/>
      <c r="N46" s="88"/>
      <c r="O46" s="88"/>
      <c r="P46" s="88"/>
      <c r="Q46" s="187"/>
      <c r="R46" s="187"/>
      <c r="S46" s="255"/>
      <c r="T46" s="623"/>
      <c r="U46" s="623"/>
      <c r="V46" s="623"/>
      <c r="W46" s="623"/>
      <c r="X46" s="623"/>
      <c r="Y46" s="623"/>
      <c r="Z46" s="623"/>
      <c r="AA46" s="623"/>
    </row>
    <row r="47" spans="1:27" s="33" customFormat="1" ht="26.25" customHeight="1" thickBot="1">
      <c r="A47" s="468" t="s">
        <v>17</v>
      </c>
      <c r="B47" s="451"/>
      <c r="C47" s="545">
        <f aca="true" t="shared" si="14" ref="C47:K47">C48+C71+C72</f>
        <v>2602730.4699999997</v>
      </c>
      <c r="D47" s="81">
        <f t="shared" si="14"/>
        <v>864292.04</v>
      </c>
      <c r="E47" s="500">
        <f t="shared" si="14"/>
        <v>2257926.39</v>
      </c>
      <c r="F47" s="81">
        <f t="shared" si="14"/>
        <v>3963570.380000001</v>
      </c>
      <c r="G47" s="270">
        <f t="shared" si="14"/>
        <v>1072573</v>
      </c>
      <c r="H47" s="81">
        <f t="shared" si="14"/>
        <v>2556816.57</v>
      </c>
      <c r="I47" s="270">
        <f t="shared" si="14"/>
        <v>521902</v>
      </c>
      <c r="J47" s="545">
        <f t="shared" si="14"/>
        <v>308188</v>
      </c>
      <c r="K47" s="81">
        <f t="shared" si="14"/>
        <v>248181</v>
      </c>
      <c r="L47" s="270">
        <f>SUM(C47:K47)</f>
        <v>14396179.850000001</v>
      </c>
      <c r="M47" s="81">
        <f>M48+M71+M72</f>
        <v>0</v>
      </c>
      <c r="N47" s="81">
        <f>N48+N71+N72</f>
        <v>0</v>
      </c>
      <c r="O47" s="81">
        <f>O48+O71+O72</f>
        <v>521541</v>
      </c>
      <c r="P47" s="81">
        <f>P48+P71+P72</f>
        <v>1137094</v>
      </c>
      <c r="Q47" s="81">
        <f>Q48+Q71+Q72</f>
        <v>0</v>
      </c>
      <c r="R47" s="81">
        <f>R48</f>
        <v>0</v>
      </c>
      <c r="S47" s="81">
        <f aca="true" t="shared" si="15" ref="S47:S73">SUM(L47:R47)</f>
        <v>16054814.850000001</v>
      </c>
      <c r="T47" s="623">
        <f>S48+S10</f>
        <v>59411989.09</v>
      </c>
      <c r="U47" s="623">
        <f>U48+U10</f>
        <v>332661.00000000745</v>
      </c>
      <c r="V47" s="623"/>
      <c r="W47" s="623"/>
      <c r="X47" s="623"/>
      <c r="Y47" s="623"/>
      <c r="Z47" s="623"/>
      <c r="AA47" s="623"/>
    </row>
    <row r="48" spans="1:27" s="33" customFormat="1" ht="27" customHeight="1">
      <c r="A48" s="577" t="s">
        <v>121</v>
      </c>
      <c r="B48" s="646">
        <f>'[31]SD 2018'!$C$39</f>
        <v>22396466</v>
      </c>
      <c r="C48" s="664">
        <f>3848536+107952+65156+22935+26990+C67+C69-1500000-528000+445.02+28920+4645+1743.45+C53</f>
        <v>2138827.4699999997</v>
      </c>
      <c r="D48" s="157">
        <f>1620366+33216+41663+14665+9000+D67+D69-1111354+D61+9207+3295+235.04+D53-41000</f>
        <v>622433.04</v>
      </c>
      <c r="E48" s="336">
        <f>4261990+66432+115095+40513+18999+E67+E69-2750506+7000+E61+204.27+16756+11497+562.12+E53-113119</f>
        <v>1731811.3900000001</v>
      </c>
      <c r="F48" s="157">
        <f>4482263+111066+142575+50186+28990+F67+F69+28500+F61+1754.94+31074+15067+4089.99+F53-1521660.55</f>
        <v>3440355.380000001</v>
      </c>
      <c r="G48" s="336">
        <f>905851+44634+24990+8796+6655+G67+200000+G69-200000+11485+3906+G53</f>
        <v>1027270</v>
      </c>
      <c r="H48" s="157">
        <f>2045887+47748+84159+29624+13000+H67+H69+5000+H61+1405.09+12383+7060+1526.48+H53-10000</f>
        <v>2280775.57</v>
      </c>
      <c r="I48" s="336">
        <f>558485+26988+7018+2471+14000+I67+I69+5000+6794+1673+I53-200000</f>
        <v>443235</v>
      </c>
      <c r="J48" s="157">
        <f>248080+10380+2000+J67+2994+399+J53</f>
        <v>278610</v>
      </c>
      <c r="K48" s="397">
        <f>164238+83943</f>
        <v>248181</v>
      </c>
      <c r="L48" s="363">
        <f>SUM(C48:K48)</f>
        <v>12211498.850000001</v>
      </c>
      <c r="M48" s="75">
        <v>0</v>
      </c>
      <c r="N48" s="75">
        <v>0</v>
      </c>
      <c r="O48" s="157">
        <f>923806+23705+8344+2500+O67+508500+O69-83943+128.04+604+730.21-893730.25+30356</f>
        <v>521541</v>
      </c>
      <c r="P48" s="240">
        <f>1936496-2000-705-2500-12571-4428-43322-15249-100000-119634-30000-122000-45500-1000-354-800-283-136-1800-635+10800+3802-300-106-7500-2640-300000-400-141</f>
        <v>1137094</v>
      </c>
      <c r="Q48" s="161">
        <f>708500-508500-200000</f>
        <v>0</v>
      </c>
      <c r="R48" s="161">
        <f>733586-203160-733586+203160+30356-30356</f>
        <v>0</v>
      </c>
      <c r="S48" s="256">
        <f t="shared" si="15"/>
        <v>13870133.850000001</v>
      </c>
      <c r="T48" s="623">
        <v>23045748.65</v>
      </c>
      <c r="U48" s="623">
        <f>S48-T48</f>
        <v>-9175614.799999997</v>
      </c>
      <c r="V48" s="623"/>
      <c r="W48" s="623"/>
      <c r="X48" s="623"/>
      <c r="Y48" s="623"/>
      <c r="Z48" s="623"/>
      <c r="AA48" s="623"/>
    </row>
    <row r="49" spans="1:27" s="33" customFormat="1" ht="15.75">
      <c r="A49" s="578" t="s">
        <v>106</v>
      </c>
      <c r="B49" s="647">
        <f>'[31]SD 2018'!$C$44</f>
        <v>152000</v>
      </c>
      <c r="C49" s="665">
        <v>52000</v>
      </c>
      <c r="D49" s="421">
        <v>0</v>
      </c>
      <c r="E49" s="688">
        <v>20000</v>
      </c>
      <c r="F49" s="421">
        <v>80000</v>
      </c>
      <c r="G49" s="423">
        <v>0</v>
      </c>
      <c r="H49" s="421">
        <v>0</v>
      </c>
      <c r="I49" s="421">
        <v>0</v>
      </c>
      <c r="J49" s="422">
        <v>0</v>
      </c>
      <c r="K49" s="432">
        <v>0</v>
      </c>
      <c r="L49" s="433">
        <f>SUM(C49:K49)</f>
        <v>152000</v>
      </c>
      <c r="M49" s="443"/>
      <c r="N49" s="443"/>
      <c r="O49" s="443"/>
      <c r="P49" s="444"/>
      <c r="Q49" s="445"/>
      <c r="R49" s="443"/>
      <c r="S49" s="436">
        <f t="shared" si="15"/>
        <v>152000</v>
      </c>
      <c r="T49" s="623"/>
      <c r="U49" s="623"/>
      <c r="V49" s="623"/>
      <c r="W49" s="623"/>
      <c r="X49" s="623"/>
      <c r="Y49" s="623"/>
      <c r="Z49" s="623"/>
      <c r="AA49" s="623"/>
    </row>
    <row r="50" spans="1:27" s="33" customFormat="1" ht="15.75">
      <c r="A50" s="579" t="s">
        <v>77</v>
      </c>
      <c r="B50" s="647"/>
      <c r="C50" s="665">
        <v>51802</v>
      </c>
      <c r="D50" s="421">
        <v>19079</v>
      </c>
      <c r="E50" s="688">
        <v>63162</v>
      </c>
      <c r="F50" s="421">
        <v>71584</v>
      </c>
      <c r="G50" s="423">
        <v>0</v>
      </c>
      <c r="H50" s="421">
        <v>25265</v>
      </c>
      <c r="I50" s="421">
        <v>0</v>
      </c>
      <c r="J50" s="422">
        <v>0</v>
      </c>
      <c r="K50" s="423">
        <v>0</v>
      </c>
      <c r="L50" s="433">
        <f aca="true" t="shared" si="16" ref="L50:L69">C50+D50+E50+F50+G50+H50+I50+J50+K50</f>
        <v>230892</v>
      </c>
      <c r="M50" s="434"/>
      <c r="N50" s="434"/>
      <c r="O50" s="434">
        <v>30356</v>
      </c>
      <c r="P50" s="437">
        <v>0</v>
      </c>
      <c r="Q50" s="435"/>
      <c r="R50" s="434">
        <f>30356-30356</f>
        <v>0</v>
      </c>
      <c r="S50" s="436">
        <f t="shared" si="15"/>
        <v>261248</v>
      </c>
      <c r="T50" s="623"/>
      <c r="U50" s="623"/>
      <c r="V50" s="623"/>
      <c r="W50" s="623"/>
      <c r="X50" s="623"/>
      <c r="Y50" s="623"/>
      <c r="Z50" s="623"/>
      <c r="AA50" s="623"/>
    </row>
    <row r="51" spans="1:27" s="33" customFormat="1" ht="15.75">
      <c r="A51" s="579" t="s">
        <v>107</v>
      </c>
      <c r="B51" s="647"/>
      <c r="C51" s="665">
        <v>0</v>
      </c>
      <c r="D51" s="421">
        <v>10000</v>
      </c>
      <c r="E51" s="688">
        <v>0</v>
      </c>
      <c r="F51" s="421">
        <v>60000</v>
      </c>
      <c r="G51" s="423">
        <v>0</v>
      </c>
      <c r="H51" s="421">
        <v>10000</v>
      </c>
      <c r="I51" s="421">
        <v>10000</v>
      </c>
      <c r="J51" s="422">
        <v>0</v>
      </c>
      <c r="K51" s="423">
        <v>0</v>
      </c>
      <c r="L51" s="433">
        <f t="shared" si="16"/>
        <v>90000</v>
      </c>
      <c r="M51" s="434"/>
      <c r="N51" s="434"/>
      <c r="O51" s="434">
        <v>10000</v>
      </c>
      <c r="P51" s="438"/>
      <c r="Q51" s="435"/>
      <c r="R51" s="434"/>
      <c r="S51" s="436">
        <f t="shared" si="15"/>
        <v>100000</v>
      </c>
      <c r="T51" s="623">
        <f>O48+O54+O67</f>
        <v>524582</v>
      </c>
      <c r="U51" s="623"/>
      <c r="V51" s="623"/>
      <c r="W51" s="623"/>
      <c r="X51" s="623"/>
      <c r="Y51" s="623"/>
      <c r="Z51" s="623"/>
      <c r="AA51" s="623"/>
    </row>
    <row r="52" spans="1:27" s="33" customFormat="1" ht="15">
      <c r="A52" s="705" t="s">
        <v>161</v>
      </c>
      <c r="B52" s="704"/>
      <c r="C52" s="706"/>
      <c r="D52" s="707"/>
      <c r="E52" s="708"/>
      <c r="F52" s="707"/>
      <c r="G52" s="709"/>
      <c r="H52" s="707"/>
      <c r="I52" s="707"/>
      <c r="J52" s="709"/>
      <c r="K52" s="709"/>
      <c r="L52" s="710">
        <f t="shared" si="16"/>
        <v>0</v>
      </c>
      <c r="M52" s="711"/>
      <c r="N52" s="711"/>
      <c r="O52" s="711"/>
      <c r="P52" s="712">
        <v>300000</v>
      </c>
      <c r="Q52" s="713"/>
      <c r="R52" s="711"/>
      <c r="S52" s="714">
        <f t="shared" si="15"/>
        <v>300000</v>
      </c>
      <c r="T52" s="623">
        <f>T51-O48</f>
        <v>3041</v>
      </c>
      <c r="U52" s="623"/>
      <c r="V52" s="623"/>
      <c r="W52" s="623"/>
      <c r="X52" s="623"/>
      <c r="Y52" s="623"/>
      <c r="Z52" s="623"/>
      <c r="AA52" s="623"/>
    </row>
    <row r="53" spans="1:27" s="33" customFormat="1" ht="15">
      <c r="A53" s="705" t="s">
        <v>162</v>
      </c>
      <c r="B53" s="704"/>
      <c r="C53" s="706">
        <v>56300</v>
      </c>
      <c r="D53" s="707">
        <v>37573</v>
      </c>
      <c r="E53" s="708">
        <v>52860</v>
      </c>
      <c r="F53" s="707">
        <v>63880</v>
      </c>
      <c r="G53" s="709">
        <v>18768</v>
      </c>
      <c r="H53" s="707">
        <v>37532</v>
      </c>
      <c r="I53" s="707">
        <v>18767</v>
      </c>
      <c r="J53" s="709">
        <v>14320</v>
      </c>
      <c r="K53" s="709"/>
      <c r="L53" s="710">
        <f t="shared" si="16"/>
        <v>300000</v>
      </c>
      <c r="M53" s="711"/>
      <c r="N53" s="711"/>
      <c r="O53" s="711"/>
      <c r="P53" s="712">
        <f>300000-300000</f>
        <v>0</v>
      </c>
      <c r="Q53" s="713"/>
      <c r="R53" s="711"/>
      <c r="S53" s="714">
        <f t="shared" si="15"/>
        <v>300000</v>
      </c>
      <c r="T53" s="623">
        <f>O54+O67</f>
        <v>3041</v>
      </c>
      <c r="U53" s="623"/>
      <c r="V53" s="623"/>
      <c r="W53" s="623"/>
      <c r="X53" s="623"/>
      <c r="Y53" s="623"/>
      <c r="Z53" s="623"/>
      <c r="AA53" s="623"/>
    </row>
    <row r="54" spans="1:27" s="33" customFormat="1" ht="31.5">
      <c r="A54" s="580" t="s">
        <v>108</v>
      </c>
      <c r="B54" s="648"/>
      <c r="C54" s="316"/>
      <c r="D54" s="158"/>
      <c r="E54" s="518"/>
      <c r="F54" s="158"/>
      <c r="G54" s="540"/>
      <c r="H54" s="158"/>
      <c r="I54" s="158"/>
      <c r="J54" s="158"/>
      <c r="K54" s="158"/>
      <c r="L54" s="364">
        <f t="shared" si="16"/>
        <v>0</v>
      </c>
      <c r="M54" s="34"/>
      <c r="N54" s="34"/>
      <c r="O54" s="34">
        <f>2500</f>
        <v>2500</v>
      </c>
      <c r="P54" s="154">
        <f>19334-2500-7500-2640</f>
        <v>6694</v>
      </c>
      <c r="Q54" s="102"/>
      <c r="R54" s="34"/>
      <c r="S54" s="257">
        <f t="shared" si="15"/>
        <v>9194</v>
      </c>
      <c r="T54" s="623"/>
      <c r="U54" s="623"/>
      <c r="V54" s="623"/>
      <c r="W54" s="623"/>
      <c r="X54" s="623"/>
      <c r="Y54" s="623"/>
      <c r="Z54" s="623"/>
      <c r="AA54" s="623"/>
    </row>
    <row r="55" spans="1:27" s="33" customFormat="1" ht="15.75">
      <c r="A55" s="580" t="s">
        <v>109</v>
      </c>
      <c r="B55" s="648"/>
      <c r="C55" s="659"/>
      <c r="D55" s="154"/>
      <c r="E55" s="326"/>
      <c r="F55" s="154"/>
      <c r="G55" s="393"/>
      <c r="H55" s="154"/>
      <c r="I55" s="154"/>
      <c r="J55" s="439"/>
      <c r="K55" s="393"/>
      <c r="L55" s="364">
        <f t="shared" si="16"/>
        <v>0</v>
      </c>
      <c r="M55" s="34"/>
      <c r="N55" s="34"/>
      <c r="O55" s="34"/>
      <c r="P55" s="154">
        <v>180000</v>
      </c>
      <c r="Q55" s="35"/>
      <c r="R55" s="34"/>
      <c r="S55" s="257">
        <f t="shared" si="15"/>
        <v>180000</v>
      </c>
      <c r="T55" s="623"/>
      <c r="U55" s="623"/>
      <c r="V55" s="623"/>
      <c r="W55" s="623"/>
      <c r="X55" s="623"/>
      <c r="Y55" s="623"/>
      <c r="Z55" s="623"/>
      <c r="AA55" s="623"/>
    </row>
    <row r="56" spans="1:27" s="33" customFormat="1" ht="15.75">
      <c r="A56" s="580" t="s">
        <v>102</v>
      </c>
      <c r="B56" s="648"/>
      <c r="C56" s="202">
        <v>26990</v>
      </c>
      <c r="D56" s="202">
        <v>9000</v>
      </c>
      <c r="E56" s="202">
        <f>18999+7000</f>
        <v>25999</v>
      </c>
      <c r="F56" s="202">
        <f>28990+28500</f>
        <v>57490</v>
      </c>
      <c r="G56" s="202">
        <v>6655</v>
      </c>
      <c r="H56" s="202">
        <f>13000+5000</f>
        <v>18000</v>
      </c>
      <c r="I56" s="202">
        <f>14000+5000</f>
        <v>19000</v>
      </c>
      <c r="J56" s="202">
        <v>2000</v>
      </c>
      <c r="K56" s="393"/>
      <c r="L56" s="364">
        <f t="shared" si="16"/>
        <v>165134</v>
      </c>
      <c r="M56" s="34"/>
      <c r="N56" s="34"/>
      <c r="O56" s="34"/>
      <c r="P56" s="154">
        <f>175200-119634-45500</f>
        <v>10066</v>
      </c>
      <c r="Q56" s="35"/>
      <c r="R56" s="34"/>
      <c r="S56" s="257">
        <f t="shared" si="15"/>
        <v>175200</v>
      </c>
      <c r="T56" s="623"/>
      <c r="U56" s="623"/>
      <c r="V56" s="623"/>
      <c r="W56" s="623"/>
      <c r="X56" s="623"/>
      <c r="Y56" s="623"/>
      <c r="Z56" s="623"/>
      <c r="AA56" s="623"/>
    </row>
    <row r="57" spans="1:27" s="33" customFormat="1" ht="15.75">
      <c r="A57" s="580" t="s">
        <v>103</v>
      </c>
      <c r="B57" s="648"/>
      <c r="C57" s="659"/>
      <c r="D57" s="154"/>
      <c r="E57" s="326"/>
      <c r="F57" s="154"/>
      <c r="G57" s="393"/>
      <c r="H57" s="154"/>
      <c r="I57" s="154"/>
      <c r="J57" s="439"/>
      <c r="K57" s="393"/>
      <c r="L57" s="364">
        <f t="shared" si="16"/>
        <v>0</v>
      </c>
      <c r="M57" s="34"/>
      <c r="N57" s="34"/>
      <c r="O57" s="34"/>
      <c r="P57" s="154">
        <v>10000</v>
      </c>
      <c r="Q57" s="35"/>
      <c r="R57" s="34"/>
      <c r="S57" s="257">
        <f t="shared" si="15"/>
        <v>10000</v>
      </c>
      <c r="T57" s="623"/>
      <c r="U57" s="623"/>
      <c r="V57" s="623"/>
      <c r="W57" s="623"/>
      <c r="X57" s="623"/>
      <c r="Y57" s="623"/>
      <c r="Z57" s="623"/>
      <c r="AA57" s="623"/>
    </row>
    <row r="58" spans="1:27" s="33" customFormat="1" ht="15.75">
      <c r="A58" s="580" t="s">
        <v>170</v>
      </c>
      <c r="B58" s="648"/>
      <c r="C58" s="659"/>
      <c r="D58" s="154"/>
      <c r="E58" s="326"/>
      <c r="F58" s="154"/>
      <c r="G58" s="393"/>
      <c r="H58" s="154"/>
      <c r="I58" s="154"/>
      <c r="J58" s="439"/>
      <c r="K58" s="393"/>
      <c r="L58" s="364">
        <f t="shared" si="16"/>
        <v>0</v>
      </c>
      <c r="M58" s="34"/>
      <c r="N58" s="34"/>
      <c r="O58" s="34"/>
      <c r="P58" s="154">
        <f>122000-122000</f>
        <v>0</v>
      </c>
      <c r="Q58" s="35"/>
      <c r="R58" s="34"/>
      <c r="S58" s="257">
        <f t="shared" si="15"/>
        <v>0</v>
      </c>
      <c r="T58" s="623"/>
      <c r="U58" s="623"/>
      <c r="V58" s="623"/>
      <c r="W58" s="623"/>
      <c r="X58" s="623"/>
      <c r="Y58" s="623"/>
      <c r="Z58" s="623"/>
      <c r="AA58" s="623"/>
    </row>
    <row r="59" spans="1:27" s="33" customFormat="1" ht="15.75">
      <c r="A59" s="580" t="s">
        <v>18</v>
      </c>
      <c r="B59" s="648"/>
      <c r="C59" s="659"/>
      <c r="D59" s="154"/>
      <c r="E59" s="326"/>
      <c r="F59" s="154"/>
      <c r="G59" s="393"/>
      <c r="H59" s="154"/>
      <c r="I59" s="154"/>
      <c r="J59" s="439"/>
      <c r="K59" s="393"/>
      <c r="L59" s="364">
        <f t="shared" si="16"/>
        <v>0</v>
      </c>
      <c r="M59" s="34"/>
      <c r="N59" s="34"/>
      <c r="O59" s="34"/>
      <c r="P59" s="154">
        <f>58571-43322-15249</f>
        <v>0</v>
      </c>
      <c r="Q59" s="35"/>
      <c r="R59" s="34"/>
      <c r="S59" s="257">
        <f t="shared" si="15"/>
        <v>0</v>
      </c>
      <c r="T59" s="623"/>
      <c r="U59" s="623"/>
      <c r="V59" s="623"/>
      <c r="W59" s="623"/>
      <c r="X59" s="623"/>
      <c r="Y59" s="623"/>
      <c r="Z59" s="623"/>
      <c r="AA59" s="623"/>
    </row>
    <row r="60" spans="1:27" s="36" customFormat="1" ht="15.75">
      <c r="A60" s="580" t="s">
        <v>89</v>
      </c>
      <c r="B60" s="648"/>
      <c r="C60" s="659"/>
      <c r="D60" s="154"/>
      <c r="E60" s="326"/>
      <c r="F60" s="154"/>
      <c r="G60" s="393"/>
      <c r="H60" s="154"/>
      <c r="I60" s="154"/>
      <c r="J60" s="439"/>
      <c r="K60" s="393"/>
      <c r="L60" s="364">
        <f t="shared" si="16"/>
        <v>0</v>
      </c>
      <c r="M60" s="34"/>
      <c r="N60" s="34"/>
      <c r="O60" s="34"/>
      <c r="P60" s="154">
        <f>25000+10800+3802</f>
        <v>39602</v>
      </c>
      <c r="Q60" s="45"/>
      <c r="R60" s="34"/>
      <c r="S60" s="257">
        <f t="shared" si="15"/>
        <v>39602</v>
      </c>
      <c r="T60" s="624"/>
      <c r="U60" s="624"/>
      <c r="V60" s="624"/>
      <c r="W60" s="624"/>
      <c r="X60" s="624"/>
      <c r="Y60" s="624"/>
      <c r="Z60" s="624"/>
      <c r="AA60" s="624"/>
    </row>
    <row r="61" spans="1:27" s="33" customFormat="1" ht="15.75">
      <c r="A61" s="580" t="s">
        <v>76</v>
      </c>
      <c r="B61" s="648"/>
      <c r="C61" s="659"/>
      <c r="D61" s="154">
        <f>900+317+300+106+600+212+300+106+400+141</f>
        <v>3382</v>
      </c>
      <c r="E61" s="326">
        <f>300+106+100+36+700+247</f>
        <v>1489</v>
      </c>
      <c r="F61" s="154">
        <f>400+141+100+36</f>
        <v>677</v>
      </c>
      <c r="G61" s="393"/>
      <c r="H61" s="154">
        <f>700+247+600+212+400+141+500+176</f>
        <v>2976</v>
      </c>
      <c r="I61" s="154"/>
      <c r="J61" s="439"/>
      <c r="K61" s="393"/>
      <c r="L61" s="364">
        <f t="shared" si="16"/>
        <v>8524</v>
      </c>
      <c r="M61" s="34"/>
      <c r="N61" s="34"/>
      <c r="O61" s="34"/>
      <c r="P61" s="613">
        <f>90000-2000-705-1000-354-800-283-136-1800-635-300-106-400-141</f>
        <v>81340</v>
      </c>
      <c r="Q61" s="34"/>
      <c r="R61" s="34"/>
      <c r="S61" s="257">
        <f t="shared" si="15"/>
        <v>89864</v>
      </c>
      <c r="T61" s="623">
        <f>L61+P61</f>
        <v>89864</v>
      </c>
      <c r="U61" s="623"/>
      <c r="V61" s="623"/>
      <c r="W61" s="623"/>
      <c r="X61" s="623"/>
      <c r="Y61" s="623"/>
      <c r="Z61" s="623"/>
      <c r="AA61" s="623"/>
    </row>
    <row r="62" spans="1:27" s="33" customFormat="1" ht="15">
      <c r="A62" s="583" t="s">
        <v>163</v>
      </c>
      <c r="B62" s="648"/>
      <c r="C62" s="659"/>
      <c r="D62" s="154"/>
      <c r="E62" s="326"/>
      <c r="F62" s="154"/>
      <c r="G62" s="393"/>
      <c r="H62" s="154"/>
      <c r="I62" s="154"/>
      <c r="J62" s="439"/>
      <c r="K62" s="393"/>
      <c r="L62" s="364">
        <f t="shared" si="16"/>
        <v>0</v>
      </c>
      <c r="M62" s="34"/>
      <c r="N62" s="34"/>
      <c r="O62" s="34"/>
      <c r="P62" s="321">
        <v>123731</v>
      </c>
      <c r="Q62" s="34"/>
      <c r="R62" s="34"/>
      <c r="S62" s="257">
        <f t="shared" si="15"/>
        <v>123731</v>
      </c>
      <c r="T62" s="623"/>
      <c r="U62" s="623"/>
      <c r="V62" s="623"/>
      <c r="W62" s="623"/>
      <c r="X62" s="623"/>
      <c r="Y62" s="623"/>
      <c r="Z62" s="623"/>
      <c r="AA62" s="623"/>
    </row>
    <row r="63" spans="1:27" s="33" customFormat="1" ht="15">
      <c r="A63" s="583" t="s">
        <v>164</v>
      </c>
      <c r="B63" s="648"/>
      <c r="C63" s="659"/>
      <c r="D63" s="154"/>
      <c r="E63" s="326"/>
      <c r="F63" s="154"/>
      <c r="G63" s="393"/>
      <c r="H63" s="154"/>
      <c r="I63" s="154"/>
      <c r="J63" s="439"/>
      <c r="K63" s="393"/>
      <c r="L63" s="364">
        <f t="shared" si="16"/>
        <v>0</v>
      </c>
      <c r="M63" s="34"/>
      <c r="N63" s="34"/>
      <c r="O63" s="34"/>
      <c r="P63" s="321">
        <v>117360</v>
      </c>
      <c r="Q63" s="34"/>
      <c r="R63" s="34"/>
      <c r="S63" s="257">
        <f t="shared" si="15"/>
        <v>117360</v>
      </c>
      <c r="T63" s="623"/>
      <c r="U63" s="623"/>
      <c r="V63" s="623"/>
      <c r="W63" s="623"/>
      <c r="X63" s="623"/>
      <c r="Y63" s="623"/>
      <c r="Z63" s="623"/>
      <c r="AA63" s="623"/>
    </row>
    <row r="64" spans="1:27" s="33" customFormat="1" ht="25.5">
      <c r="A64" s="583" t="s">
        <v>165</v>
      </c>
      <c r="B64" s="649"/>
      <c r="C64" s="666"/>
      <c r="D64" s="419"/>
      <c r="E64" s="689"/>
      <c r="F64" s="419"/>
      <c r="G64" s="420"/>
      <c r="H64" s="419"/>
      <c r="I64" s="419"/>
      <c r="J64" s="420"/>
      <c r="K64" s="420"/>
      <c r="L64" s="364">
        <f t="shared" si="16"/>
        <v>0</v>
      </c>
      <c r="M64" s="34"/>
      <c r="N64" s="34"/>
      <c r="O64" s="34"/>
      <c r="P64" s="321">
        <v>27800</v>
      </c>
      <c r="Q64" s="34"/>
      <c r="R64" s="34"/>
      <c r="S64" s="257">
        <f t="shared" si="15"/>
        <v>27800</v>
      </c>
      <c r="T64" s="623"/>
      <c r="U64" s="623"/>
      <c r="V64" s="623"/>
      <c r="W64" s="623"/>
      <c r="X64" s="623"/>
      <c r="Y64" s="623"/>
      <c r="Z64" s="623"/>
      <c r="AA64" s="623"/>
    </row>
    <row r="65" spans="1:27" s="33" customFormat="1" ht="15">
      <c r="A65" s="715" t="s">
        <v>90</v>
      </c>
      <c r="B65" s="650"/>
      <c r="C65" s="667"/>
      <c r="D65" s="321"/>
      <c r="E65" s="690"/>
      <c r="F65" s="321"/>
      <c r="G65" s="541"/>
      <c r="H65" s="321"/>
      <c r="I65" s="321"/>
      <c r="J65" s="321"/>
      <c r="K65" s="321"/>
      <c r="L65" s="364">
        <f t="shared" si="16"/>
        <v>0</v>
      </c>
      <c r="M65" s="34"/>
      <c r="N65" s="34"/>
      <c r="O65" s="34"/>
      <c r="P65" s="321">
        <v>10000</v>
      </c>
      <c r="Q65" s="34"/>
      <c r="R65" s="34"/>
      <c r="S65" s="257">
        <f t="shared" si="15"/>
        <v>10000</v>
      </c>
      <c r="T65" s="623"/>
      <c r="U65" s="623"/>
      <c r="V65" s="623"/>
      <c r="W65" s="623"/>
      <c r="X65" s="623"/>
      <c r="Y65" s="623"/>
      <c r="Z65" s="623"/>
      <c r="AA65" s="623"/>
    </row>
    <row r="66" spans="1:27" s="33" customFormat="1" ht="15">
      <c r="A66" s="715" t="s">
        <v>166</v>
      </c>
      <c r="B66" s="699"/>
      <c r="C66" s="700"/>
      <c r="D66" s="701"/>
      <c r="E66" s="702"/>
      <c r="F66" s="701"/>
      <c r="G66" s="703"/>
      <c r="H66" s="701"/>
      <c r="I66" s="701"/>
      <c r="J66" s="703"/>
      <c r="K66" s="703"/>
      <c r="L66" s="364">
        <f t="shared" si="16"/>
        <v>0</v>
      </c>
      <c r="M66" s="34"/>
      <c r="N66" s="34"/>
      <c r="O66" s="34"/>
      <c r="P66" s="321">
        <v>90000</v>
      </c>
      <c r="Q66" s="34"/>
      <c r="R66" s="34"/>
      <c r="S66" s="257">
        <f t="shared" si="15"/>
        <v>90000</v>
      </c>
      <c r="T66" s="623"/>
      <c r="U66" s="623"/>
      <c r="V66" s="623"/>
      <c r="W66" s="623"/>
      <c r="X66" s="623"/>
      <c r="Y66" s="623"/>
      <c r="Z66" s="623"/>
      <c r="AA66" s="623"/>
    </row>
    <row r="67" spans="1:27" s="33" customFormat="1" ht="15">
      <c r="A67" s="716" t="s">
        <v>101</v>
      </c>
      <c r="B67" s="699"/>
      <c r="C67" s="700">
        <f>2370+835</f>
        <v>3205</v>
      </c>
      <c r="D67" s="701">
        <f>1616+569</f>
        <v>2185</v>
      </c>
      <c r="E67" s="702">
        <f>1508+531</f>
        <v>2039</v>
      </c>
      <c r="F67" s="701">
        <f>1400+493</f>
        <v>1893</v>
      </c>
      <c r="G67" s="703">
        <f>1616+569</f>
        <v>2185</v>
      </c>
      <c r="H67" s="701">
        <f>1830+645</f>
        <v>2475</v>
      </c>
      <c r="I67" s="701">
        <f>1508+531</f>
        <v>2039</v>
      </c>
      <c r="J67" s="703">
        <f>323+114</f>
        <v>437</v>
      </c>
      <c r="K67" s="703"/>
      <c r="L67" s="364">
        <f t="shared" si="16"/>
        <v>16458</v>
      </c>
      <c r="M67" s="34"/>
      <c r="N67" s="34"/>
      <c r="O67" s="34">
        <f>400+141</f>
        <v>541</v>
      </c>
      <c r="P67" s="321">
        <f>27500-12571-4428</f>
        <v>10501</v>
      </c>
      <c r="Q67" s="34"/>
      <c r="R67" s="34"/>
      <c r="S67" s="257">
        <f t="shared" si="15"/>
        <v>27500</v>
      </c>
      <c r="T67" s="623"/>
      <c r="U67" s="623"/>
      <c r="V67" s="623"/>
      <c r="W67" s="623"/>
      <c r="X67" s="623"/>
      <c r="Y67" s="623"/>
      <c r="Z67" s="623"/>
      <c r="AA67" s="623"/>
    </row>
    <row r="68" spans="1:27" s="33" customFormat="1" ht="15">
      <c r="A68" s="715" t="s">
        <v>167</v>
      </c>
      <c r="B68" s="699"/>
      <c r="C68" s="700"/>
      <c r="D68" s="701"/>
      <c r="E68" s="702"/>
      <c r="F68" s="701"/>
      <c r="G68" s="703"/>
      <c r="H68" s="701"/>
      <c r="I68" s="701"/>
      <c r="J68" s="703"/>
      <c r="K68" s="703"/>
      <c r="L68" s="364">
        <f t="shared" si="16"/>
        <v>0</v>
      </c>
      <c r="M68" s="34"/>
      <c r="N68" s="34"/>
      <c r="O68" s="34"/>
      <c r="P68" s="321">
        <f>30000-30000</f>
        <v>0</v>
      </c>
      <c r="Q68" s="34"/>
      <c r="R68" s="34"/>
      <c r="S68" s="257">
        <f t="shared" si="15"/>
        <v>0</v>
      </c>
      <c r="T68" s="623"/>
      <c r="U68" s="623"/>
      <c r="V68" s="623"/>
      <c r="W68" s="623"/>
      <c r="X68" s="623"/>
      <c r="Y68" s="623"/>
      <c r="Z68" s="623"/>
      <c r="AA68" s="623"/>
    </row>
    <row r="69" spans="1:27" s="33" customFormat="1" ht="15">
      <c r="A69" s="715" t="s">
        <v>169</v>
      </c>
      <c r="B69" s="699"/>
      <c r="C69" s="700"/>
      <c r="D69" s="701"/>
      <c r="E69" s="702"/>
      <c r="F69" s="701"/>
      <c r="G69" s="703"/>
      <c r="H69" s="701"/>
      <c r="I69" s="701"/>
      <c r="J69" s="703"/>
      <c r="K69" s="703"/>
      <c r="L69" s="364">
        <f t="shared" si="16"/>
        <v>0</v>
      </c>
      <c r="M69" s="34"/>
      <c r="N69" s="34"/>
      <c r="O69" s="34"/>
      <c r="P69" s="321">
        <f>100000-100000</f>
        <v>0</v>
      </c>
      <c r="Q69" s="34"/>
      <c r="R69" s="34"/>
      <c r="S69" s="257">
        <f t="shared" si="15"/>
        <v>0</v>
      </c>
      <c r="T69" s="623"/>
      <c r="U69" s="623"/>
      <c r="V69" s="623"/>
      <c r="W69" s="623"/>
      <c r="X69" s="623"/>
      <c r="Y69" s="623"/>
      <c r="Z69" s="623"/>
      <c r="AA69" s="623"/>
    </row>
    <row r="70" spans="1:27" s="33" customFormat="1" ht="15">
      <c r="A70" s="715" t="s">
        <v>168</v>
      </c>
      <c r="B70" s="651"/>
      <c r="C70" s="659"/>
      <c r="D70" s="154"/>
      <c r="E70" s="326"/>
      <c r="F70" s="154"/>
      <c r="G70" s="393"/>
      <c r="H70" s="154"/>
      <c r="I70" s="154"/>
      <c r="J70" s="439"/>
      <c r="K70" s="393"/>
      <c r="L70" s="364">
        <f>SUM(C70:K70)</f>
        <v>0</v>
      </c>
      <c r="M70" s="34"/>
      <c r="N70" s="34"/>
      <c r="O70" s="34"/>
      <c r="P70" s="321">
        <v>130000</v>
      </c>
      <c r="Q70" s="34"/>
      <c r="R70" s="34"/>
      <c r="S70" s="257">
        <f t="shared" si="15"/>
        <v>130000</v>
      </c>
      <c r="T70" s="623">
        <f>S70-27500</f>
        <v>102500</v>
      </c>
      <c r="U70" s="623"/>
      <c r="V70" s="623"/>
      <c r="W70" s="623"/>
      <c r="X70" s="623"/>
      <c r="Y70" s="623"/>
      <c r="Z70" s="623"/>
      <c r="AA70" s="623"/>
    </row>
    <row r="71" spans="1:27" s="33" customFormat="1" ht="18.75">
      <c r="A71" s="581" t="s">
        <v>52</v>
      </c>
      <c r="B71" s="652"/>
      <c r="C71" s="668">
        <f>433163+2000+980</f>
        <v>436143</v>
      </c>
      <c r="D71" s="76">
        <f>108075+4688</f>
        <v>112763</v>
      </c>
      <c r="E71" s="339">
        <v>460691</v>
      </c>
      <c r="F71" s="82">
        <v>513264</v>
      </c>
      <c r="G71" s="339">
        <v>18497</v>
      </c>
      <c r="H71" s="82">
        <f>196809-4688</f>
        <v>192121</v>
      </c>
      <c r="I71" s="339">
        <f>44917+11900</f>
        <v>56817</v>
      </c>
      <c r="J71" s="143">
        <v>14259</v>
      </c>
      <c r="K71" s="399"/>
      <c r="L71" s="364">
        <f>C71+D71+E71+F71+G71+H71+I71+J71+K71</f>
        <v>1804555</v>
      </c>
      <c r="M71" s="82"/>
      <c r="N71" s="82"/>
      <c r="O71" s="82"/>
      <c r="P71" s="82"/>
      <c r="Q71" s="89"/>
      <c r="R71" s="89"/>
      <c r="S71" s="257">
        <f t="shared" si="15"/>
        <v>1804555</v>
      </c>
      <c r="T71" s="623">
        <v>1804555</v>
      </c>
      <c r="U71" s="623">
        <f aca="true" t="shared" si="17" ref="U71:U78">S71-T71</f>
        <v>0</v>
      </c>
      <c r="V71" s="623"/>
      <c r="W71" s="623"/>
      <c r="X71" s="623"/>
      <c r="Y71" s="623"/>
      <c r="Z71" s="623"/>
      <c r="AA71" s="623"/>
    </row>
    <row r="72" spans="1:27" s="33" customFormat="1" ht="19.5" thickBot="1">
      <c r="A72" s="582" t="s">
        <v>53</v>
      </c>
      <c r="B72" s="653"/>
      <c r="C72" s="668">
        <v>27760</v>
      </c>
      <c r="D72" s="76">
        <v>129096</v>
      </c>
      <c r="E72" s="339">
        <f>63538+1886</f>
        <v>65424</v>
      </c>
      <c r="F72" s="82">
        <v>9951</v>
      </c>
      <c r="G72" s="339">
        <f>28692-1886</f>
        <v>26806</v>
      </c>
      <c r="H72" s="82">
        <v>83920</v>
      </c>
      <c r="I72" s="339">
        <v>21850</v>
      </c>
      <c r="J72" s="143">
        <v>15319</v>
      </c>
      <c r="K72" s="399"/>
      <c r="L72" s="364">
        <f>C72+D72+E72+F72+G72+H72+I72+J72+K72</f>
        <v>380126</v>
      </c>
      <c r="M72" s="83"/>
      <c r="N72" s="83"/>
      <c r="O72" s="83"/>
      <c r="P72" s="83"/>
      <c r="Q72" s="90"/>
      <c r="R72" s="90"/>
      <c r="S72" s="257">
        <f t="shared" si="15"/>
        <v>380126</v>
      </c>
      <c r="T72" s="623">
        <v>380126</v>
      </c>
      <c r="U72" s="623">
        <f t="shared" si="17"/>
        <v>0</v>
      </c>
      <c r="V72" s="623"/>
      <c r="W72" s="623"/>
      <c r="X72" s="623"/>
      <c r="Y72" s="623"/>
      <c r="Z72" s="623"/>
      <c r="AA72" s="623"/>
    </row>
    <row r="73" spans="1:27" s="46" customFormat="1" ht="21" customHeight="1" thickBot="1">
      <c r="A73" s="475" t="s">
        <v>19</v>
      </c>
      <c r="B73" s="499">
        <v>78699</v>
      </c>
      <c r="C73" s="545"/>
      <c r="D73" s="81"/>
      <c r="E73" s="500"/>
      <c r="F73" s="81"/>
      <c r="G73" s="500"/>
      <c r="H73" s="81"/>
      <c r="I73" s="500"/>
      <c r="J73" s="81"/>
      <c r="K73" s="270"/>
      <c r="L73" s="365">
        <f>SUM(C73:J73)</f>
        <v>0</v>
      </c>
      <c r="M73" s="81"/>
      <c r="N73" s="81"/>
      <c r="O73" s="81">
        <v>68699</v>
      </c>
      <c r="P73" s="81"/>
      <c r="Q73" s="246"/>
      <c r="R73" s="81">
        <v>20000</v>
      </c>
      <c r="S73" s="80">
        <f t="shared" si="15"/>
        <v>88699</v>
      </c>
      <c r="T73" s="150">
        <v>68699</v>
      </c>
      <c r="U73" s="623">
        <f t="shared" si="17"/>
        <v>20000</v>
      </c>
      <c r="V73" s="150"/>
      <c r="W73" s="150"/>
      <c r="X73" s="150"/>
      <c r="Y73" s="150"/>
      <c r="Z73" s="150"/>
      <c r="AA73" s="150"/>
    </row>
    <row r="74" spans="1:27" s="47" customFormat="1" ht="16.5" thickBot="1">
      <c r="A74" s="494"/>
      <c r="B74" s="495"/>
      <c r="C74" s="669"/>
      <c r="D74" s="496"/>
      <c r="E74" s="497"/>
      <c r="F74" s="496"/>
      <c r="G74" s="497"/>
      <c r="H74" s="496"/>
      <c r="I74" s="497"/>
      <c r="J74" s="144"/>
      <c r="K74" s="400"/>
      <c r="L74" s="366"/>
      <c r="M74" s="496"/>
      <c r="N74" s="496"/>
      <c r="O74" s="496"/>
      <c r="P74" s="496"/>
      <c r="Q74" s="247"/>
      <c r="R74" s="247"/>
      <c r="S74" s="498">
        <f>SUM(L74:Q74)</f>
        <v>0</v>
      </c>
      <c r="T74" s="322"/>
      <c r="U74" s="623">
        <f t="shared" si="17"/>
        <v>0</v>
      </c>
      <c r="V74" s="322"/>
      <c r="W74" s="322"/>
      <c r="X74" s="322"/>
      <c r="Y74" s="322"/>
      <c r="Z74" s="322"/>
      <c r="AA74" s="322"/>
    </row>
    <row r="75" spans="1:27" ht="23.25" customHeight="1" thickBot="1">
      <c r="A75" s="475" t="s">
        <v>58</v>
      </c>
      <c r="B75" s="452">
        <f aca="true" t="shared" si="18" ref="B75:K75">B76+B77+B78+B80+B89</f>
        <v>6374063</v>
      </c>
      <c r="C75" s="670">
        <f t="shared" si="18"/>
        <v>431792</v>
      </c>
      <c r="D75" s="670">
        <f t="shared" si="18"/>
        <v>218121</v>
      </c>
      <c r="E75" s="670">
        <f t="shared" si="18"/>
        <v>553186</v>
      </c>
      <c r="F75" s="670">
        <f t="shared" si="18"/>
        <v>410842</v>
      </c>
      <c r="G75" s="670">
        <f t="shared" si="18"/>
        <v>136703</v>
      </c>
      <c r="H75" s="670">
        <f t="shared" si="18"/>
        <v>1073491.22</v>
      </c>
      <c r="I75" s="670">
        <f t="shared" si="18"/>
        <v>330740</v>
      </c>
      <c r="J75" s="670">
        <f t="shared" si="18"/>
        <v>15233</v>
      </c>
      <c r="K75" s="670">
        <f t="shared" si="18"/>
        <v>0</v>
      </c>
      <c r="L75" s="367">
        <f>SUM(C75:K75)</f>
        <v>3170108.2199999997</v>
      </c>
      <c r="M75" s="80">
        <f>M76+M77+M78+M80+M89</f>
        <v>3072980.11</v>
      </c>
      <c r="N75" s="80">
        <f>N76+N77+N78+N80+N89</f>
        <v>65076</v>
      </c>
      <c r="O75" s="80">
        <f>O76+O77+O78+O80+O89+O87</f>
        <v>28726</v>
      </c>
      <c r="P75" s="80">
        <f>P76+P77+P78+P80+P89+P87</f>
        <v>15372</v>
      </c>
      <c r="Q75" s="80">
        <f>Q76+Q77+Q78+Q80+Q89</f>
        <v>0</v>
      </c>
      <c r="R75" s="80">
        <f>R76+R77+R78+R80+R89+R87</f>
        <v>0</v>
      </c>
      <c r="S75" s="80">
        <f aca="true" t="shared" si="19" ref="S75:S89">SUM(L75:R75)</f>
        <v>6352262.33</v>
      </c>
      <c r="T75" s="55">
        <f>S76+S77+S78+S80+S89</f>
        <v>6337262.33</v>
      </c>
      <c r="U75" s="623">
        <f t="shared" si="17"/>
        <v>15000</v>
      </c>
      <c r="Y75" s="55"/>
      <c r="Z75" s="55"/>
      <c r="AA75" s="55"/>
    </row>
    <row r="76" spans="1:27" s="47" customFormat="1" ht="15.75">
      <c r="A76" s="476" t="s">
        <v>20</v>
      </c>
      <c r="B76" s="561">
        <f>'[31]SD 2018'!$C$77</f>
        <v>1162725</v>
      </c>
      <c r="C76" s="671">
        <v>218963</v>
      </c>
      <c r="D76" s="683">
        <v>37086</v>
      </c>
      <c r="E76" s="691">
        <v>95460</v>
      </c>
      <c r="F76" s="683">
        <v>135693</v>
      </c>
      <c r="G76" s="657">
        <v>91892</v>
      </c>
      <c r="H76" s="630">
        <v>66771</v>
      </c>
      <c r="I76" s="630">
        <v>77566</v>
      </c>
      <c r="J76" s="630">
        <v>7547</v>
      </c>
      <c r="K76" s="630">
        <v>0</v>
      </c>
      <c r="L76" s="368">
        <f aca="true" t="shared" si="20" ref="L76:L88">SUM(C76:J76)</f>
        <v>730978</v>
      </c>
      <c r="M76" s="84"/>
      <c r="N76" s="84"/>
      <c r="O76" s="84"/>
      <c r="P76" s="241"/>
      <c r="Q76" s="43"/>
      <c r="R76" s="248"/>
      <c r="S76" s="181">
        <f t="shared" si="19"/>
        <v>730978</v>
      </c>
      <c r="T76" s="626">
        <v>730978</v>
      </c>
      <c r="U76" s="623">
        <f t="shared" si="17"/>
        <v>0</v>
      </c>
      <c r="V76" s="322"/>
      <c r="W76" s="322"/>
      <c r="X76" s="322"/>
      <c r="Y76" s="322"/>
      <c r="Z76" s="322"/>
      <c r="AA76" s="322"/>
    </row>
    <row r="77" spans="1:27" s="48" customFormat="1" ht="31.5">
      <c r="A77" s="477" t="s">
        <v>110</v>
      </c>
      <c r="B77" s="562">
        <f>'[31]SD 2018'!$C$78</f>
        <v>1345950</v>
      </c>
      <c r="C77" s="671">
        <v>105030</v>
      </c>
      <c r="D77" s="683">
        <v>130981</v>
      </c>
      <c r="E77" s="691">
        <v>342883</v>
      </c>
      <c r="F77" s="671">
        <v>204379</v>
      </c>
      <c r="G77" s="630">
        <v>0</v>
      </c>
      <c r="H77" s="630">
        <f>262422-40504</f>
        <v>221918</v>
      </c>
      <c r="I77" s="630">
        <v>192555</v>
      </c>
      <c r="J77" s="630">
        <v>0</v>
      </c>
      <c r="K77" s="630">
        <v>0</v>
      </c>
      <c r="L77" s="369">
        <f t="shared" si="20"/>
        <v>1197746</v>
      </c>
      <c r="M77" s="85"/>
      <c r="N77" s="85"/>
      <c r="O77" s="85"/>
      <c r="P77" s="242"/>
      <c r="Q77" s="91"/>
      <c r="R77" s="44">
        <f>31800-31800</f>
        <v>0</v>
      </c>
      <c r="S77" s="182">
        <f t="shared" si="19"/>
        <v>1197746</v>
      </c>
      <c r="T77" s="626">
        <f>S77+S78</f>
        <v>1749019</v>
      </c>
      <c r="U77" s="623">
        <f t="shared" si="17"/>
        <v>-551273</v>
      </c>
      <c r="V77" s="626"/>
      <c r="W77" s="626"/>
      <c r="X77" s="626"/>
      <c r="Y77" s="626"/>
      <c r="Z77" s="626"/>
      <c r="AA77" s="626"/>
    </row>
    <row r="78" spans="1:27" s="48" customFormat="1" ht="15.75">
      <c r="A78" s="477" t="s">
        <v>78</v>
      </c>
      <c r="B78" s="562">
        <f>'[31]SD 2018'!$C$79</f>
        <v>616750</v>
      </c>
      <c r="C78" s="671">
        <v>107799</v>
      </c>
      <c r="D78" s="683">
        <v>43071</v>
      </c>
      <c r="E78" s="691">
        <f>109878+3</f>
        <v>109881</v>
      </c>
      <c r="F78" s="683">
        <v>70770</v>
      </c>
      <c r="G78" s="657">
        <v>44811</v>
      </c>
      <c r="H78" s="630">
        <f>93394-2130</f>
        <v>91264</v>
      </c>
      <c r="I78" s="630">
        <v>60619</v>
      </c>
      <c r="J78" s="630">
        <v>7686</v>
      </c>
      <c r="K78" s="630"/>
      <c r="L78" s="369">
        <f t="shared" si="20"/>
        <v>535901</v>
      </c>
      <c r="M78" s="184"/>
      <c r="N78" s="184"/>
      <c r="O78" s="184"/>
      <c r="P78" s="717">
        <v>15372</v>
      </c>
      <c r="Q78" s="161"/>
      <c r="R78" s="249"/>
      <c r="S78" s="182">
        <f t="shared" si="19"/>
        <v>551273</v>
      </c>
      <c r="T78" s="626"/>
      <c r="U78" s="623">
        <f t="shared" si="17"/>
        <v>551273</v>
      </c>
      <c r="V78" s="626"/>
      <c r="W78" s="626"/>
      <c r="X78" s="626"/>
      <c r="Y78" s="626"/>
      <c r="Z78" s="626"/>
      <c r="AA78" s="626"/>
    </row>
    <row r="79" spans="1:27" s="48" customFormat="1" ht="15.75">
      <c r="A79" s="763"/>
      <c r="B79" s="562"/>
      <c r="C79" s="671"/>
      <c r="D79" s="683"/>
      <c r="E79" s="691"/>
      <c r="F79" s="683"/>
      <c r="G79" s="691"/>
      <c r="H79" s="691"/>
      <c r="I79" s="691"/>
      <c r="J79" s="691"/>
      <c r="K79" s="691"/>
      <c r="L79" s="369"/>
      <c r="M79" s="184"/>
      <c r="N79" s="184"/>
      <c r="O79" s="184"/>
      <c r="P79" s="717"/>
      <c r="Q79" s="161"/>
      <c r="R79" s="249"/>
      <c r="S79" s="764"/>
      <c r="T79" s="626"/>
      <c r="U79" s="761"/>
      <c r="V79" s="626"/>
      <c r="W79" s="626"/>
      <c r="X79" s="626"/>
      <c r="Y79" s="626"/>
      <c r="Z79" s="626"/>
      <c r="AA79" s="626"/>
    </row>
    <row r="80" spans="1:27" s="192" customFormat="1" ht="19.5" customHeight="1">
      <c r="A80" s="272" t="s">
        <v>119</v>
      </c>
      <c r="B80" s="340">
        <f>B81</f>
        <v>3182822</v>
      </c>
      <c r="C80" s="672"/>
      <c r="D80" s="273"/>
      <c r="E80" s="340"/>
      <c r="F80" s="273"/>
      <c r="G80" s="340"/>
      <c r="H80" s="273">
        <f>H81+H88</f>
        <v>682818.22</v>
      </c>
      <c r="I80" s="340"/>
      <c r="J80" s="273"/>
      <c r="K80" s="274"/>
      <c r="L80" s="274">
        <f t="shared" si="20"/>
        <v>682818.22</v>
      </c>
      <c r="M80" s="273">
        <f>M81+M88</f>
        <v>3072980.11</v>
      </c>
      <c r="N80" s="273"/>
      <c r="O80" s="273"/>
      <c r="P80" s="273"/>
      <c r="Q80" s="273"/>
      <c r="R80" s="273"/>
      <c r="S80" s="275">
        <f t="shared" si="19"/>
        <v>3755798.33</v>
      </c>
      <c r="T80" s="263">
        <v>3872265.33</v>
      </c>
      <c r="U80" s="765">
        <f>T80+S89</f>
        <v>3973732.33</v>
      </c>
      <c r="V80" s="263">
        <f>T80-S80</f>
        <v>116467</v>
      </c>
      <c r="W80" s="263"/>
      <c r="X80" s="263"/>
      <c r="Y80" s="263"/>
      <c r="Z80" s="263"/>
      <c r="AA80" s="263"/>
    </row>
    <row r="81" spans="1:27" s="33" customFormat="1" ht="18.75" customHeight="1">
      <c r="A81" s="478" t="s">
        <v>118</v>
      </c>
      <c r="B81" s="563">
        <f>B82+B85+B86+B87+B88</f>
        <v>3182822</v>
      </c>
      <c r="C81" s="673"/>
      <c r="D81" s="424"/>
      <c r="E81" s="425"/>
      <c r="F81" s="424"/>
      <c r="G81" s="425"/>
      <c r="H81" s="426">
        <f>H82+H85+H86+H87</f>
        <v>643061.22</v>
      </c>
      <c r="I81" s="425"/>
      <c r="J81" s="427"/>
      <c r="K81" s="428"/>
      <c r="L81" s="429">
        <f t="shared" si="20"/>
        <v>643061.22</v>
      </c>
      <c r="M81" s="426">
        <f>M82+M85+M86+M87</f>
        <v>2712866.11</v>
      </c>
      <c r="N81" s="424"/>
      <c r="O81" s="424"/>
      <c r="P81" s="424"/>
      <c r="Q81" s="430"/>
      <c r="R81" s="431"/>
      <c r="S81" s="424">
        <f>SUM(L81:R81)</f>
        <v>3355927.33</v>
      </c>
      <c r="T81" s="623">
        <f>S82+S85+S86+S87+S88</f>
        <v>3770798.33</v>
      </c>
      <c r="U81" s="623"/>
      <c r="V81" s="623"/>
      <c r="W81" s="623"/>
      <c r="X81" s="623"/>
      <c r="Y81" s="623"/>
      <c r="Z81" s="623"/>
      <c r="AA81" s="623"/>
    </row>
    <row r="82" spans="1:27" s="33" customFormat="1" ht="18.75" customHeight="1">
      <c r="A82" s="479" t="s">
        <v>93</v>
      </c>
      <c r="B82" s="564">
        <f>'[31]SD 2018'!$C$82</f>
        <v>1381534</v>
      </c>
      <c r="C82" s="674"/>
      <c r="D82" s="188"/>
      <c r="E82" s="341"/>
      <c r="F82" s="188"/>
      <c r="G82" s="341"/>
      <c r="H82" s="189">
        <f>279166+40192+16249</f>
        <v>335607</v>
      </c>
      <c r="I82" s="341"/>
      <c r="J82" s="190"/>
      <c r="K82" s="401"/>
      <c r="L82" s="370">
        <f t="shared" si="20"/>
        <v>335607</v>
      </c>
      <c r="M82" s="189">
        <f>1142751+234721+56388</f>
        <v>1433860</v>
      </c>
      <c r="N82" s="188"/>
      <c r="O82" s="188"/>
      <c r="P82" s="188"/>
      <c r="Q82" s="191"/>
      <c r="R82" s="250"/>
      <c r="S82" s="188">
        <f t="shared" si="19"/>
        <v>1769467</v>
      </c>
      <c r="T82" s="623">
        <f>S80-S88</f>
        <v>3355927.33</v>
      </c>
      <c r="U82" s="623" t="s">
        <v>134</v>
      </c>
      <c r="V82" s="623"/>
      <c r="W82" s="623"/>
      <c r="X82" s="623"/>
      <c r="Y82" s="623"/>
      <c r="Z82" s="623"/>
      <c r="AA82" s="623"/>
    </row>
    <row r="83" spans="1:27" s="33" customFormat="1" ht="18.75" customHeight="1" hidden="1">
      <c r="A83" s="480" t="s">
        <v>112</v>
      </c>
      <c r="B83" s="565"/>
      <c r="C83" s="675"/>
      <c r="D83" s="294"/>
      <c r="E83" s="342"/>
      <c r="F83" s="294"/>
      <c r="G83" s="342"/>
      <c r="H83" s="294"/>
      <c r="I83" s="342"/>
      <c r="J83" s="294"/>
      <c r="K83" s="402"/>
      <c r="L83" s="371">
        <f t="shared" si="20"/>
        <v>0</v>
      </c>
      <c r="M83" s="294"/>
      <c r="N83" s="294"/>
      <c r="O83" s="294"/>
      <c r="P83" s="294"/>
      <c r="Q83" s="294"/>
      <c r="R83" s="294"/>
      <c r="S83" s="293">
        <f t="shared" si="19"/>
        <v>0</v>
      </c>
      <c r="T83" s="623"/>
      <c r="U83" s="623"/>
      <c r="V83" s="623"/>
      <c r="W83" s="623"/>
      <c r="X83" s="623"/>
      <c r="Y83" s="623"/>
      <c r="Z83" s="623"/>
      <c r="AA83" s="623"/>
    </row>
    <row r="84" spans="1:27" s="33" customFormat="1" ht="19.5" customHeight="1" hidden="1">
      <c r="A84" s="481" t="s">
        <v>113</v>
      </c>
      <c r="B84" s="566">
        <f>'[31]SD 2018'!$C$84</f>
        <v>46222</v>
      </c>
      <c r="C84" s="676"/>
      <c r="D84" s="293"/>
      <c r="E84" s="343"/>
      <c r="F84" s="293"/>
      <c r="G84" s="343"/>
      <c r="H84" s="294"/>
      <c r="I84" s="343"/>
      <c r="J84" s="295"/>
      <c r="K84" s="403"/>
      <c r="L84" s="372">
        <f t="shared" si="20"/>
        <v>0</v>
      </c>
      <c r="M84" s="294"/>
      <c r="N84" s="293"/>
      <c r="O84" s="293"/>
      <c r="P84" s="293"/>
      <c r="Q84" s="296"/>
      <c r="R84" s="265"/>
      <c r="S84" s="293">
        <f t="shared" si="19"/>
        <v>0</v>
      </c>
      <c r="T84" s="623"/>
      <c r="U84" s="623"/>
      <c r="V84" s="623"/>
      <c r="W84" s="623"/>
      <c r="X84" s="623"/>
      <c r="Y84" s="623"/>
      <c r="Z84" s="623"/>
      <c r="AA84" s="623"/>
    </row>
    <row r="85" spans="1:27" s="33" customFormat="1" ht="19.5" customHeight="1">
      <c r="A85" s="482" t="s">
        <v>59</v>
      </c>
      <c r="B85" s="567">
        <f>'[31]SD 2018'!$C$85</f>
        <v>486300</v>
      </c>
      <c r="C85" s="677"/>
      <c r="D85" s="100"/>
      <c r="E85" s="344"/>
      <c r="F85" s="100"/>
      <c r="G85" s="344"/>
      <c r="H85" s="276">
        <f>98266+14147+5720</f>
        <v>118133</v>
      </c>
      <c r="I85" s="344"/>
      <c r="J85" s="277"/>
      <c r="K85" s="404"/>
      <c r="L85" s="373">
        <f t="shared" si="20"/>
        <v>118133</v>
      </c>
      <c r="M85" s="276">
        <f>402249+82622+19849</f>
        <v>504720</v>
      </c>
      <c r="N85" s="100"/>
      <c r="O85" s="100"/>
      <c r="P85" s="100"/>
      <c r="Q85" s="278"/>
      <c r="R85" s="279"/>
      <c r="S85" s="100">
        <f t="shared" si="19"/>
        <v>622853</v>
      </c>
      <c r="T85" s="623"/>
      <c r="U85" s="623"/>
      <c r="V85" s="623"/>
      <c r="W85" s="623"/>
      <c r="X85" s="623"/>
      <c r="Y85" s="623"/>
      <c r="Z85" s="623"/>
      <c r="AA85" s="623"/>
    </row>
    <row r="86" spans="1:27" s="33" customFormat="1" ht="18.75" customHeight="1">
      <c r="A86" s="483" t="s">
        <v>60</v>
      </c>
      <c r="B86" s="568">
        <f>'[31]SD 2018'!$C$86</f>
        <v>441699.99999999994</v>
      </c>
      <c r="C86" s="678"/>
      <c r="D86" s="282"/>
      <c r="E86" s="345"/>
      <c r="F86" s="282"/>
      <c r="G86" s="345"/>
      <c r="H86" s="719">
        <v>88032</v>
      </c>
      <c r="I86" s="345"/>
      <c r="J86" s="282"/>
      <c r="K86" s="405"/>
      <c r="L86" s="374">
        <f t="shared" si="20"/>
        <v>88032</v>
      </c>
      <c r="M86" s="718">
        <v>361354</v>
      </c>
      <c r="N86" s="282"/>
      <c r="O86" s="282"/>
      <c r="P86" s="282"/>
      <c r="Q86" s="283"/>
      <c r="R86" s="284"/>
      <c r="S86" s="282">
        <f t="shared" si="19"/>
        <v>449386</v>
      </c>
      <c r="T86" s="623"/>
      <c r="U86" s="623">
        <f>3370927-T86</f>
        <v>3370927</v>
      </c>
      <c r="V86" s="623"/>
      <c r="W86" s="623"/>
      <c r="X86" s="623"/>
      <c r="Y86" s="623"/>
      <c r="Z86" s="623"/>
      <c r="AA86" s="623"/>
    </row>
    <row r="87" spans="1:27" s="33" customFormat="1" ht="18.75" customHeight="1">
      <c r="A87" s="483" t="s">
        <v>91</v>
      </c>
      <c r="B87" s="569">
        <f>'[31]SD 2018'!$C$87</f>
        <v>498784</v>
      </c>
      <c r="C87" s="678"/>
      <c r="D87" s="282"/>
      <c r="E87" s="345"/>
      <c r="F87" s="282"/>
      <c r="G87" s="345"/>
      <c r="H87" s="719">
        <f>99665+1116.12+508.1</f>
        <v>101289.22</v>
      </c>
      <c r="I87" s="345"/>
      <c r="J87" s="282"/>
      <c r="K87" s="405"/>
      <c r="L87" s="374">
        <f t="shared" si="20"/>
        <v>101289.22</v>
      </c>
      <c r="M87" s="718">
        <f>409103+784.17+1220.74+1824.2</f>
        <v>412932.11</v>
      </c>
      <c r="N87" s="282"/>
      <c r="O87" s="282">
        <v>15000</v>
      </c>
      <c r="P87" s="282"/>
      <c r="Q87" s="283"/>
      <c r="R87" s="284">
        <f>15000-15000</f>
        <v>0</v>
      </c>
      <c r="S87" s="282">
        <f t="shared" si="19"/>
        <v>529221.33</v>
      </c>
      <c r="T87" s="623">
        <v>399871</v>
      </c>
      <c r="U87" s="627" t="s">
        <v>240</v>
      </c>
      <c r="V87" s="623"/>
      <c r="W87" s="623"/>
      <c r="X87" s="623"/>
      <c r="Y87" s="623"/>
      <c r="Z87" s="623"/>
      <c r="AA87" s="623"/>
    </row>
    <row r="88" spans="1:27" s="148" customFormat="1" ht="19.5" customHeight="1">
      <c r="A88" s="469" t="s">
        <v>92</v>
      </c>
      <c r="B88" s="453">
        <f>'[31]SD 2018'!$C$88</f>
        <v>374504</v>
      </c>
      <c r="C88" s="679"/>
      <c r="D88" s="82"/>
      <c r="E88" s="339"/>
      <c r="F88" s="82"/>
      <c r="G88" s="339"/>
      <c r="H88" s="630">
        <v>39757</v>
      </c>
      <c r="I88" s="339"/>
      <c r="J88" s="82"/>
      <c r="K88" s="406"/>
      <c r="L88" s="375">
        <f t="shared" si="20"/>
        <v>39757</v>
      </c>
      <c r="M88" s="280">
        <v>360114</v>
      </c>
      <c r="N88" s="82"/>
      <c r="O88" s="82"/>
      <c r="P88" s="82"/>
      <c r="Q88" s="174"/>
      <c r="R88" s="82"/>
      <c r="S88" s="281">
        <f t="shared" si="19"/>
        <v>399871</v>
      </c>
      <c r="T88" s="259">
        <f>D89+E89+H89+O89</f>
        <v>36391</v>
      </c>
      <c r="U88" s="148" t="s">
        <v>241</v>
      </c>
      <c r="V88" s="259"/>
      <c r="W88" s="259"/>
      <c r="X88" s="259"/>
      <c r="Y88" s="259"/>
      <c r="Z88" s="259"/>
      <c r="AA88" s="259"/>
    </row>
    <row r="89" spans="1:27" s="33" customFormat="1" ht="19.5" customHeight="1" thickBot="1">
      <c r="A89" s="484" t="s">
        <v>61</v>
      </c>
      <c r="B89" s="570">
        <f>'[31]SD 2018'!$C$89</f>
        <v>65816</v>
      </c>
      <c r="C89" s="660"/>
      <c r="D89" s="160">
        <f>4141+992+1850</f>
        <v>6983</v>
      </c>
      <c r="E89" s="346">
        <v>4962</v>
      </c>
      <c r="F89" s="44"/>
      <c r="G89" s="338"/>
      <c r="H89" s="160">
        <v>10720</v>
      </c>
      <c r="I89" s="338"/>
      <c r="J89" s="44"/>
      <c r="K89" s="407"/>
      <c r="L89" s="376">
        <f>SUM(C89:K89)</f>
        <v>22665</v>
      </c>
      <c r="M89" s="160"/>
      <c r="N89" s="160">
        <f>60076+5000</f>
        <v>65076</v>
      </c>
      <c r="O89" s="160">
        <f>11936+1790</f>
        <v>13726</v>
      </c>
      <c r="P89" s="160">
        <f>36391-36391</f>
        <v>0</v>
      </c>
      <c r="Q89" s="49"/>
      <c r="R89" s="160">
        <f>36391+31842-36391-31842</f>
        <v>0</v>
      </c>
      <c r="S89" s="381">
        <f t="shared" si="19"/>
        <v>101467</v>
      </c>
      <c r="T89" s="623">
        <f>N89</f>
        <v>65076</v>
      </c>
      <c r="U89" s="627" t="s">
        <v>239</v>
      </c>
      <c r="V89" s="628">
        <f>T88+T89</f>
        <v>101467</v>
      </c>
      <c r="W89" s="623"/>
      <c r="X89" s="623"/>
      <c r="Y89" s="623"/>
      <c r="Z89" s="623"/>
      <c r="AA89" s="623"/>
    </row>
    <row r="90" spans="1:27" s="33" customFormat="1" ht="18.75" customHeight="1" thickBot="1">
      <c r="A90" s="470" t="s">
        <v>43</v>
      </c>
      <c r="B90" s="571"/>
      <c r="C90" s="680">
        <f>347099+75650+57730+160576+29600</f>
        <v>670655</v>
      </c>
      <c r="D90" s="286">
        <f>2000+2350+222339+145544+22645+135844-12375+4808.36</f>
        <v>523155.36</v>
      </c>
      <c r="E90" s="347">
        <f>2000+623986+19500+320861-22645+88167+15858+10000+5000</f>
        <v>1062727</v>
      </c>
      <c r="F90" s="286">
        <f>2700+2300+19727.13+2350+65644+102586+621516+5900+504455+474781+70000+4000+158371-28.39-1021.59+12375+14896.49+19561.52+2994.41+2513.29</f>
        <v>2085620.8599999999</v>
      </c>
      <c r="G90" s="347">
        <f>2000+2000+47903</f>
        <v>51903</v>
      </c>
      <c r="H90" s="286">
        <f>362330+69054+82040+2076+4166.67+4996.8</f>
        <v>524663.47</v>
      </c>
      <c r="I90" s="347">
        <f>66634+62767+79990+4008+4572.3</f>
        <v>217971.3</v>
      </c>
      <c r="J90" s="286"/>
      <c r="K90" s="408"/>
      <c r="L90" s="377">
        <f>SUM(C90:J90)</f>
        <v>5136695.989999999</v>
      </c>
      <c r="M90" s="287"/>
      <c r="N90" s="287"/>
      <c r="O90" s="287">
        <f>62910-19500</f>
        <v>43410</v>
      </c>
      <c r="P90" s="287"/>
      <c r="Q90" s="287"/>
      <c r="R90" s="287">
        <f>258444-258444</f>
        <v>0</v>
      </c>
      <c r="S90" s="285">
        <f>L90+O90+R90</f>
        <v>5180105.989999999</v>
      </c>
      <c r="T90" s="623">
        <f>S90-'[32]poslané z MŠ'!$S$32</f>
        <v>35135.830000000075</v>
      </c>
      <c r="U90" s="627"/>
      <c r="V90" s="623"/>
      <c r="W90" s="623"/>
      <c r="X90" s="623"/>
      <c r="Y90" s="623"/>
      <c r="Z90" s="623"/>
      <c r="AA90" s="623"/>
    </row>
    <row r="91" spans="1:27" s="33" customFormat="1" ht="20.25" customHeight="1" thickBot="1">
      <c r="A91" s="471" t="s">
        <v>44</v>
      </c>
      <c r="B91" s="572"/>
      <c r="C91" s="681"/>
      <c r="D91" s="288"/>
      <c r="E91" s="348"/>
      <c r="F91" s="288"/>
      <c r="G91" s="348"/>
      <c r="H91" s="288"/>
      <c r="I91" s="348"/>
      <c r="J91" s="288"/>
      <c r="K91" s="409"/>
      <c r="L91" s="377">
        <f>SUM(C91:I91)+J91</f>
        <v>0</v>
      </c>
      <c r="M91" s="289"/>
      <c r="N91" s="289"/>
      <c r="O91" s="289"/>
      <c r="P91" s="289"/>
      <c r="Q91" s="289"/>
      <c r="R91" s="289"/>
      <c r="S91" s="382">
        <f>SUM(L91:Q91)</f>
        <v>0</v>
      </c>
      <c r="T91" s="623"/>
      <c r="U91" s="623"/>
      <c r="V91" s="623"/>
      <c r="W91" s="623"/>
      <c r="X91" s="623"/>
      <c r="Y91" s="623"/>
      <c r="Z91" s="623"/>
      <c r="AA91" s="623"/>
    </row>
    <row r="92" spans="1:27" s="33" customFormat="1" ht="19.5" customHeight="1" thickBot="1">
      <c r="A92" s="470" t="s">
        <v>45</v>
      </c>
      <c r="B92" s="571"/>
      <c r="C92" s="680"/>
      <c r="D92" s="286">
        <v>250000</v>
      </c>
      <c r="E92" s="347">
        <f>21575</f>
        <v>21575</v>
      </c>
      <c r="F92" s="286">
        <v>20000</v>
      </c>
      <c r="G92" s="347"/>
      <c r="H92" s="286"/>
      <c r="I92" s="347"/>
      <c r="J92" s="286"/>
      <c r="K92" s="408"/>
      <c r="L92" s="377">
        <f>SUM(C92:I92)+J92</f>
        <v>291575</v>
      </c>
      <c r="M92" s="287"/>
      <c r="N92" s="287"/>
      <c r="O92" s="287"/>
      <c r="P92" s="287"/>
      <c r="Q92" s="287"/>
      <c r="R92" s="287"/>
      <c r="S92" s="285">
        <f>L92+M92+N92+O92+P92+Q92+R92</f>
        <v>291575</v>
      </c>
      <c r="T92" s="623"/>
      <c r="U92" s="623">
        <f>S90-5144970.16</f>
        <v>35135.82999999914</v>
      </c>
      <c r="V92" s="623"/>
      <c r="W92" s="623"/>
      <c r="X92" s="623"/>
      <c r="Y92" s="623"/>
      <c r="Z92" s="623"/>
      <c r="AA92" s="623"/>
    </row>
    <row r="93" spans="1:27" s="33" customFormat="1" ht="18.75" customHeight="1" thickBot="1">
      <c r="A93" s="471" t="s">
        <v>46</v>
      </c>
      <c r="B93" s="572"/>
      <c r="C93" s="681"/>
      <c r="D93" s="288"/>
      <c r="E93" s="348"/>
      <c r="F93" s="288"/>
      <c r="G93" s="348"/>
      <c r="H93" s="288"/>
      <c r="I93" s="348"/>
      <c r="J93" s="288"/>
      <c r="K93" s="409"/>
      <c r="L93" s="377">
        <f>SUM(C93:I93)+J93</f>
        <v>0</v>
      </c>
      <c r="M93" s="289"/>
      <c r="N93" s="289"/>
      <c r="O93" s="289"/>
      <c r="P93" s="289"/>
      <c r="Q93" s="289"/>
      <c r="R93" s="289"/>
      <c r="S93" s="382">
        <f>SUM(L93:Q93)</f>
        <v>0</v>
      </c>
      <c r="T93" s="623"/>
      <c r="U93" s="623"/>
      <c r="V93" s="623"/>
      <c r="W93" s="623"/>
      <c r="X93" s="623"/>
      <c r="Y93" s="623"/>
      <c r="Z93" s="623"/>
      <c r="AA93" s="623"/>
    </row>
    <row r="94" spans="1:27" s="33" customFormat="1" ht="18.75" customHeight="1" thickBot="1">
      <c r="A94" s="472" t="s">
        <v>47</v>
      </c>
      <c r="B94" s="571"/>
      <c r="C94" s="680">
        <f>8430+8270+280+5520+3075+15780-1180+1440+280+200+2800</f>
        <v>44895</v>
      </c>
      <c r="D94" s="286">
        <f>5400+5500+4320+365+3240-1445+200+600</f>
        <v>18180</v>
      </c>
      <c r="E94" s="347">
        <f>42480+42200-1280+34840-1380+5925+52530-3470+8800</f>
        <v>180645</v>
      </c>
      <c r="F94" s="286">
        <f>13830+12540-720+10800-360+1540+315+16680-2915+1440+3200</f>
        <v>56350</v>
      </c>
      <c r="G94" s="347">
        <f>10680+8970+100-1710+7620-480+925+12030-440+2000</f>
        <v>39695</v>
      </c>
      <c r="H94" s="286">
        <v>0</v>
      </c>
      <c r="I94" s="347">
        <f>14670+13590-360+12860+1155+14640-1360+2200</f>
        <v>57395</v>
      </c>
      <c r="J94" s="286"/>
      <c r="K94" s="408"/>
      <c r="L94" s="377">
        <f>SUM(C94:I94)+J94</f>
        <v>397160</v>
      </c>
      <c r="M94" s="286"/>
      <c r="N94" s="286"/>
      <c r="O94" s="286"/>
      <c r="P94" s="290"/>
      <c r="Q94" s="291"/>
      <c r="R94" s="292"/>
      <c r="S94" s="285">
        <f>L94+M94+N94+O94+P94+Q94+R94</f>
        <v>397160</v>
      </c>
      <c r="T94" s="623"/>
      <c r="U94" s="623"/>
      <c r="V94" s="623"/>
      <c r="W94" s="623"/>
      <c r="X94" s="623"/>
      <c r="Y94" s="623"/>
      <c r="Z94" s="623"/>
      <c r="AA94" s="623"/>
    </row>
    <row r="95" spans="1:27" s="33" customFormat="1" ht="18.75" customHeight="1" thickBot="1">
      <c r="A95" s="472" t="s">
        <v>48</v>
      </c>
      <c r="B95" s="571"/>
      <c r="C95" s="680">
        <f>280+840-280</f>
        <v>840</v>
      </c>
      <c r="D95" s="286"/>
      <c r="E95" s="347">
        <f>840+2815+840+1120-1328.2</f>
        <v>4286.8</v>
      </c>
      <c r="F95" s="286">
        <f>280+280+2513+280+840-1300.84</f>
        <v>2892.16</v>
      </c>
      <c r="G95" s="347"/>
      <c r="H95" s="286"/>
      <c r="I95" s="347"/>
      <c r="J95" s="286"/>
      <c r="K95" s="408"/>
      <c r="L95" s="377">
        <f>SUM(C95:I95)+J95</f>
        <v>8018.96</v>
      </c>
      <c r="M95" s="286"/>
      <c r="N95" s="286"/>
      <c r="O95" s="286">
        <f>2872-2637</f>
        <v>235</v>
      </c>
      <c r="P95" s="286"/>
      <c r="Q95" s="292"/>
      <c r="R95" s="292"/>
      <c r="S95" s="285">
        <f>SUM(L95:Q95)+R95</f>
        <v>8253.96</v>
      </c>
      <c r="T95" s="623"/>
      <c r="U95" s="623"/>
      <c r="V95" s="629"/>
      <c r="W95" s="623"/>
      <c r="X95" s="623"/>
      <c r="Y95" s="623"/>
      <c r="Z95" s="623"/>
      <c r="AA95" s="623"/>
    </row>
    <row r="96" spans="1:27" s="39" customFormat="1" ht="16.5" thickBot="1">
      <c r="A96" s="473"/>
      <c r="B96" s="573"/>
      <c r="C96" s="682"/>
      <c r="D96" s="57"/>
      <c r="E96" s="349"/>
      <c r="F96" s="57"/>
      <c r="G96" s="349"/>
      <c r="H96" s="57"/>
      <c r="I96" s="356"/>
      <c r="J96" s="58"/>
      <c r="K96" s="410"/>
      <c r="L96" s="378"/>
      <c r="M96" s="57"/>
      <c r="N96" s="57"/>
      <c r="O96" s="57"/>
      <c r="P96" s="57"/>
      <c r="Q96" s="59"/>
      <c r="R96" s="59"/>
      <c r="S96" s="58"/>
      <c r="T96" s="625"/>
      <c r="U96" s="625"/>
      <c r="V96" s="625"/>
      <c r="W96" s="625"/>
      <c r="X96" s="625"/>
      <c r="Y96" s="625"/>
      <c r="Z96" s="625"/>
      <c r="AA96" s="625"/>
    </row>
    <row r="97" spans="1:27" s="50" customFormat="1" ht="21" customHeight="1" thickBot="1">
      <c r="A97" s="485" t="s">
        <v>49</v>
      </c>
      <c r="B97" s="455"/>
      <c r="C97" s="86">
        <f>C98+C121</f>
        <v>0</v>
      </c>
      <c r="D97" s="86">
        <f>D98+D121</f>
        <v>180000</v>
      </c>
      <c r="E97" s="350">
        <f aca="true" t="shared" si="21" ref="E97:K97">E98+E122+E121</f>
        <v>370000</v>
      </c>
      <c r="F97" s="350">
        <f t="shared" si="21"/>
        <v>0</v>
      </c>
      <c r="G97" s="350">
        <f t="shared" si="21"/>
        <v>0</v>
      </c>
      <c r="H97" s="86">
        <f t="shared" si="21"/>
        <v>0</v>
      </c>
      <c r="I97" s="350">
        <f t="shared" si="21"/>
        <v>0</v>
      </c>
      <c r="J97" s="86">
        <f t="shared" si="21"/>
        <v>0</v>
      </c>
      <c r="K97" s="271">
        <f t="shared" si="21"/>
        <v>0</v>
      </c>
      <c r="L97" s="271">
        <f>SUM(C97:I97)+J97</f>
        <v>550000</v>
      </c>
      <c r="M97" s="86">
        <f>M98+M122+M121</f>
        <v>4620207</v>
      </c>
      <c r="N97" s="86">
        <f>N98+N122+N121</f>
        <v>0</v>
      </c>
      <c r="O97" s="86">
        <f>O98+O122+O121</f>
        <v>0</v>
      </c>
      <c r="P97" s="86">
        <f>P98+P121</f>
        <v>0</v>
      </c>
      <c r="Q97" s="86">
        <f>Q98+Q121</f>
        <v>0</v>
      </c>
      <c r="R97" s="86"/>
      <c r="S97" s="86">
        <f>L97+M97</f>
        <v>5170207</v>
      </c>
      <c r="T97" s="323"/>
      <c r="U97" s="323"/>
      <c r="V97" s="323"/>
      <c r="W97" s="323"/>
      <c r="X97" s="323"/>
      <c r="Y97" s="323"/>
      <c r="Z97" s="323"/>
      <c r="AA97" s="323"/>
    </row>
    <row r="98" spans="1:27" s="50" customFormat="1" ht="19.5" customHeight="1" thickBot="1">
      <c r="A98" s="485" t="s">
        <v>50</v>
      </c>
      <c r="B98" s="456"/>
      <c r="C98" s="87">
        <f>C106</f>
        <v>0</v>
      </c>
      <c r="D98" s="87">
        <f>D106</f>
        <v>180000</v>
      </c>
      <c r="E98" s="351">
        <f>E105</f>
        <v>370000</v>
      </c>
      <c r="F98" s="351">
        <f>F105</f>
        <v>0</v>
      </c>
      <c r="G98" s="351">
        <f>G105</f>
        <v>0</v>
      </c>
      <c r="H98" s="87">
        <f>H99+H100+H101+H102+H103+H104+H105+H106+H107</f>
        <v>0</v>
      </c>
      <c r="I98" s="87">
        <f>I99+I100+I101+I102+I103+I104+I105+I106+I107</f>
        <v>0</v>
      </c>
      <c r="J98" s="87">
        <f>J99+J100+J101+J102+J103+J104+J105+J106+J107</f>
        <v>0</v>
      </c>
      <c r="K98" s="87">
        <f>K99+K100+K101+K102+K103+K104+K105+K106+K107</f>
        <v>0</v>
      </c>
      <c r="L98" s="271">
        <f>SUM(C98:I98)+J98</f>
        <v>550000</v>
      </c>
      <c r="M98" s="87">
        <f>M99+M100+M101+M102+M103+M104+M105+M106+M107+M108+M109+M110+M111+M112+M113+M114+M115+M116</f>
        <v>4620207</v>
      </c>
      <c r="N98" s="87">
        <f>N99+N100+N101+N102+N103+N104+N105+N106+N107+N108+N109+N110+N111+N112+N113+N114+N115+N116</f>
        <v>0</v>
      </c>
      <c r="O98" s="87">
        <f>O99+O100+O101+O102+O103+O104+O105+O106+O107+O108+O109+O110+O111+O112+O113+O114+O115+O116</f>
        <v>0</v>
      </c>
      <c r="P98" s="87">
        <f>P99+P100+P101+P102+P103+P104+P105+P106+P107+P108+P109+P110+P111+P112+P113+P114+P115+P116</f>
        <v>0</v>
      </c>
      <c r="Q98" s="87">
        <f>Q99+Q100+Q101+Q102+Q103+Q104+Q105+Q106+Q107+Q108+Q109+Q110+Q111+Q112+Q113+Q114+Q115+Q116</f>
        <v>0</v>
      </c>
      <c r="R98" s="602"/>
      <c r="S98" s="87">
        <f>SUM(L98:R98)</f>
        <v>5170207</v>
      </c>
      <c r="T98" s="323"/>
      <c r="U98" s="323"/>
      <c r="V98" s="323"/>
      <c r="W98" s="323"/>
      <c r="X98" s="323"/>
      <c r="Y98" s="323"/>
      <c r="Z98" s="323"/>
      <c r="AA98" s="323"/>
    </row>
    <row r="99" spans="1:27" s="33" customFormat="1" ht="25.5">
      <c r="A99" s="770" t="s">
        <v>188</v>
      </c>
      <c r="B99" s="574"/>
      <c r="C99" s="599"/>
      <c r="D99" s="51"/>
      <c r="E99" s="352"/>
      <c r="F99" s="51"/>
      <c r="G99" s="352"/>
      <c r="H99" s="51"/>
      <c r="I99" s="352"/>
      <c r="J99" s="34"/>
      <c r="K99" s="395"/>
      <c r="L99" s="379">
        <f aca="true" t="shared" si="22" ref="L99:L113">SUM(C99:I99)</f>
        <v>0</v>
      </c>
      <c r="M99" s="223">
        <v>350000</v>
      </c>
      <c r="N99" s="92"/>
      <c r="O99" s="51"/>
      <c r="P99" s="51"/>
      <c r="Q99" s="51"/>
      <c r="R99" s="599"/>
      <c r="S99" s="44">
        <f aca="true" t="shared" si="23" ref="S99:S114">SUM(L99:Q99)</f>
        <v>350000</v>
      </c>
      <c r="T99" s="623"/>
      <c r="U99" s="623"/>
      <c r="V99" s="623"/>
      <c r="W99" s="623"/>
      <c r="X99" s="623"/>
      <c r="Y99" s="623"/>
      <c r="Z99" s="623"/>
      <c r="AA99" s="623"/>
    </row>
    <row r="100" spans="1:27" s="33" customFormat="1" ht="25.5">
      <c r="A100" s="771" t="s">
        <v>189</v>
      </c>
      <c r="B100" s="608"/>
      <c r="C100" s="512"/>
      <c r="D100" s="34"/>
      <c r="E100" s="332"/>
      <c r="F100" s="34"/>
      <c r="G100" s="332"/>
      <c r="H100" s="34"/>
      <c r="I100" s="332"/>
      <c r="J100" s="34"/>
      <c r="K100" s="395"/>
      <c r="L100" s="379">
        <f t="shared" si="22"/>
        <v>0</v>
      </c>
      <c r="M100" s="223">
        <v>709792</v>
      </c>
      <c r="N100" s="747"/>
      <c r="O100" s="34"/>
      <c r="P100" s="34"/>
      <c r="Q100" s="34"/>
      <c r="R100" s="512"/>
      <c r="S100" s="44">
        <f t="shared" si="23"/>
        <v>709792</v>
      </c>
      <c r="T100" s="623"/>
      <c r="U100" s="623"/>
      <c r="V100" s="623"/>
      <c r="W100" s="623"/>
      <c r="X100" s="623"/>
      <c r="Y100" s="623"/>
      <c r="Z100" s="623"/>
      <c r="AA100" s="623"/>
    </row>
    <row r="101" spans="1:27" s="33" customFormat="1" ht="25.5">
      <c r="A101" s="771" t="s">
        <v>190</v>
      </c>
      <c r="B101" s="608"/>
      <c r="C101" s="512"/>
      <c r="D101" s="34"/>
      <c r="E101" s="332"/>
      <c r="F101" s="34"/>
      <c r="G101" s="332"/>
      <c r="H101" s="34"/>
      <c r="I101" s="332"/>
      <c r="J101" s="34"/>
      <c r="K101" s="395"/>
      <c r="L101" s="379">
        <f t="shared" si="22"/>
        <v>0</v>
      </c>
      <c r="M101" s="223">
        <v>61000</v>
      </c>
      <c r="N101" s="747"/>
      <c r="O101" s="34"/>
      <c r="P101" s="34"/>
      <c r="Q101" s="34"/>
      <c r="R101" s="512"/>
      <c r="S101" s="44">
        <f t="shared" si="23"/>
        <v>61000</v>
      </c>
      <c r="T101" s="623"/>
      <c r="U101" s="623"/>
      <c r="V101" s="623"/>
      <c r="W101" s="623"/>
      <c r="X101" s="623"/>
      <c r="Y101" s="623"/>
      <c r="Z101" s="623"/>
      <c r="AA101" s="623"/>
    </row>
    <row r="102" spans="1:27" s="33" customFormat="1" ht="25.5">
      <c r="A102" s="771" t="s">
        <v>191</v>
      </c>
      <c r="B102" s="608"/>
      <c r="C102" s="512"/>
      <c r="D102" s="34"/>
      <c r="E102" s="332"/>
      <c r="F102" s="34"/>
      <c r="G102" s="332"/>
      <c r="H102" s="34"/>
      <c r="I102" s="332"/>
      <c r="J102" s="34"/>
      <c r="K102" s="395"/>
      <c r="L102" s="379">
        <f t="shared" si="22"/>
        <v>0</v>
      </c>
      <c r="M102" s="223">
        <v>117000</v>
      </c>
      <c r="N102" s="747"/>
      <c r="O102" s="34"/>
      <c r="P102" s="34"/>
      <c r="Q102" s="34"/>
      <c r="R102" s="512"/>
      <c r="S102" s="44">
        <f t="shared" si="23"/>
        <v>117000</v>
      </c>
      <c r="T102" s="623"/>
      <c r="U102" s="623"/>
      <c r="V102" s="623"/>
      <c r="W102" s="623"/>
      <c r="X102" s="623"/>
      <c r="Y102" s="623"/>
      <c r="Z102" s="623"/>
      <c r="AA102" s="623"/>
    </row>
    <row r="103" spans="1:27" s="33" customFormat="1" ht="25.5">
      <c r="A103" s="771" t="s">
        <v>192</v>
      </c>
      <c r="B103" s="608"/>
      <c r="C103" s="512"/>
      <c r="D103" s="34"/>
      <c r="E103" s="332"/>
      <c r="F103" s="34"/>
      <c r="G103" s="332"/>
      <c r="H103" s="34"/>
      <c r="I103" s="332"/>
      <c r="J103" s="34"/>
      <c r="K103" s="395"/>
      <c r="L103" s="379">
        <f t="shared" si="22"/>
        <v>0</v>
      </c>
      <c r="M103" s="223">
        <v>992000</v>
      </c>
      <c r="N103" s="747"/>
      <c r="O103" s="34"/>
      <c r="P103" s="34"/>
      <c r="Q103" s="34"/>
      <c r="R103" s="512"/>
      <c r="S103" s="44">
        <f t="shared" si="23"/>
        <v>992000</v>
      </c>
      <c r="T103" s="623"/>
      <c r="U103" s="623"/>
      <c r="V103" s="623"/>
      <c r="W103" s="623"/>
      <c r="X103" s="623"/>
      <c r="Y103" s="623"/>
      <c r="Z103" s="623"/>
      <c r="AA103" s="623"/>
    </row>
    <row r="104" spans="1:27" s="33" customFormat="1" ht="25.5">
      <c r="A104" s="772" t="s">
        <v>193</v>
      </c>
      <c r="B104" s="559"/>
      <c r="C104" s="600"/>
      <c r="D104" s="44"/>
      <c r="E104" s="338"/>
      <c r="F104" s="44"/>
      <c r="G104" s="338"/>
      <c r="H104" s="44">
        <v>270208</v>
      </c>
      <c r="I104" s="338"/>
      <c r="J104" s="44"/>
      <c r="K104" s="407"/>
      <c r="L104" s="379">
        <f t="shared" si="22"/>
        <v>270208</v>
      </c>
      <c r="M104" s="52">
        <v>0</v>
      </c>
      <c r="N104" s="52"/>
      <c r="O104" s="44"/>
      <c r="P104" s="44"/>
      <c r="Q104" s="44"/>
      <c r="R104" s="600"/>
      <c r="S104" s="44">
        <f t="shared" si="23"/>
        <v>270208</v>
      </c>
      <c r="T104" s="623"/>
      <c r="U104" s="623"/>
      <c r="V104" s="623"/>
      <c r="W104" s="623"/>
      <c r="X104" s="623"/>
      <c r="Y104" s="623"/>
      <c r="Z104" s="623"/>
      <c r="AA104" s="623"/>
    </row>
    <row r="105" spans="1:27" s="33" customFormat="1" ht="33" customHeight="1">
      <c r="A105" s="737" t="s">
        <v>195</v>
      </c>
      <c r="B105" s="559"/>
      <c r="C105" s="600"/>
      <c r="D105" s="44"/>
      <c r="E105" s="338">
        <v>370000</v>
      </c>
      <c r="F105" s="44"/>
      <c r="G105" s="338"/>
      <c r="H105" s="44"/>
      <c r="I105" s="338"/>
      <c r="J105" s="44"/>
      <c r="K105" s="407"/>
      <c r="L105" s="379">
        <f t="shared" si="22"/>
        <v>370000</v>
      </c>
      <c r="M105" s="52"/>
      <c r="N105" s="52"/>
      <c r="O105" s="44"/>
      <c r="P105" s="44"/>
      <c r="Q105" s="44"/>
      <c r="R105" s="600"/>
      <c r="S105" s="44">
        <f t="shared" si="23"/>
        <v>370000</v>
      </c>
      <c r="T105" s="623"/>
      <c r="U105" s="623"/>
      <c r="V105" s="623"/>
      <c r="W105" s="623"/>
      <c r="X105" s="623"/>
      <c r="Y105" s="623"/>
      <c r="Z105" s="623"/>
      <c r="AA105" s="623"/>
    </row>
    <row r="106" spans="1:24" s="33" customFormat="1" ht="25.5">
      <c r="A106" s="737" t="s">
        <v>196</v>
      </c>
      <c r="B106" s="559"/>
      <c r="C106" s="600"/>
      <c r="D106" s="44">
        <v>180000</v>
      </c>
      <c r="E106" s="338"/>
      <c r="F106" s="44"/>
      <c r="G106" s="338"/>
      <c r="H106" s="44"/>
      <c r="I106" s="338"/>
      <c r="J106" s="44"/>
      <c r="K106" s="407"/>
      <c r="L106" s="379">
        <f t="shared" si="22"/>
        <v>180000</v>
      </c>
      <c r="M106" s="52"/>
      <c r="N106" s="52"/>
      <c r="O106" s="44"/>
      <c r="P106" s="44"/>
      <c r="Q106" s="44"/>
      <c r="R106" s="600"/>
      <c r="S106" s="44">
        <f t="shared" si="23"/>
        <v>180000</v>
      </c>
      <c r="T106" s="258"/>
      <c r="U106" s="258"/>
      <c r="V106" s="258"/>
      <c r="W106" s="258"/>
      <c r="X106" s="258"/>
    </row>
    <row r="107" spans="1:24" s="33" customFormat="1" ht="32.25" customHeight="1">
      <c r="A107" s="66" t="s">
        <v>205</v>
      </c>
      <c r="B107" s="559"/>
      <c r="C107" s="600"/>
      <c r="D107" s="44"/>
      <c r="E107" s="338"/>
      <c r="F107" s="44"/>
      <c r="G107" s="338"/>
      <c r="H107" s="44">
        <v>-270208</v>
      </c>
      <c r="I107" s="338"/>
      <c r="J107" s="44"/>
      <c r="K107" s="407"/>
      <c r="L107" s="379">
        <f t="shared" si="22"/>
        <v>-270208</v>
      </c>
      <c r="M107" s="52"/>
      <c r="N107" s="52"/>
      <c r="O107" s="44"/>
      <c r="P107" s="44"/>
      <c r="Q107" s="44"/>
      <c r="R107" s="600"/>
      <c r="S107" s="44">
        <f t="shared" si="23"/>
        <v>-270208</v>
      </c>
      <c r="T107" s="258"/>
      <c r="U107" s="258"/>
      <c r="V107" s="258"/>
      <c r="W107" s="258"/>
      <c r="X107" s="258"/>
    </row>
    <row r="108" spans="1:24" s="33" customFormat="1" ht="25.5">
      <c r="A108" s="736" t="s">
        <v>206</v>
      </c>
      <c r="B108" s="559"/>
      <c r="C108" s="600"/>
      <c r="D108" s="44"/>
      <c r="E108" s="338"/>
      <c r="F108" s="44"/>
      <c r="G108" s="338"/>
      <c r="H108" s="44"/>
      <c r="I108" s="338"/>
      <c r="J108" s="44"/>
      <c r="K108" s="407"/>
      <c r="L108" s="379">
        <f t="shared" si="22"/>
        <v>0</v>
      </c>
      <c r="M108" s="52">
        <v>270208</v>
      </c>
      <c r="N108" s="52"/>
      <c r="O108" s="44"/>
      <c r="P108" s="44"/>
      <c r="Q108" s="44"/>
      <c r="R108" s="600"/>
      <c r="S108" s="44">
        <f t="shared" si="23"/>
        <v>270208</v>
      </c>
      <c r="T108" s="258"/>
      <c r="U108" s="258"/>
      <c r="V108" s="258"/>
      <c r="W108" s="258"/>
      <c r="X108" s="258"/>
    </row>
    <row r="109" spans="1:24" s="33" customFormat="1" ht="25.5">
      <c r="A109" s="736" t="s">
        <v>224</v>
      </c>
      <c r="B109" s="559"/>
      <c r="C109" s="600"/>
      <c r="D109" s="44"/>
      <c r="E109" s="338"/>
      <c r="F109" s="44"/>
      <c r="G109" s="338"/>
      <c r="H109" s="44"/>
      <c r="I109" s="338"/>
      <c r="J109" s="44"/>
      <c r="K109" s="407"/>
      <c r="L109" s="379">
        <f t="shared" si="22"/>
        <v>0</v>
      </c>
      <c r="M109" s="52">
        <v>100048</v>
      </c>
      <c r="N109" s="52"/>
      <c r="O109" s="44"/>
      <c r="P109" s="44"/>
      <c r="Q109" s="44"/>
      <c r="R109" s="600"/>
      <c r="S109" s="44">
        <f t="shared" si="23"/>
        <v>100048</v>
      </c>
      <c r="T109" s="258"/>
      <c r="U109" s="258"/>
      <c r="V109" s="258"/>
      <c r="W109" s="258"/>
      <c r="X109" s="258"/>
    </row>
    <row r="110" spans="1:24" s="33" customFormat="1" ht="24" customHeight="1">
      <c r="A110" s="736" t="s">
        <v>225</v>
      </c>
      <c r="B110" s="559"/>
      <c r="C110" s="600"/>
      <c r="D110" s="44"/>
      <c r="E110" s="338"/>
      <c r="F110" s="44"/>
      <c r="G110" s="338"/>
      <c r="H110" s="44"/>
      <c r="I110" s="338"/>
      <c r="J110" s="44"/>
      <c r="K110" s="407"/>
      <c r="L110" s="379">
        <f t="shared" si="22"/>
        <v>0</v>
      </c>
      <c r="M110" s="52">
        <v>-9103</v>
      </c>
      <c r="N110" s="52"/>
      <c r="O110" s="44"/>
      <c r="P110" s="44"/>
      <c r="Q110" s="44"/>
      <c r="R110" s="600"/>
      <c r="S110" s="44">
        <f t="shared" si="23"/>
        <v>-9103</v>
      </c>
      <c r="T110" s="258"/>
      <c r="U110" s="258"/>
      <c r="V110" s="258"/>
      <c r="W110" s="258"/>
      <c r="X110" s="258"/>
    </row>
    <row r="111" spans="1:24" s="33" customFormat="1" ht="24" customHeight="1">
      <c r="A111" s="736" t="s">
        <v>226</v>
      </c>
      <c r="B111" s="559"/>
      <c r="C111" s="600"/>
      <c r="D111" s="44"/>
      <c r="E111" s="338"/>
      <c r="F111" s="44"/>
      <c r="G111" s="338"/>
      <c r="H111" s="44"/>
      <c r="I111" s="338"/>
      <c r="J111" s="44"/>
      <c r="K111" s="407"/>
      <c r="L111" s="379">
        <f t="shared" si="22"/>
        <v>0</v>
      </c>
      <c r="M111" s="52">
        <v>-233</v>
      </c>
      <c r="N111" s="52"/>
      <c r="O111" s="44"/>
      <c r="P111" s="44"/>
      <c r="Q111" s="44"/>
      <c r="R111" s="600"/>
      <c r="S111" s="44">
        <f t="shared" si="23"/>
        <v>-233</v>
      </c>
      <c r="T111" s="258"/>
      <c r="U111" s="258"/>
      <c r="V111" s="258"/>
      <c r="W111" s="258"/>
      <c r="X111" s="258"/>
    </row>
    <row r="112" spans="1:24" s="33" customFormat="1" ht="25.5">
      <c r="A112" s="736" t="s">
        <v>227</v>
      </c>
      <c r="B112" s="559"/>
      <c r="C112" s="600"/>
      <c r="D112" s="44"/>
      <c r="E112" s="338"/>
      <c r="F112" s="44"/>
      <c r="G112" s="338"/>
      <c r="H112" s="44"/>
      <c r="I112" s="338"/>
      <c r="J112" s="44"/>
      <c r="K112" s="407"/>
      <c r="L112" s="379">
        <f t="shared" si="22"/>
        <v>0</v>
      </c>
      <c r="M112" s="52">
        <v>-2571</v>
      </c>
      <c r="N112" s="52"/>
      <c r="O112" s="44"/>
      <c r="P112" s="44"/>
      <c r="Q112" s="44"/>
      <c r="R112" s="600"/>
      <c r="S112" s="44">
        <f t="shared" si="23"/>
        <v>-2571</v>
      </c>
      <c r="T112" s="258"/>
      <c r="U112" s="258"/>
      <c r="V112" s="258"/>
      <c r="W112" s="258"/>
      <c r="X112" s="258"/>
    </row>
    <row r="113" spans="1:24" s="33" customFormat="1" ht="25.5">
      <c r="A113" s="781" t="s">
        <v>228</v>
      </c>
      <c r="B113" s="560"/>
      <c r="C113" s="663"/>
      <c r="D113" s="41"/>
      <c r="E113" s="335"/>
      <c r="F113" s="41"/>
      <c r="G113" s="335"/>
      <c r="H113" s="41"/>
      <c r="I113" s="335"/>
      <c r="J113" s="41"/>
      <c r="K113" s="655"/>
      <c r="L113" s="748">
        <f t="shared" si="22"/>
        <v>0</v>
      </c>
      <c r="M113" s="622">
        <v>-427</v>
      </c>
      <c r="N113" s="622"/>
      <c r="O113" s="41"/>
      <c r="P113" s="41"/>
      <c r="Q113" s="41"/>
      <c r="R113" s="663"/>
      <c r="S113" s="41">
        <f t="shared" si="23"/>
        <v>-427</v>
      </c>
      <c r="T113" s="258"/>
      <c r="U113" s="258"/>
      <c r="V113" s="258"/>
      <c r="W113" s="258"/>
      <c r="X113" s="258"/>
    </row>
    <row r="114" spans="1:24" s="33" customFormat="1" ht="25.5">
      <c r="A114" s="792" t="s">
        <v>229</v>
      </c>
      <c r="B114" s="793"/>
      <c r="C114" s="794"/>
      <c r="D114" s="794"/>
      <c r="E114" s="794"/>
      <c r="F114" s="794"/>
      <c r="G114" s="794"/>
      <c r="H114" s="794"/>
      <c r="I114" s="794"/>
      <c r="J114" s="794"/>
      <c r="K114" s="794"/>
      <c r="L114" s="795"/>
      <c r="M114" s="796">
        <v>-87714</v>
      </c>
      <c r="N114" s="796"/>
      <c r="O114" s="794"/>
      <c r="P114" s="794"/>
      <c r="Q114" s="794"/>
      <c r="R114" s="794"/>
      <c r="S114" s="794">
        <f t="shared" si="23"/>
        <v>-87714</v>
      </c>
      <c r="T114" s="258"/>
      <c r="U114" s="258"/>
      <c r="V114" s="258"/>
      <c r="W114" s="258"/>
      <c r="X114" s="258"/>
    </row>
    <row r="115" spans="1:24" s="33" customFormat="1" ht="26.25" thickBot="1">
      <c r="A115" s="736" t="s">
        <v>237</v>
      </c>
      <c r="B115" s="793"/>
      <c r="C115" s="794"/>
      <c r="D115" s="794"/>
      <c r="E115" s="794"/>
      <c r="F115" s="794"/>
      <c r="G115" s="794"/>
      <c r="H115" s="794"/>
      <c r="I115" s="794"/>
      <c r="J115" s="794"/>
      <c r="K115" s="794"/>
      <c r="L115" s="795"/>
      <c r="M115" s="796">
        <v>720207</v>
      </c>
      <c r="N115" s="796"/>
      <c r="O115" s="794"/>
      <c r="P115" s="794"/>
      <c r="Q115" s="794"/>
      <c r="R115" s="794"/>
      <c r="S115" s="794">
        <f>SUM(L115:Q115)</f>
        <v>720207</v>
      </c>
      <c r="T115" s="258"/>
      <c r="U115" s="258"/>
      <c r="V115" s="258"/>
      <c r="W115" s="258"/>
      <c r="X115" s="258"/>
    </row>
    <row r="116" spans="1:24" s="33" customFormat="1" ht="26.25" thickBot="1">
      <c r="A116" s="736" t="s">
        <v>238</v>
      </c>
      <c r="B116" s="550"/>
      <c r="C116" s="514"/>
      <c r="D116" s="778"/>
      <c r="E116" s="779"/>
      <c r="F116" s="780"/>
      <c r="G116" s="779"/>
      <c r="H116" s="780"/>
      <c r="I116" s="779"/>
      <c r="J116" s="780"/>
      <c r="K116" s="778"/>
      <c r="L116" s="790"/>
      <c r="M116" s="791">
        <v>1400000</v>
      </c>
      <c r="N116" s="791"/>
      <c r="O116" s="780"/>
      <c r="P116" s="780"/>
      <c r="Q116" s="780"/>
      <c r="R116" s="514"/>
      <c r="S116" s="780">
        <f>SUM(L116:Q116)</f>
        <v>1400000</v>
      </c>
      <c r="T116" s="258"/>
      <c r="U116" s="258"/>
      <c r="V116" s="258"/>
      <c r="W116" s="258"/>
      <c r="X116" s="258"/>
    </row>
    <row r="117" spans="1:24" s="33" customFormat="1" ht="15.75" thickBot="1">
      <c r="A117" s="782"/>
      <c r="B117" s="783"/>
      <c r="C117" s="784"/>
      <c r="D117" s="785"/>
      <c r="E117" s="786"/>
      <c r="F117" s="787"/>
      <c r="G117" s="786"/>
      <c r="H117" s="787"/>
      <c r="I117" s="786"/>
      <c r="J117" s="787"/>
      <c r="K117" s="785"/>
      <c r="L117" s="788"/>
      <c r="M117" s="789"/>
      <c r="N117" s="789"/>
      <c r="O117" s="787"/>
      <c r="P117" s="787"/>
      <c r="Q117" s="787"/>
      <c r="R117" s="784"/>
      <c r="S117" s="787"/>
      <c r="T117" s="258"/>
      <c r="U117" s="258"/>
      <c r="V117" s="258"/>
      <c r="W117" s="258"/>
      <c r="X117" s="258"/>
    </row>
    <row r="118" spans="1:19" ht="15.75">
      <c r="A118" s="607" t="s">
        <v>52</v>
      </c>
      <c r="B118" s="575">
        <f>'[31]SD 2018'!$C$76+'[31]SD 2018'!$C$75+'[31]SD 2018'!$C$39+'[31]SD 2018'!$C$11</f>
        <v>59950735</v>
      </c>
      <c r="C118" s="7"/>
      <c r="D118" s="412"/>
      <c r="E118" s="353"/>
      <c r="F118" s="7"/>
      <c r="G118" s="609"/>
      <c r="H118" s="7"/>
      <c r="I118" s="353"/>
      <c r="J118" s="7"/>
      <c r="K118" s="412"/>
      <c r="L118" s="610">
        <f>SUM(C118:J118)</f>
        <v>0</v>
      </c>
      <c r="M118" s="68"/>
      <c r="N118" s="68"/>
      <c r="O118" s="7"/>
      <c r="P118" s="68"/>
      <c r="Q118" s="68"/>
      <c r="R118" s="513"/>
      <c r="S118" s="34">
        <f>SUM(L118:Q118)</f>
        <v>0</v>
      </c>
    </row>
    <row r="119" spans="1:19" ht="15.75">
      <c r="A119" s="482" t="s">
        <v>46</v>
      </c>
      <c r="B119" s="575">
        <f>B75+B73+B48+B10</f>
        <v>59950735</v>
      </c>
      <c r="C119" s="53"/>
      <c r="D119" s="413"/>
      <c r="E119" s="344"/>
      <c r="F119" s="53"/>
      <c r="G119" s="344"/>
      <c r="H119" s="53"/>
      <c r="I119" s="344"/>
      <c r="J119" s="53"/>
      <c r="K119" s="413"/>
      <c r="L119" s="379">
        <f>SUM(C119:I119)</f>
        <v>0</v>
      </c>
      <c r="M119" s="53"/>
      <c r="N119" s="53"/>
      <c r="O119" s="53"/>
      <c r="P119" s="100"/>
      <c r="Q119" s="53"/>
      <c r="R119" s="603"/>
      <c r="S119" s="44">
        <f>SUM(L119:Q119)</f>
        <v>0</v>
      </c>
    </row>
    <row r="120" spans="1:19" ht="16.5" thickBot="1">
      <c r="A120" s="484" t="s">
        <v>53</v>
      </c>
      <c r="B120" s="150"/>
      <c r="C120" s="238"/>
      <c r="D120" s="411"/>
      <c r="E120" s="334"/>
      <c r="F120" s="40"/>
      <c r="G120" s="334"/>
      <c r="H120" s="40"/>
      <c r="I120" s="334"/>
      <c r="J120" s="40"/>
      <c r="K120" s="411"/>
      <c r="L120" s="379">
        <f>SUM(C120:J120)</f>
        <v>0</v>
      </c>
      <c r="M120" s="40"/>
      <c r="N120" s="40"/>
      <c r="O120" s="40"/>
      <c r="P120" s="40"/>
      <c r="Q120" s="40"/>
      <c r="R120" s="604"/>
      <c r="S120" s="44">
        <f>SUM(L120:Q120)</f>
        <v>0</v>
      </c>
    </row>
    <row r="121" spans="1:19" ht="16.5" thickBot="1">
      <c r="A121" s="474" t="s">
        <v>43</v>
      </c>
      <c r="C121" s="69"/>
      <c r="D121" s="542"/>
      <c r="E121" s="354"/>
      <c r="F121" s="54"/>
      <c r="G121" s="354"/>
      <c r="H121" s="54"/>
      <c r="I121" s="354"/>
      <c r="J121" s="70"/>
      <c r="K121" s="414"/>
      <c r="L121" s="380"/>
      <c r="M121" s="73"/>
      <c r="N121" s="54"/>
      <c r="O121" s="54"/>
      <c r="P121" s="54"/>
      <c r="Q121" s="54"/>
      <c r="R121" s="605"/>
      <c r="S121" s="44">
        <f>SUM(L121:Q121)</f>
        <v>0</v>
      </c>
    </row>
    <row r="122" spans="1:19" ht="15.75" thickBot="1">
      <c r="A122" s="97" t="s">
        <v>46</v>
      </c>
      <c r="C122" s="69"/>
      <c r="D122" s="70"/>
      <c r="E122" s="70"/>
      <c r="F122" s="70"/>
      <c r="G122" s="70"/>
      <c r="H122" s="70"/>
      <c r="I122" s="70"/>
      <c r="J122" s="70"/>
      <c r="K122" s="70"/>
      <c r="L122" s="149">
        <f>SUM(C122:I122)</f>
        <v>0</v>
      </c>
      <c r="M122" s="70"/>
      <c r="N122" s="70"/>
      <c r="O122" s="70"/>
      <c r="P122" s="70"/>
      <c r="Q122" s="70"/>
      <c r="R122" s="606"/>
      <c r="S122" s="44">
        <f>SUM(L122:Q122)</f>
        <v>0</v>
      </c>
    </row>
    <row r="123" ht="12.75">
      <c r="A123" s="55"/>
    </row>
    <row r="124" spans="1:19" ht="12.75">
      <c r="A124" s="98"/>
      <c r="N124" s="324"/>
      <c r="O124" s="324"/>
      <c r="P124" s="324"/>
      <c r="Q124" s="324"/>
      <c r="R124" s="324"/>
      <c r="S124" s="324"/>
    </row>
    <row r="125" spans="1:19" ht="12.75">
      <c r="A125" s="99"/>
      <c r="N125" s="324"/>
      <c r="O125" s="324"/>
      <c r="P125" s="324"/>
      <c r="Q125" s="324"/>
      <c r="R125" s="324"/>
      <c r="S125" s="324"/>
    </row>
    <row r="126" spans="1:19" ht="12.75">
      <c r="A126" s="99"/>
      <c r="N126" s="324"/>
      <c r="O126" s="325"/>
      <c r="P126" s="325"/>
      <c r="Q126" s="324"/>
      <c r="R126" s="324"/>
      <c r="S126" s="324"/>
    </row>
    <row r="127" spans="14:19" ht="12.75">
      <c r="N127" s="324"/>
      <c r="O127" s="67"/>
      <c r="P127" s="67"/>
      <c r="Q127" s="324"/>
      <c r="R127" s="324"/>
      <c r="S127" s="324"/>
    </row>
    <row r="128" spans="14:19" ht="12.75">
      <c r="N128" s="324"/>
      <c r="O128" s="324"/>
      <c r="P128" s="324"/>
      <c r="Q128" s="324"/>
      <c r="R128" s="324"/>
      <c r="S128" s="324"/>
    </row>
    <row r="129" spans="1:19" ht="12.75">
      <c r="A129" s="61"/>
      <c r="N129" s="324"/>
      <c r="O129" s="324"/>
      <c r="P129" s="324"/>
      <c r="Q129" s="324"/>
      <c r="R129" s="324"/>
      <c r="S129" s="324"/>
    </row>
    <row r="130" spans="14:19" ht="12.75">
      <c r="N130" s="324"/>
      <c r="O130" s="324"/>
      <c r="P130" s="324"/>
      <c r="Q130" s="324"/>
      <c r="R130" s="324"/>
      <c r="S130" s="324"/>
    </row>
    <row r="131" spans="14:19" ht="12.75">
      <c r="N131" s="324"/>
      <c r="O131" s="324"/>
      <c r="P131" s="324"/>
      <c r="Q131" s="324"/>
      <c r="R131" s="324"/>
      <c r="S131" s="324"/>
    </row>
    <row r="132" spans="14:19" ht="12.75">
      <c r="N132" s="324"/>
      <c r="O132" s="324"/>
      <c r="P132" s="324"/>
      <c r="Q132" s="324"/>
      <c r="R132" s="324"/>
      <c r="S132" s="324"/>
    </row>
  </sheetData>
  <sheetProtection/>
  <mergeCells count="1">
    <mergeCell ref="A1:S1"/>
  </mergeCells>
  <printOptions horizontalCentered="1" verticalCentered="1"/>
  <pageMargins left="0.2362204724409449" right="0.15748031496062992" top="0.2755905511811024" bottom="0.31496062992125984" header="0.1968503937007874" footer="0.11811023622047245"/>
  <pageSetup fitToHeight="3" fitToWidth="1" horizontalDpi="600" verticalDpi="600" orientation="portrait" paperSize="9" scale="31" r:id="rId1"/>
  <headerFooter alignWithMargins="0">
    <oddFooter>&amp;L&amp;Z&amp;F        &amp;A&amp;R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Gogorova</cp:lastModifiedBy>
  <cp:lastPrinted>2020-01-21T11:39:57Z</cp:lastPrinted>
  <dcterms:created xsi:type="dcterms:W3CDTF">2011-05-10T07:34:41Z</dcterms:created>
  <dcterms:modified xsi:type="dcterms:W3CDTF">2020-01-31T09:51:09Z</dcterms:modified>
  <cp:category/>
  <cp:version/>
  <cp:contentType/>
  <cp:contentStatus/>
</cp:coreProperties>
</file>