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E:\Ekonomika\Lock Rozps dotacie\Final Lock\Posledné rozpisy a prilohy\FINAL\"/>
    </mc:Choice>
  </mc:AlternateContent>
  <workbookProtection workbookAlgorithmName="SHA-512" workbookHashValue="11maIuxzWezDzq1pPGWCF1b2EaHqRf/oV720z8SA62lIuEgn/DUXzLGjRERgYWORuOIkqwhD8H32A2U7uhuW9Q==" workbookSaltValue="vufvHX1OBXUboakzhzuWsw==" workbookSpinCount="100000" lockStructure="1"/>
  <bookViews>
    <workbookView xWindow="28680" yWindow="-120" windowWidth="29040" windowHeight="15840" activeTab="3"/>
  </bookViews>
  <sheets>
    <sheet name="1. RD2021" sheetId="9" r:id="rId1"/>
    <sheet name="2. RD rozdiel" sheetId="13" r:id="rId2"/>
    <sheet name="3. R-STU" sheetId="10" r:id="rId3"/>
    <sheet name="4. Aktivity" sheetId="18" r:id="rId4"/>
    <sheet name="5. TM_%" sheetId="11" r:id="rId5"/>
    <sheet name="T5b-studenti" sheetId="1" r:id="rId6"/>
    <sheet name="T6b-vykon" sheetId="2" r:id="rId7"/>
    <sheet name="T7-mzdy" sheetId="4" r:id="rId8"/>
    <sheet name="T8-TaS" sheetId="5" r:id="rId9"/>
    <sheet name="T11-Sumar_SD" sheetId="16" r:id="rId10"/>
    <sheet name="T14-VVZ" sheetId="8" r:id="rId11"/>
    <sheet name="T14aa-VVZ-6r" sheetId="15" r:id="rId12"/>
    <sheet name="T14c-vstup_DG-ZG" sheetId="6" r:id="rId13"/>
    <sheet name="T15-Soc_stip" sheetId="17" r:id="rId14"/>
    <sheet name="T16-KIVC" sheetId="3" r:id="rId15"/>
    <sheet name="T16a-KKS" sheetId="19" r:id="rId16"/>
    <sheet name="T18-Mot_stip" sheetId="12" r:id="rId17"/>
    <sheet name="T20-Publik" sheetId="14" r:id="rId18"/>
    <sheet name="T21-Mobility" sheetId="7" r:id="rId19"/>
  </sheets>
  <externalReferences>
    <externalReference r:id="rId20"/>
    <externalReference r:id="rId21"/>
    <externalReference r:id="rId22"/>
  </externalReferences>
  <definedNames>
    <definedName name="Bc_p">'[1]T2-KO'!$E$34</definedName>
    <definedName name="Bc_v">'[1]T2-KO'!$G$34</definedName>
    <definedName name="Drš">'[1]T2-KO'!$E$36</definedName>
    <definedName name="DrŠ_denní">'[1]T5b-studenti'!$BJ:$BJ</definedName>
    <definedName name="Fakulta">'[1]T5b-studenti'!$E:$E</definedName>
    <definedName name="GmP">'[1]T3-vstupy'!$C$78</definedName>
    <definedName name="GmV">'[1]T3-vstupy'!$C$79</definedName>
    <definedName name="K_KAP">'[1]T3-vstupy'!$C$132</definedName>
    <definedName name="K_VŠO">'[1]T3-vstupy'!$C$53</definedName>
    <definedName name="KKS_doc">'[2]T3-vstupy'!$C$40</definedName>
    <definedName name="KKS_ost">'[2]T3-vstupy'!$C$42</definedName>
    <definedName name="KKS_phd">'[2]T3-vstupy'!$C$41</definedName>
    <definedName name="KKS_prof">'[2]T3-vstupy'!$C$39</definedName>
    <definedName name="KOD_VVŠ">'[1]T21-Mobility'!$K$3:$M$51</definedName>
    <definedName name="koef_kp">'[1]T2-KO'!$B$5:$K$26</definedName>
    <definedName name="koef_PV">'[1]T3-vstupy'!$C$73</definedName>
    <definedName name="koef_VV">'[1]T3-vstupy'!$C$74</definedName>
    <definedName name="kpn_ca_do">'[1]T2-KO'!$J$29</definedName>
    <definedName name="kpn_ca_nad">'[1]T2-KO'!$J$30</definedName>
    <definedName name="MI">'[1]T2-KO'!$E$35</definedName>
    <definedName name="mot_odb">'[1]T5b-studenti'!$AP:$AP</definedName>
    <definedName name="mot_zak">'[1]T5b-studenti'!$AO:$AO</definedName>
    <definedName name="motštip">'[1]T3-vstupy'!$C$134</definedName>
    <definedName name="motštip_ŠO">'[1]T3-vstupy'!$C$135</definedName>
    <definedName name="poistné">'[1]T3-vstupy'!$C$11</definedName>
    <definedName name="pp_Vav">'[3]T3-vstupy'!$C$69</definedName>
    <definedName name="Pp_VaV_rozp">'[1]T3-vstupy'!$C$69</definedName>
    <definedName name="Pp_VaV_špič_úč">'[1]T3-vstupy'!$C$70</definedName>
    <definedName name="Pp_VaV_VVŠ">'[1]T3-vstupy'!$C$67</definedName>
    <definedName name="Pp_Vzdel_mzdy_spec">'[1]T3-vstupy'!$C$29</definedName>
    <definedName name="Pp_Vzdel_mzdy_výkon">'[1]T3-vstupy'!$C$32</definedName>
    <definedName name="Pp_Vzdel_mzdy_výkon_PV">'[1]T3-vstupy'!$C$33</definedName>
    <definedName name="Pp_Vzdel_mzdy_výkon_VV">'[1]T3-vstupy'!$C$34</definedName>
    <definedName name="Pp_Vzdel_spec_prax">'[1]T3-vstupy'!$C$51</definedName>
    <definedName name="Pp_Vzdel_TaS_spec">'[1]T3-vstupy'!$C$57</definedName>
    <definedName name="Pp_Vzdel_TaS_výkon_PPŠ">'[1]T3-vstupy'!$C$62</definedName>
    <definedName name="Pp_Vzdel_TaS_výkon_PPŠ_KEN">'[1]T3-vstupy'!$C$60</definedName>
    <definedName name="Pp_Vzdel_TaS_zahr_granty">'[1]T3-vstupy'!$C$49</definedName>
    <definedName name="Pp_Vzdel_TaS_zákl">'[1]T3-vstupy'!$C$48</definedName>
    <definedName name="PPŠ">'[1]T5b-studenti'!$BF:$BF</definedName>
    <definedName name="PPŠ_KAP">'[1]T5b-studenti'!$BH:$BH</definedName>
    <definedName name="PPŠ_KO">'[1]T5b-studenti'!$BG:$BG</definedName>
    <definedName name="Pr_p">'[1]T2-KO'!$E$38</definedName>
    <definedName name="Pr_v">'[1]T2-KO'!$G$38</definedName>
    <definedName name="prisp_na_1_jedlo">'[1]T3-vstupy'!$C$121</definedName>
    <definedName name="prisp_na_ubyt_stud_SD">'[1]T3-vstupy'!$C$125</definedName>
    <definedName name="prisp_na_ubyt_stud_ZZ">'[1]T3-vstupy'!$C$126</definedName>
    <definedName name="prísp_zákl_prev">'[1]T3-vstupy'!$C$47</definedName>
    <definedName name="Pšt_dot">'[1]T5b-studenti'!$AN:$AN</definedName>
    <definedName name="rok_RD">'[1]T3-vstupy'!$C$137</definedName>
    <definedName name="rok_rozpis">'[1]T3-vstupy'!$C$138</definedName>
    <definedName name="rok_VV1">'[1]T3-vstupy'!$C$139</definedName>
    <definedName name="rok_VV2">'[1]T3-vstupy'!$C$140</definedName>
    <definedName name="rok_VV3">'[1]T3-vstupy'!$C$141</definedName>
    <definedName name="roky">'[1]T3-vstupy'!$C$133</definedName>
    <definedName name="Sp_p">'[1]T2-KO'!$E$37</definedName>
    <definedName name="Sp_v">'[1]T2-KO'!$G$37</definedName>
    <definedName name="student">'[1]T5b-studenti'!$BI:$BI</definedName>
    <definedName name="TaS_kul">'[1]T5b-studenti'!$AR:$AR</definedName>
    <definedName name="TaS_odb">'[1]T5b-studenti'!$AQ:$AQ</definedName>
    <definedName name="university">'[1]T5b-studenti'!$D:$D</definedName>
    <definedName name="váha_Pub">'[1]T3-vstupy'!$C$75</definedName>
    <definedName name="váha_um">'[1]T3-vstupy'!$C$76</definedName>
    <definedName name="výk_DG">'[1]T3-vstupy'!$C$85</definedName>
    <definedName name="výk_DP">'[1]T3-vstupy'!$C$80</definedName>
    <definedName name="výk_Dršpo">'[1]T3-vstupy'!$C$87</definedName>
    <definedName name="výk_interval">'[1]T3-vstupy'!$C$82</definedName>
    <definedName name="výk_KA">'[1]T3-vstupy'!$C$81</definedName>
    <definedName name="vyk_lvl_1">'[1]T3-vstupy'!$C$37</definedName>
    <definedName name="vyk_lvl_2">'[1]T3-vstupy'!$C$38</definedName>
    <definedName name="vyk_lvl_3">'[1]T3-vstupy'!$C$39</definedName>
    <definedName name="vyk_lvl_CA">'[1]T3-vstupy'!$C$40</definedName>
    <definedName name="výk_Pat">'[1]T3-vstupy'!$C$89</definedName>
    <definedName name="výk_PC">'[1]T3-vstupy'!$C$84</definedName>
    <definedName name="výk_Pub">'[1]T3-vstupy'!$C$88</definedName>
    <definedName name="výk_um">'[1]T3-vstupy'!$C$90</definedName>
    <definedName name="výk_ZG">'[1]T3-vstupy'!$C$86</definedName>
    <definedName name="vykon_DP">'[3]T3-vstupy'!$C$80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0" l="1"/>
  <c r="C41" i="10" s="1"/>
  <c r="C40" i="10"/>
  <c r="C38" i="10"/>
  <c r="K21" i="10"/>
  <c r="K20" i="10"/>
  <c r="K19" i="10"/>
  <c r="C36" i="10"/>
  <c r="E42" i="10"/>
  <c r="C42" i="10"/>
  <c r="E39" i="10"/>
  <c r="C39" i="10"/>
  <c r="E36" i="10"/>
  <c r="B62" i="18"/>
  <c r="B29" i="18"/>
  <c r="D19" i="10"/>
  <c r="D9" i="9"/>
  <c r="D13" i="13" s="1"/>
  <c r="E9" i="9"/>
  <c r="E45" i="13" s="1"/>
  <c r="F9" i="9"/>
  <c r="F13" i="13" s="1"/>
  <c r="G9" i="9"/>
  <c r="G45" i="13" s="1"/>
  <c r="H9" i="9"/>
  <c r="H45" i="13" s="1"/>
  <c r="I9" i="9"/>
  <c r="I13" i="13" s="1"/>
  <c r="J9" i="9"/>
  <c r="J13" i="13" s="1"/>
  <c r="K9" i="9"/>
  <c r="K45" i="13" s="1"/>
  <c r="L9" i="9"/>
  <c r="L13" i="13" s="1"/>
  <c r="P9" i="9"/>
  <c r="P7" i="9" s="1"/>
  <c r="Q9" i="9"/>
  <c r="Q7" i="9" s="1"/>
  <c r="D20" i="10"/>
  <c r="D13" i="9"/>
  <c r="D49" i="13" s="1"/>
  <c r="E13" i="9"/>
  <c r="E49" i="13" s="1"/>
  <c r="F13" i="9"/>
  <c r="F17" i="13" s="1"/>
  <c r="G13" i="9"/>
  <c r="G49" i="13" s="1"/>
  <c r="H13" i="9"/>
  <c r="H17" i="13" s="1"/>
  <c r="I13" i="9"/>
  <c r="I49" i="13" s="1"/>
  <c r="J13" i="9"/>
  <c r="J17" i="13" s="1"/>
  <c r="K13" i="9"/>
  <c r="K17" i="13" s="1"/>
  <c r="L13" i="9"/>
  <c r="L49" i="13" s="1"/>
  <c r="P13" i="9"/>
  <c r="P49" i="13" s="1"/>
  <c r="Q13" i="9"/>
  <c r="Q49" i="13" s="1"/>
  <c r="D17" i="9"/>
  <c r="D53" i="13" s="1"/>
  <c r="E17" i="9"/>
  <c r="E53" i="13" s="1"/>
  <c r="F17" i="9"/>
  <c r="F53" i="13" s="1"/>
  <c r="G17" i="9"/>
  <c r="G21" i="13" s="1"/>
  <c r="H17" i="9"/>
  <c r="H53" i="13" s="1"/>
  <c r="I17" i="9"/>
  <c r="I53" i="13" s="1"/>
  <c r="J17" i="9"/>
  <c r="J21" i="13" s="1"/>
  <c r="K17" i="9"/>
  <c r="K53" i="13" s="1"/>
  <c r="L17" i="9"/>
  <c r="L21" i="13" s="1"/>
  <c r="P17" i="9"/>
  <c r="P14" i="9" s="1"/>
  <c r="Q17" i="9"/>
  <c r="Q14" i="9" s="1"/>
  <c r="F19" i="18"/>
  <c r="C8" i="10"/>
  <c r="D21" i="10" s="1"/>
  <c r="H6" i="10"/>
  <c r="F13" i="19"/>
  <c r="G13" i="19" s="1"/>
  <c r="F12" i="19"/>
  <c r="G12" i="19"/>
  <c r="F11" i="19"/>
  <c r="G11" i="19" s="1"/>
  <c r="F10" i="19"/>
  <c r="G10" i="19" s="1"/>
  <c r="F9" i="19"/>
  <c r="G9" i="19"/>
  <c r="F8" i="19"/>
  <c r="G8" i="19" s="1"/>
  <c r="F7" i="19"/>
  <c r="G7" i="19" s="1"/>
  <c r="F6" i="19"/>
  <c r="G6" i="19" s="1"/>
  <c r="AN14" i="2"/>
  <c r="E14" i="19"/>
  <c r="D14" i="19"/>
  <c r="C14" i="19"/>
  <c r="B14" i="19"/>
  <c r="F14" i="19" s="1"/>
  <c r="E5" i="19"/>
  <c r="D5" i="19"/>
  <c r="C5" i="19"/>
  <c r="B5" i="19"/>
  <c r="K11" i="4"/>
  <c r="K12" i="4"/>
  <c r="C10" i="9"/>
  <c r="H16" i="3"/>
  <c r="E16" i="3"/>
  <c r="I21" i="11"/>
  <c r="L31" i="11"/>
  <c r="K31" i="11"/>
  <c r="H31" i="11"/>
  <c r="G31" i="11"/>
  <c r="D31" i="11"/>
  <c r="C31" i="11"/>
  <c r="L30" i="11"/>
  <c r="K30" i="11"/>
  <c r="H30" i="11"/>
  <c r="G30" i="11"/>
  <c r="D30" i="11"/>
  <c r="C30" i="11"/>
  <c r="L29" i="11"/>
  <c r="K29" i="11"/>
  <c r="H29" i="11"/>
  <c r="G29" i="11"/>
  <c r="D29" i="11"/>
  <c r="C29" i="11"/>
  <c r="L28" i="11"/>
  <c r="K28" i="11"/>
  <c r="H28" i="11"/>
  <c r="G28" i="11"/>
  <c r="D28" i="11"/>
  <c r="C28" i="11"/>
  <c r="L27" i="11"/>
  <c r="K27" i="11"/>
  <c r="H27" i="11"/>
  <c r="G27" i="11"/>
  <c r="D27" i="11"/>
  <c r="C27" i="11"/>
  <c r="L26" i="11"/>
  <c r="K26" i="11"/>
  <c r="H26" i="11"/>
  <c r="G26" i="11"/>
  <c r="D26" i="11"/>
  <c r="C26" i="11"/>
  <c r="C32" i="11" s="1"/>
  <c r="L25" i="11"/>
  <c r="L32" i="11" s="1"/>
  <c r="K25" i="11"/>
  <c r="H25" i="11"/>
  <c r="G25" i="11"/>
  <c r="D25" i="11"/>
  <c r="C25" i="11"/>
  <c r="L24" i="11"/>
  <c r="K24" i="11"/>
  <c r="K32" i="11" s="1"/>
  <c r="H24" i="11"/>
  <c r="G24" i="11"/>
  <c r="D24" i="11"/>
  <c r="C24" i="11"/>
  <c r="L23" i="11"/>
  <c r="K23" i="11"/>
  <c r="H23" i="11"/>
  <c r="G23" i="11"/>
  <c r="G33" i="11" s="1"/>
  <c r="D23" i="11"/>
  <c r="C23" i="11"/>
  <c r="L22" i="11"/>
  <c r="L33" i="11" s="1"/>
  <c r="K22" i="11"/>
  <c r="K33" i="11"/>
  <c r="H22" i="11"/>
  <c r="H32" i="11"/>
  <c r="G22" i="11"/>
  <c r="D22" i="11"/>
  <c r="D33" i="11" s="1"/>
  <c r="C22" i="11"/>
  <c r="C33" i="11"/>
  <c r="L21" i="11"/>
  <c r="K21" i="11"/>
  <c r="J21" i="11"/>
  <c r="M21" i="11"/>
  <c r="H21" i="11"/>
  <c r="G21" i="11"/>
  <c r="F21" i="11"/>
  <c r="D21" i="11"/>
  <c r="C21" i="11"/>
  <c r="B21" i="11"/>
  <c r="E21" i="11" s="1"/>
  <c r="AT14" i="2"/>
  <c r="AS14" i="2"/>
  <c r="AR14" i="2"/>
  <c r="AQ14" i="2"/>
  <c r="AP14" i="2"/>
  <c r="AO14" i="2"/>
  <c r="AZ13" i="2"/>
  <c r="E13" i="4"/>
  <c r="AZ12" i="2"/>
  <c r="E12" i="4" s="1"/>
  <c r="D26" i="4"/>
  <c r="P17" i="3"/>
  <c r="Q17" i="3"/>
  <c r="L5" i="3"/>
  <c r="Q5" i="3" s="1"/>
  <c r="AQ13" i="8"/>
  <c r="L12" i="4" s="1"/>
  <c r="AQ11" i="8"/>
  <c r="L10" i="4" s="1"/>
  <c r="AQ5" i="8"/>
  <c r="L4" i="4" s="1"/>
  <c r="J15" i="3"/>
  <c r="J14" i="3"/>
  <c r="I11" i="17"/>
  <c r="I10" i="17"/>
  <c r="I9" i="17"/>
  <c r="I7" i="17"/>
  <c r="I6" i="17"/>
  <c r="H13" i="17"/>
  <c r="I13" i="17" s="1"/>
  <c r="H12" i="17"/>
  <c r="I12" i="17" s="1"/>
  <c r="H11" i="17"/>
  <c r="H10" i="17"/>
  <c r="H9" i="17"/>
  <c r="J9" i="17" s="1"/>
  <c r="H8" i="17"/>
  <c r="I8" i="17" s="1"/>
  <c r="H7" i="17"/>
  <c r="H6" i="17"/>
  <c r="H5" i="17"/>
  <c r="H4" i="17"/>
  <c r="I4" i="17" s="1"/>
  <c r="O11" i="6"/>
  <c r="J11" i="6"/>
  <c r="F26" i="16"/>
  <c r="F25" i="16"/>
  <c r="F27" i="16" s="1"/>
  <c r="E26" i="16"/>
  <c r="C26" i="16"/>
  <c r="C25" i="16"/>
  <c r="E25" i="16" s="1"/>
  <c r="G25" i="16" s="1"/>
  <c r="F40" i="18"/>
  <c r="F33" i="18"/>
  <c r="F57" i="18"/>
  <c r="C13" i="12"/>
  <c r="D46" i="12"/>
  <c r="D45" i="12"/>
  <c r="D44" i="12"/>
  <c r="D43" i="12"/>
  <c r="D42" i="12"/>
  <c r="D41" i="12"/>
  <c r="D40" i="12"/>
  <c r="D39" i="12"/>
  <c r="D38" i="12"/>
  <c r="D104" i="13"/>
  <c r="E104" i="13"/>
  <c r="F104" i="13"/>
  <c r="G104" i="13"/>
  <c r="G103" i="13" s="1"/>
  <c r="H104" i="13"/>
  <c r="I104" i="13"/>
  <c r="I103" i="13" s="1"/>
  <c r="J104" i="13"/>
  <c r="K104" i="13"/>
  <c r="L104" i="13"/>
  <c r="L103" i="13" s="1"/>
  <c r="N104" i="13"/>
  <c r="O104" i="13"/>
  <c r="P104" i="13"/>
  <c r="C105" i="13"/>
  <c r="D105" i="13"/>
  <c r="E105" i="13"/>
  <c r="F105" i="13"/>
  <c r="G105" i="13"/>
  <c r="H105" i="13"/>
  <c r="I105" i="13"/>
  <c r="J105" i="13"/>
  <c r="K105" i="13"/>
  <c r="L105" i="13"/>
  <c r="N105" i="13"/>
  <c r="O105" i="13"/>
  <c r="P105" i="13"/>
  <c r="M106" i="13"/>
  <c r="R106" i="13"/>
  <c r="M107" i="13"/>
  <c r="M109" i="13"/>
  <c r="R109" i="13" s="1"/>
  <c r="M110" i="13"/>
  <c r="R110" i="13" s="1"/>
  <c r="M111" i="13"/>
  <c r="R111" i="13"/>
  <c r="C112" i="13"/>
  <c r="D112" i="13"/>
  <c r="D103" i="13" s="1"/>
  <c r="E112" i="13"/>
  <c r="E103" i="13" s="1"/>
  <c r="F112" i="13"/>
  <c r="G112" i="13"/>
  <c r="H112" i="13"/>
  <c r="I112" i="13"/>
  <c r="J112" i="13"/>
  <c r="K112" i="13"/>
  <c r="K103" i="13" s="1"/>
  <c r="L112" i="13"/>
  <c r="N112" i="13"/>
  <c r="N103" i="13" s="1"/>
  <c r="O112" i="13"/>
  <c r="P112" i="13"/>
  <c r="M113" i="13"/>
  <c r="R113" i="13" s="1"/>
  <c r="M114" i="13"/>
  <c r="R114" i="13"/>
  <c r="M115" i="13"/>
  <c r="R115" i="13"/>
  <c r="R116" i="13"/>
  <c r="D117" i="13"/>
  <c r="E117" i="13"/>
  <c r="F117" i="13"/>
  <c r="G117" i="13"/>
  <c r="I117" i="13"/>
  <c r="J117" i="13"/>
  <c r="J103" i="13" s="1"/>
  <c r="K117" i="13"/>
  <c r="L117" i="13"/>
  <c r="N117" i="13"/>
  <c r="M118" i="13"/>
  <c r="R118" i="13" s="1"/>
  <c r="M119" i="13"/>
  <c r="R119" i="13"/>
  <c r="M120" i="13"/>
  <c r="R120" i="13"/>
  <c r="C121" i="13"/>
  <c r="C117" i="13"/>
  <c r="H121" i="13"/>
  <c r="H117" i="13" s="1"/>
  <c r="O121" i="13"/>
  <c r="O117" i="13"/>
  <c r="O103" i="13" s="1"/>
  <c r="P121" i="13"/>
  <c r="P117" i="13"/>
  <c r="M122" i="13"/>
  <c r="R122" i="13"/>
  <c r="M123" i="13"/>
  <c r="R123" i="13" s="1"/>
  <c r="M124" i="13"/>
  <c r="R124" i="13"/>
  <c r="M125" i="13"/>
  <c r="M121" i="13" s="1"/>
  <c r="R121" i="13" s="1"/>
  <c r="R125" i="13"/>
  <c r="M126" i="13"/>
  <c r="R126" i="13"/>
  <c r="C44" i="13"/>
  <c r="O44" i="13"/>
  <c r="P44" i="13"/>
  <c r="Q44" i="13"/>
  <c r="C46" i="13"/>
  <c r="C47" i="13"/>
  <c r="O47" i="13"/>
  <c r="P47" i="13"/>
  <c r="Q47" i="13"/>
  <c r="C48" i="13"/>
  <c r="D48" i="13"/>
  <c r="E48" i="13"/>
  <c r="F48" i="13"/>
  <c r="G48" i="13"/>
  <c r="H48" i="13"/>
  <c r="I48" i="13"/>
  <c r="J48" i="13"/>
  <c r="K48" i="13"/>
  <c r="L48" i="13"/>
  <c r="N48" i="13"/>
  <c r="O48" i="13"/>
  <c r="P48" i="13"/>
  <c r="Q48" i="13"/>
  <c r="C51" i="13"/>
  <c r="O51" i="13"/>
  <c r="P51" i="13"/>
  <c r="Q51" i="13"/>
  <c r="C52" i="13"/>
  <c r="D52" i="13"/>
  <c r="E52" i="13"/>
  <c r="F52" i="13"/>
  <c r="G52" i="13"/>
  <c r="H52" i="13"/>
  <c r="I52" i="13"/>
  <c r="J52" i="13"/>
  <c r="K52" i="13"/>
  <c r="L52" i="13"/>
  <c r="N52" i="13"/>
  <c r="O52" i="13"/>
  <c r="P52" i="13"/>
  <c r="Q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C56" i="13"/>
  <c r="N56" i="13"/>
  <c r="O56" i="13"/>
  <c r="P56" i="13"/>
  <c r="Q56" i="13"/>
  <c r="C57" i="13"/>
  <c r="N57" i="13"/>
  <c r="O57" i="13"/>
  <c r="P57" i="13"/>
  <c r="Q57" i="13"/>
  <c r="C58" i="13"/>
  <c r="N58" i="13"/>
  <c r="O58" i="13"/>
  <c r="Q58" i="13"/>
  <c r="C60" i="13"/>
  <c r="D60" i="13"/>
  <c r="E60" i="13"/>
  <c r="F60" i="13"/>
  <c r="G60" i="13"/>
  <c r="I60" i="13"/>
  <c r="J60" i="13"/>
  <c r="K60" i="13"/>
  <c r="L60" i="13"/>
  <c r="N60" i="13"/>
  <c r="P60" i="13"/>
  <c r="Q60" i="13"/>
  <c r="C61" i="13"/>
  <c r="D61" i="13"/>
  <c r="E61" i="13"/>
  <c r="F61" i="13"/>
  <c r="G61" i="13"/>
  <c r="I61" i="13"/>
  <c r="J61" i="13"/>
  <c r="K61" i="13"/>
  <c r="L61" i="13"/>
  <c r="N61" i="13"/>
  <c r="P61" i="13"/>
  <c r="Q61" i="13"/>
  <c r="C62" i="13"/>
  <c r="D62" i="13"/>
  <c r="E62" i="13"/>
  <c r="F62" i="13"/>
  <c r="G62" i="13"/>
  <c r="I62" i="13"/>
  <c r="J62" i="13"/>
  <c r="K62" i="13"/>
  <c r="L62" i="13"/>
  <c r="N62" i="13"/>
  <c r="P62" i="13"/>
  <c r="Q62" i="13"/>
  <c r="C63" i="13"/>
  <c r="D63" i="13"/>
  <c r="E63" i="13"/>
  <c r="F63" i="13"/>
  <c r="G63" i="13"/>
  <c r="I63" i="13"/>
  <c r="J63" i="13"/>
  <c r="K63" i="13"/>
  <c r="L63" i="13"/>
  <c r="N63" i="13"/>
  <c r="P63" i="13"/>
  <c r="Q63" i="13"/>
  <c r="C64" i="13"/>
  <c r="O64" i="13"/>
  <c r="F51" i="18"/>
  <c r="F50" i="18"/>
  <c r="Q31" i="13"/>
  <c r="Q30" i="13"/>
  <c r="Q29" i="13"/>
  <c r="Q28" i="13"/>
  <c r="Q26" i="13"/>
  <c r="Q25" i="13"/>
  <c r="Q24" i="13"/>
  <c r="Q22" i="13"/>
  <c r="Q20" i="13"/>
  <c r="Q19" i="13"/>
  <c r="Q16" i="13"/>
  <c r="Q15" i="13"/>
  <c r="Q12" i="13"/>
  <c r="Q28" i="9"/>
  <c r="Q64" i="13" s="1"/>
  <c r="D23" i="10"/>
  <c r="D22" i="10"/>
  <c r="F22" i="10" s="1"/>
  <c r="F56" i="18"/>
  <c r="F55" i="18"/>
  <c r="F54" i="18"/>
  <c r="F53" i="18"/>
  <c r="F58" i="18"/>
  <c r="F48" i="18"/>
  <c r="F49" i="18"/>
  <c r="F59" i="18"/>
  <c r="F52" i="18"/>
  <c r="F7" i="18"/>
  <c r="F8" i="18" s="1"/>
  <c r="F6" i="18"/>
  <c r="R112" i="13"/>
  <c r="M112" i="13"/>
  <c r="P103" i="13"/>
  <c r="F103" i="13"/>
  <c r="R54" i="13"/>
  <c r="C55" i="13"/>
  <c r="C59" i="13"/>
  <c r="P22" i="9"/>
  <c r="P58" i="13"/>
  <c r="F16" i="3"/>
  <c r="B16" i="3"/>
  <c r="G15" i="3"/>
  <c r="G14" i="3"/>
  <c r="G13" i="3"/>
  <c r="G12" i="3"/>
  <c r="G11" i="3"/>
  <c r="G10" i="3"/>
  <c r="G9" i="3"/>
  <c r="G8" i="3"/>
  <c r="G7" i="3"/>
  <c r="G6" i="3"/>
  <c r="G5" i="3"/>
  <c r="I16" i="3"/>
  <c r="C16" i="3"/>
  <c r="C28" i="10"/>
  <c r="E28" i="10" s="1"/>
  <c r="C30" i="10"/>
  <c r="E30" i="10" s="1"/>
  <c r="J27" i="16"/>
  <c r="H26" i="16"/>
  <c r="I26" i="16" s="1"/>
  <c r="H25" i="16"/>
  <c r="P90" i="13"/>
  <c r="P86" i="13" s="1"/>
  <c r="I25" i="16"/>
  <c r="P81" i="13"/>
  <c r="E62" i="18"/>
  <c r="E29" i="18"/>
  <c r="E45" i="18"/>
  <c r="B45" i="18"/>
  <c r="F60" i="18"/>
  <c r="P73" i="13"/>
  <c r="P72" i="13"/>
  <c r="P74" i="13"/>
  <c r="L28" i="9"/>
  <c r="L64" i="13" s="1"/>
  <c r="K28" i="9"/>
  <c r="K64" i="13" s="1"/>
  <c r="J28" i="9"/>
  <c r="J64" i="13" s="1"/>
  <c r="I28" i="9"/>
  <c r="I23" i="9" s="1"/>
  <c r="H28" i="9"/>
  <c r="H64" i="13" s="1"/>
  <c r="G28" i="9"/>
  <c r="G64" i="13" s="1"/>
  <c r="F28" i="9"/>
  <c r="F64" i="13" s="1"/>
  <c r="E28" i="9"/>
  <c r="E23" i="9" s="1"/>
  <c r="D28" i="9"/>
  <c r="D64" i="13" s="1"/>
  <c r="I45" i="13"/>
  <c r="F65" i="18"/>
  <c r="F61" i="18"/>
  <c r="F28" i="18"/>
  <c r="F12" i="18"/>
  <c r="F44" i="18"/>
  <c r="P28" i="9"/>
  <c r="P64" i="13" s="1"/>
  <c r="E66" i="18"/>
  <c r="B66" i="18"/>
  <c r="E13" i="18"/>
  <c r="B13" i="18"/>
  <c r="E8" i="18"/>
  <c r="B8" i="18"/>
  <c r="C31" i="10" s="1"/>
  <c r="E31" i="10" s="1"/>
  <c r="N13" i="9"/>
  <c r="N49" i="13" s="1"/>
  <c r="F34" i="18"/>
  <c r="F35" i="18"/>
  <c r="F11" i="18"/>
  <c r="F5" i="18"/>
  <c r="F64" i="18"/>
  <c r="F66" i="18" s="1"/>
  <c r="F47" i="18"/>
  <c r="F43" i="18"/>
  <c r="F42" i="18"/>
  <c r="F41" i="18"/>
  <c r="F39" i="18"/>
  <c r="F38" i="18"/>
  <c r="F37" i="18"/>
  <c r="F36" i="18"/>
  <c r="F32" i="18"/>
  <c r="F31" i="18"/>
  <c r="F27" i="18"/>
  <c r="F26" i="18"/>
  <c r="F25" i="18"/>
  <c r="F24" i="18"/>
  <c r="F18" i="18"/>
  <c r="F17" i="18"/>
  <c r="F16" i="18"/>
  <c r="F29" i="18" s="1"/>
  <c r="F15" i="18"/>
  <c r="F10" i="18"/>
  <c r="F9" i="10"/>
  <c r="C6" i="10"/>
  <c r="N9" i="9"/>
  <c r="N45" i="13" s="1"/>
  <c r="G7" i="10"/>
  <c r="N28" i="9"/>
  <c r="N64" i="13" s="1"/>
  <c r="G5" i="10"/>
  <c r="G10" i="10"/>
  <c r="AN14" i="8"/>
  <c r="AP14" i="8" s="1"/>
  <c r="AN13" i="8"/>
  <c r="AP13" i="8"/>
  <c r="AR13" i="8" s="1"/>
  <c r="AN12" i="8"/>
  <c r="AP12" i="8"/>
  <c r="AN11" i="8"/>
  <c r="AP11" i="8" s="1"/>
  <c r="AN10" i="8"/>
  <c r="AP10" i="8" s="1"/>
  <c r="K9" i="4" s="1"/>
  <c r="AN9" i="8"/>
  <c r="AP9" i="8"/>
  <c r="K8" i="4" s="1"/>
  <c r="AN8" i="8"/>
  <c r="AP8" i="8"/>
  <c r="AN7" i="8"/>
  <c r="AP7" i="8"/>
  <c r="K6" i="4" s="1"/>
  <c r="AN6" i="8"/>
  <c r="AP6" i="8"/>
  <c r="K5" i="4" s="1"/>
  <c r="AN5" i="8"/>
  <c r="AP5" i="8"/>
  <c r="C16" i="11"/>
  <c r="D16" i="11"/>
  <c r="G16" i="11"/>
  <c r="H16" i="11"/>
  <c r="K16" i="11"/>
  <c r="L16" i="11"/>
  <c r="C14" i="9"/>
  <c r="C5" i="9" s="1"/>
  <c r="C40" i="13" s="1"/>
  <c r="C41" i="13" s="1"/>
  <c r="C7" i="9"/>
  <c r="C43" i="13" s="1"/>
  <c r="J6" i="17"/>
  <c r="K6" i="17"/>
  <c r="L6" i="17" s="1"/>
  <c r="F20" i="9" s="1"/>
  <c r="J7" i="17"/>
  <c r="K7" i="17" s="1"/>
  <c r="J8" i="17"/>
  <c r="K8" i="17" s="1"/>
  <c r="J10" i="17"/>
  <c r="K10" i="17"/>
  <c r="J11" i="17"/>
  <c r="K11" i="17" s="1"/>
  <c r="L11" i="17" s="1"/>
  <c r="K20" i="9" s="1"/>
  <c r="K56" i="13" s="1"/>
  <c r="J13" i="17"/>
  <c r="K13" i="17" s="1"/>
  <c r="L13" i="17" s="1"/>
  <c r="G14" i="17"/>
  <c r="F14" i="17"/>
  <c r="E14" i="17"/>
  <c r="D14" i="17"/>
  <c r="C14" i="17"/>
  <c r="B14" i="17"/>
  <c r="C6" i="9"/>
  <c r="C42" i="13"/>
  <c r="O73" i="13"/>
  <c r="N73" i="13"/>
  <c r="L73" i="13"/>
  <c r="K73" i="13"/>
  <c r="J73" i="13"/>
  <c r="I73" i="13"/>
  <c r="H73" i="13"/>
  <c r="G73" i="13"/>
  <c r="F73" i="13"/>
  <c r="E73" i="13"/>
  <c r="O74" i="13"/>
  <c r="N74" i="13"/>
  <c r="L74" i="13"/>
  <c r="K74" i="13"/>
  <c r="J74" i="13"/>
  <c r="I74" i="13"/>
  <c r="H74" i="13"/>
  <c r="G74" i="13"/>
  <c r="F74" i="13"/>
  <c r="E74" i="13"/>
  <c r="D74" i="13"/>
  <c r="D73" i="13"/>
  <c r="M76" i="13"/>
  <c r="R76" i="13"/>
  <c r="P12" i="13"/>
  <c r="O12" i="13"/>
  <c r="C12" i="13"/>
  <c r="O9" i="9"/>
  <c r="O45" i="13" s="1"/>
  <c r="O13" i="9"/>
  <c r="O49" i="13" s="1"/>
  <c r="G5" i="16"/>
  <c r="D15" i="16" s="1"/>
  <c r="E15" i="16" s="1"/>
  <c r="G4" i="16"/>
  <c r="D14" i="16" s="1"/>
  <c r="F6" i="16"/>
  <c r="E6" i="16"/>
  <c r="D6" i="16"/>
  <c r="C6" i="16"/>
  <c r="B6" i="16"/>
  <c r="H6" i="16"/>
  <c r="G6" i="16"/>
  <c r="C27" i="16"/>
  <c r="G26" i="16"/>
  <c r="H26" i="9" s="1"/>
  <c r="C16" i="16"/>
  <c r="E14" i="16"/>
  <c r="F14" i="16" s="1"/>
  <c r="F15" i="16"/>
  <c r="H24" i="9" s="1"/>
  <c r="R22" i="13"/>
  <c r="AA5" i="2"/>
  <c r="AA6" i="2"/>
  <c r="AA7" i="2"/>
  <c r="AA8" i="2"/>
  <c r="AA9" i="2"/>
  <c r="AA10" i="2"/>
  <c r="AA11" i="2"/>
  <c r="AA12" i="2"/>
  <c r="AA13" i="2"/>
  <c r="AA4" i="2"/>
  <c r="R14" i="6"/>
  <c r="D11" i="6"/>
  <c r="E11" i="6" s="1"/>
  <c r="F11" i="6" s="1"/>
  <c r="S11" i="6"/>
  <c r="T11" i="6"/>
  <c r="AO14" i="8"/>
  <c r="AQ14" i="8" s="1"/>
  <c r="L13" i="4" s="1"/>
  <c r="AO13" i="8"/>
  <c r="AO12" i="8"/>
  <c r="AQ12" i="8" s="1"/>
  <c r="AO11" i="8"/>
  <c r="AO10" i="8"/>
  <c r="AQ10" i="8" s="1"/>
  <c r="L9" i="4" s="1"/>
  <c r="AO9" i="8"/>
  <c r="AQ9" i="8" s="1"/>
  <c r="L8" i="4" s="1"/>
  <c r="AO8" i="8"/>
  <c r="AQ8" i="8" s="1"/>
  <c r="L7" i="4" s="1"/>
  <c r="AO7" i="8"/>
  <c r="AQ7" i="8" s="1"/>
  <c r="L6" i="4" s="1"/>
  <c r="AO6" i="8"/>
  <c r="AQ6" i="8" s="1"/>
  <c r="L5" i="4" s="1"/>
  <c r="AO5" i="8"/>
  <c r="C14" i="6"/>
  <c r="D15" i="3"/>
  <c r="L15" i="3"/>
  <c r="D14" i="3"/>
  <c r="L14" i="3"/>
  <c r="D13" i="3"/>
  <c r="D12" i="3"/>
  <c r="D11" i="3"/>
  <c r="D10" i="3"/>
  <c r="D9" i="3"/>
  <c r="D8" i="3"/>
  <c r="D7" i="3"/>
  <c r="O20" i="15"/>
  <c r="U20" i="15"/>
  <c r="AA20" i="15"/>
  <c r="AG20" i="15"/>
  <c r="AM20" i="15"/>
  <c r="AS20" i="15"/>
  <c r="Q15" i="3"/>
  <c r="P15" i="3"/>
  <c r="AS16" i="15"/>
  <c r="AR16" i="15"/>
  <c r="AM16" i="15"/>
  <c r="AL16" i="15"/>
  <c r="AG16" i="15"/>
  <c r="AF16" i="15"/>
  <c r="AC16" i="15"/>
  <c r="AA16" i="15"/>
  <c r="Z16" i="15"/>
  <c r="W16" i="15"/>
  <c r="U16" i="15"/>
  <c r="T16" i="15"/>
  <c r="O16" i="15"/>
  <c r="N16" i="15"/>
  <c r="AZ15" i="15"/>
  <c r="AW15" i="15"/>
  <c r="BD15" i="15" s="1"/>
  <c r="D15" i="15" s="1"/>
  <c r="AV15" i="15"/>
  <c r="BC15" i="15" s="1"/>
  <c r="AU15" i="15"/>
  <c r="BB15" i="15" s="1"/>
  <c r="AJ15" i="15"/>
  <c r="AI15" i="15"/>
  <c r="AY15" i="15" s="1"/>
  <c r="BF15" i="15" s="1"/>
  <c r="F15" i="15" s="1"/>
  <c r="AX15" i="15"/>
  <c r="BE15" i="15" s="1"/>
  <c r="E15" i="15" s="1"/>
  <c r="AZ14" i="15"/>
  <c r="BG14" i="15"/>
  <c r="G14" i="15" s="1"/>
  <c r="AY14" i="15"/>
  <c r="AX14" i="15"/>
  <c r="AW14" i="15"/>
  <c r="AV14" i="15"/>
  <c r="AP13" i="15"/>
  <c r="AZ13" i="15" s="1"/>
  <c r="BG13" i="15" s="1"/>
  <c r="AJ13" i="15"/>
  <c r="AY13" i="15" s="1"/>
  <c r="BF13" i="15" s="1"/>
  <c r="F13" i="15" s="1"/>
  <c r="AH13" i="15"/>
  <c r="AU13" i="15"/>
  <c r="BB13" i="15"/>
  <c r="AP12" i="15"/>
  <c r="AJ12" i="15"/>
  <c r="AI12" i="15"/>
  <c r="AH12" i="15"/>
  <c r="AX12" i="15"/>
  <c r="BE12" i="15" s="1"/>
  <c r="E12" i="15" s="1"/>
  <c r="AP11" i="15"/>
  <c r="AJ11" i="15"/>
  <c r="AI11" i="15"/>
  <c r="AH11" i="15"/>
  <c r="AV11" i="15"/>
  <c r="AP10" i="15"/>
  <c r="AZ10" i="15" s="1"/>
  <c r="BG10" i="15" s="1"/>
  <c r="G10" i="15" s="1"/>
  <c r="AJ10" i="15"/>
  <c r="AI10" i="15"/>
  <c r="AY10" i="15" s="1"/>
  <c r="AH10" i="15"/>
  <c r="AX10" i="15"/>
  <c r="AW10" i="15"/>
  <c r="AP9" i="15"/>
  <c r="AZ9" i="15" s="1"/>
  <c r="BG9" i="15" s="1"/>
  <c r="AJ9" i="15"/>
  <c r="AI9" i="15"/>
  <c r="AH9" i="15"/>
  <c r="AV9" i="15"/>
  <c r="AP8" i="15"/>
  <c r="AJ8" i="15"/>
  <c r="AI8" i="15"/>
  <c r="AY8" i="15" s="1"/>
  <c r="AH8" i="15"/>
  <c r="AX8" i="15"/>
  <c r="AW8" i="15"/>
  <c r="BD8" i="15" s="1"/>
  <c r="D8" i="15" s="1"/>
  <c r="J16" i="15"/>
  <c r="AP7" i="15"/>
  <c r="AJ7" i="15"/>
  <c r="AI7" i="15"/>
  <c r="AI16" i="15" s="1"/>
  <c r="AH7" i="15"/>
  <c r="AV7" i="15"/>
  <c r="AP6" i="15"/>
  <c r="AO16" i="15"/>
  <c r="AJ6" i="15"/>
  <c r="AI6" i="15"/>
  <c r="AH6" i="15"/>
  <c r="AB16" i="15"/>
  <c r="R16" i="15"/>
  <c r="M16" i="15"/>
  <c r="AY7" i="15"/>
  <c r="BF7" i="15" s="1"/>
  <c r="BF14" i="15"/>
  <c r="F14" i="15"/>
  <c r="BC9" i="15"/>
  <c r="C9" i="15"/>
  <c r="BE14" i="15"/>
  <c r="E14" i="15"/>
  <c r="G9" i="15"/>
  <c r="G13" i="15"/>
  <c r="BC11" i="15"/>
  <c r="C11" i="15"/>
  <c r="BE10" i="15"/>
  <c r="E10" i="15" s="1"/>
  <c r="F7" i="15"/>
  <c r="BD14" i="15"/>
  <c r="D14" i="15" s="1"/>
  <c r="BC14" i="15"/>
  <c r="C14" i="15" s="1"/>
  <c r="H14" i="15" s="1"/>
  <c r="E13" i="8" s="1"/>
  <c r="F13" i="8" s="1"/>
  <c r="BG15" i="15"/>
  <c r="G15" i="15"/>
  <c r="BC7" i="15"/>
  <c r="C7" i="15" s="1"/>
  <c r="BD10" i="15"/>
  <c r="D10" i="15" s="1"/>
  <c r="AZ12" i="15"/>
  <c r="BG12" i="15" s="1"/>
  <c r="G12" i="15" s="1"/>
  <c r="P16" i="15"/>
  <c r="AD16" i="15"/>
  <c r="AU9" i="15"/>
  <c r="BB9" i="15" s="1"/>
  <c r="AW9" i="15"/>
  <c r="BD9" i="15" s="1"/>
  <c r="AU10" i="15"/>
  <c r="AU14" i="15"/>
  <c r="Q16" i="15"/>
  <c r="AE16" i="15"/>
  <c r="AQ16" i="15"/>
  <c r="AX11" i="15"/>
  <c r="AZ11" i="15"/>
  <c r="BG11" i="15" s="1"/>
  <c r="G11" i="15" s="1"/>
  <c r="AV12" i="15"/>
  <c r="AW13" i="15"/>
  <c r="AX6" i="15"/>
  <c r="BE6" i="15" s="1"/>
  <c r="E6" i="15" s="1"/>
  <c r="S16" i="15"/>
  <c r="AU7" i="15"/>
  <c r="AW7" i="15"/>
  <c r="AU8" i="15"/>
  <c r="AX9" i="15"/>
  <c r="V16" i="15"/>
  <c r="AZ8" i="15"/>
  <c r="AV10" i="15"/>
  <c r="AX13" i="15"/>
  <c r="BE13" i="15" s="1"/>
  <c r="E13" i="15" s="1"/>
  <c r="AU6" i="15"/>
  <c r="BB6" i="15" s="1"/>
  <c r="B6" i="15" s="1"/>
  <c r="X16" i="15"/>
  <c r="AK16" i="15"/>
  <c r="AY11" i="15"/>
  <c r="BF11" i="15" s="1"/>
  <c r="AW12" i="15"/>
  <c r="BD12" i="15" s="1"/>
  <c r="L16" i="15"/>
  <c r="Y16" i="15"/>
  <c r="AN16" i="15"/>
  <c r="AX7" i="15"/>
  <c r="AZ7" i="15"/>
  <c r="BG7" i="15" s="1"/>
  <c r="G7" i="15" s="1"/>
  <c r="AV8" i="15"/>
  <c r="AY9" i="15"/>
  <c r="BF9" i="15" s="1"/>
  <c r="F9" i="15" s="1"/>
  <c r="AU11" i="15"/>
  <c r="AW11" i="15"/>
  <c r="AU12" i="15"/>
  <c r="AV13" i="15"/>
  <c r="BC13" i="15" s="1"/>
  <c r="C13" i="15" s="1"/>
  <c r="H13" i="15" s="1"/>
  <c r="E12" i="8" s="1"/>
  <c r="F12" i="8" s="1"/>
  <c r="B13" i="15"/>
  <c r="AW6" i="15"/>
  <c r="BD6" i="15" s="1"/>
  <c r="K16" i="15"/>
  <c r="AV6" i="15"/>
  <c r="BC6" i="15"/>
  <c r="BD11" i="15"/>
  <c r="D11" i="15"/>
  <c r="BE11" i="15"/>
  <c r="E11" i="15" s="1"/>
  <c r="D12" i="15"/>
  <c r="BB7" i="15"/>
  <c r="B7" i="15" s="1"/>
  <c r="C15" i="15"/>
  <c r="BC8" i="15"/>
  <c r="C8" i="15" s="1"/>
  <c r="BF10" i="15"/>
  <c r="F10" i="15" s="1"/>
  <c r="BB11" i="15"/>
  <c r="BD7" i="15"/>
  <c r="D7" i="15" s="1"/>
  <c r="BG8" i="15"/>
  <c r="G8" i="15" s="1"/>
  <c r="BH13" i="15"/>
  <c r="BE7" i="15"/>
  <c r="E7" i="15" s="1"/>
  <c r="BE9" i="15"/>
  <c r="E9" i="15" s="1"/>
  <c r="BD13" i="15"/>
  <c r="D13" i="15" s="1"/>
  <c r="BB14" i="15"/>
  <c r="B14" i="15"/>
  <c r="BF8" i="15"/>
  <c r="F8" i="15" s="1"/>
  <c r="BC12" i="15"/>
  <c r="C12" i="15" s="1"/>
  <c r="BB10" i="15"/>
  <c r="BB12" i="15"/>
  <c r="BB8" i="15"/>
  <c r="BB16" i="15" s="1"/>
  <c r="D9" i="15"/>
  <c r="B11" i="15"/>
  <c r="BH14" i="15"/>
  <c r="L50" i="14"/>
  <c r="I49" i="14"/>
  <c r="I48" i="14"/>
  <c r="I47" i="14"/>
  <c r="I46" i="14"/>
  <c r="I45" i="14"/>
  <c r="I44" i="14"/>
  <c r="I43" i="14"/>
  <c r="I42" i="14"/>
  <c r="I41" i="14"/>
  <c r="I40" i="14"/>
  <c r="H50" i="14"/>
  <c r="G50" i="14"/>
  <c r="F50" i="14"/>
  <c r="D50" i="14"/>
  <c r="C50" i="14"/>
  <c r="B50" i="14"/>
  <c r="E49" i="14"/>
  <c r="E48" i="14"/>
  <c r="E47" i="14"/>
  <c r="E46" i="14"/>
  <c r="E30" i="14" s="1"/>
  <c r="E45" i="14"/>
  <c r="E44" i="14"/>
  <c r="E43" i="14"/>
  <c r="E42" i="14"/>
  <c r="E41" i="14"/>
  <c r="E40" i="14"/>
  <c r="L28" i="14"/>
  <c r="L24" i="14"/>
  <c r="L23" i="14"/>
  <c r="L33" i="14"/>
  <c r="L32" i="14"/>
  <c r="L31" i="14"/>
  <c r="L30" i="14"/>
  <c r="L29" i="14"/>
  <c r="L27" i="14"/>
  <c r="L34" i="14" s="1"/>
  <c r="L26" i="14"/>
  <c r="L25" i="14"/>
  <c r="H33" i="14"/>
  <c r="G33" i="14"/>
  <c r="F33" i="14"/>
  <c r="D33" i="14"/>
  <c r="C33" i="14"/>
  <c r="H32" i="14"/>
  <c r="G32" i="14"/>
  <c r="F32" i="14"/>
  <c r="D32" i="14"/>
  <c r="C32" i="14"/>
  <c r="H31" i="14"/>
  <c r="G31" i="14"/>
  <c r="F31" i="14"/>
  <c r="D31" i="14"/>
  <c r="C31" i="14"/>
  <c r="H30" i="14"/>
  <c r="G30" i="14"/>
  <c r="F30" i="14"/>
  <c r="D30" i="14"/>
  <c r="C30" i="14"/>
  <c r="H29" i="14"/>
  <c r="G29" i="14"/>
  <c r="F29" i="14"/>
  <c r="D29" i="14"/>
  <c r="C29" i="14"/>
  <c r="H28" i="14"/>
  <c r="G28" i="14"/>
  <c r="F28" i="14"/>
  <c r="D28" i="14"/>
  <c r="C28" i="14"/>
  <c r="H27" i="14"/>
  <c r="G27" i="14"/>
  <c r="F27" i="14"/>
  <c r="D27" i="14"/>
  <c r="C27" i="14"/>
  <c r="H26" i="14"/>
  <c r="G26" i="14"/>
  <c r="F26" i="14"/>
  <c r="D26" i="14"/>
  <c r="C26" i="14"/>
  <c r="H25" i="14"/>
  <c r="G25" i="14"/>
  <c r="F25" i="14"/>
  <c r="D25" i="14"/>
  <c r="C25" i="14"/>
  <c r="H24" i="14"/>
  <c r="H34" i="14" s="1"/>
  <c r="G24" i="14"/>
  <c r="F24" i="14"/>
  <c r="D24" i="14"/>
  <c r="C24" i="14"/>
  <c r="I23" i="14"/>
  <c r="F23" i="14"/>
  <c r="E23" i="14"/>
  <c r="B33" i="14"/>
  <c r="B32" i="14"/>
  <c r="B31" i="14"/>
  <c r="B30" i="14"/>
  <c r="B29" i="14"/>
  <c r="B28" i="14"/>
  <c r="B27" i="14"/>
  <c r="B26" i="14"/>
  <c r="B25" i="14"/>
  <c r="B34" i="14" s="1"/>
  <c r="B24" i="14"/>
  <c r="B23" i="14"/>
  <c r="H16" i="14"/>
  <c r="I6" i="14"/>
  <c r="I7" i="14"/>
  <c r="AB6" i="8"/>
  <c r="I8" i="14"/>
  <c r="I9" i="14"/>
  <c r="AB8" i="8"/>
  <c r="I10" i="14"/>
  <c r="AB9" i="8" s="1"/>
  <c r="I11" i="14"/>
  <c r="AB10" i="8"/>
  <c r="I12" i="14"/>
  <c r="AB11" i="8" s="1"/>
  <c r="I13" i="14"/>
  <c r="AB12" i="8"/>
  <c r="AC12" i="8" s="1"/>
  <c r="I14" i="14"/>
  <c r="AB13" i="8" s="1"/>
  <c r="AC13" i="8" s="1"/>
  <c r="I15" i="14"/>
  <c r="AB14" i="8"/>
  <c r="E7" i="14"/>
  <c r="E8" i="14"/>
  <c r="E26" i="14"/>
  <c r="E9" i="14"/>
  <c r="E27" i="14" s="1"/>
  <c r="E10" i="14"/>
  <c r="E28" i="14"/>
  <c r="E11" i="14"/>
  <c r="E12" i="14"/>
  <c r="E13" i="14"/>
  <c r="E31" i="14" s="1"/>
  <c r="E14" i="14"/>
  <c r="E32" i="14"/>
  <c r="E15" i="14"/>
  <c r="E33" i="14" s="1"/>
  <c r="E6" i="14"/>
  <c r="E24" i="14"/>
  <c r="D16" i="14"/>
  <c r="I27" i="14"/>
  <c r="I31" i="14"/>
  <c r="I30" i="14"/>
  <c r="I28" i="14"/>
  <c r="F34" i="14"/>
  <c r="AD6" i="8"/>
  <c r="AD26" i="8" s="1"/>
  <c r="AD7" i="8"/>
  <c r="AD27" i="8"/>
  <c r="AD8" i="8"/>
  <c r="AD9" i="8"/>
  <c r="AD10" i="8"/>
  <c r="AD30" i="8"/>
  <c r="AD11" i="8"/>
  <c r="AD31" i="8" s="1"/>
  <c r="AD12" i="8"/>
  <c r="AD32" i="8" s="1"/>
  <c r="AD13" i="8"/>
  <c r="AD14" i="8"/>
  <c r="AD5" i="8"/>
  <c r="AE5" i="8" s="1"/>
  <c r="L16" i="14"/>
  <c r="G16" i="14"/>
  <c r="F16" i="14"/>
  <c r="C16" i="14"/>
  <c r="B16" i="14"/>
  <c r="E47" i="12"/>
  <c r="E45" i="12"/>
  <c r="E44" i="12"/>
  <c r="E43" i="12"/>
  <c r="E42" i="12"/>
  <c r="E41" i="12"/>
  <c r="E40" i="12"/>
  <c r="E39" i="12"/>
  <c r="E38" i="12"/>
  <c r="C48" i="12"/>
  <c r="T46" i="6"/>
  <c r="U46" i="6"/>
  <c r="T45" i="6"/>
  <c r="U45" i="6" s="1"/>
  <c r="T44" i="6"/>
  <c r="T43" i="6"/>
  <c r="T42" i="6"/>
  <c r="U42" i="6" s="1"/>
  <c r="T41" i="6"/>
  <c r="U41" i="6"/>
  <c r="T40" i="6"/>
  <c r="U40" i="6" s="1"/>
  <c r="T39" i="6"/>
  <c r="T38" i="6"/>
  <c r="U38" i="6"/>
  <c r="T37" i="6"/>
  <c r="U37" i="6" s="1"/>
  <c r="O46" i="6"/>
  <c r="P46" i="6" s="1"/>
  <c r="O45" i="6"/>
  <c r="P45" i="6" s="1"/>
  <c r="O44" i="6"/>
  <c r="O43" i="6"/>
  <c r="O42" i="6"/>
  <c r="O41" i="6"/>
  <c r="P41" i="6" s="1"/>
  <c r="O40" i="6"/>
  <c r="O39" i="6"/>
  <c r="O38" i="6"/>
  <c r="P38" i="6" s="1"/>
  <c r="O37" i="6"/>
  <c r="P37" i="6" s="1"/>
  <c r="O36" i="6"/>
  <c r="J46" i="6"/>
  <c r="K46" i="6" s="1"/>
  <c r="J45" i="6"/>
  <c r="K45" i="6"/>
  <c r="J44" i="6"/>
  <c r="K44" i="6" s="1"/>
  <c r="K28" i="6" s="1"/>
  <c r="J43" i="6"/>
  <c r="K43" i="6"/>
  <c r="J42" i="6"/>
  <c r="K42" i="6" s="1"/>
  <c r="J41" i="6"/>
  <c r="J40" i="6"/>
  <c r="J39" i="6"/>
  <c r="J38" i="6"/>
  <c r="K38" i="6"/>
  <c r="J37" i="6"/>
  <c r="K37" i="6"/>
  <c r="J36" i="6"/>
  <c r="K40" i="6"/>
  <c r="E46" i="6"/>
  <c r="F46" i="6" s="1"/>
  <c r="E45" i="6"/>
  <c r="F45" i="6" s="1"/>
  <c r="F29" i="6" s="1"/>
  <c r="E44" i="6"/>
  <c r="E43" i="6"/>
  <c r="E42" i="6"/>
  <c r="E41" i="6"/>
  <c r="F41" i="6" s="1"/>
  <c r="E40" i="6"/>
  <c r="F40" i="6"/>
  <c r="E39" i="6"/>
  <c r="E38" i="6"/>
  <c r="E37" i="6"/>
  <c r="E36" i="6"/>
  <c r="S28" i="6"/>
  <c r="N28" i="6"/>
  <c r="I28" i="6"/>
  <c r="D28" i="6"/>
  <c r="R47" i="6"/>
  <c r="Q47" i="6"/>
  <c r="N47" i="6"/>
  <c r="M47" i="6"/>
  <c r="L47" i="6"/>
  <c r="H47" i="6"/>
  <c r="G47" i="6"/>
  <c r="C47" i="6"/>
  <c r="B47" i="6"/>
  <c r="S47" i="6"/>
  <c r="D47" i="6"/>
  <c r="AL40" i="8"/>
  <c r="AL50" i="8"/>
  <c r="AL49" i="8"/>
  <c r="AM49" i="8" s="1"/>
  <c r="AL48" i="8"/>
  <c r="AM48" i="8" s="1"/>
  <c r="AL47" i="8"/>
  <c r="AM47" i="8" s="1"/>
  <c r="AL46" i="8"/>
  <c r="AL45" i="8"/>
  <c r="AL44" i="8"/>
  <c r="AM44" i="8" s="1"/>
  <c r="AL43" i="8"/>
  <c r="AM43" i="8"/>
  <c r="AL42" i="8"/>
  <c r="AM42" i="8" s="1"/>
  <c r="AL41" i="8"/>
  <c r="AK51" i="8"/>
  <c r="AI50" i="8"/>
  <c r="AI49" i="8"/>
  <c r="AI48" i="8"/>
  <c r="AI47" i="8"/>
  <c r="AI46" i="8"/>
  <c r="AI51" i="8" s="1"/>
  <c r="AI45" i="8"/>
  <c r="AI44" i="8"/>
  <c r="AI43" i="8"/>
  <c r="AI42" i="8"/>
  <c r="AI41" i="8"/>
  <c r="AI40" i="8"/>
  <c r="AI24" i="8" s="1"/>
  <c r="AD45" i="8"/>
  <c r="AD41" i="8"/>
  <c r="T50" i="8"/>
  <c r="C50" i="8"/>
  <c r="C49" i="8"/>
  <c r="C48" i="8"/>
  <c r="C47" i="8"/>
  <c r="C46" i="8"/>
  <c r="C45" i="8"/>
  <c r="C44" i="8"/>
  <c r="C43" i="8"/>
  <c r="C42" i="8"/>
  <c r="C51" i="8" s="1"/>
  <c r="C41" i="8"/>
  <c r="AR51" i="8"/>
  <c r="AQ51" i="8"/>
  <c r="AP51" i="8"/>
  <c r="AO51" i="8"/>
  <c r="AN51" i="8"/>
  <c r="AJ51" i="8"/>
  <c r="AH51" i="8"/>
  <c r="AG51" i="8"/>
  <c r="AF51" i="8"/>
  <c r="AE51" i="8"/>
  <c r="AB51" i="8"/>
  <c r="AA51" i="8"/>
  <c r="Y51" i="8"/>
  <c r="Z49" i="8" s="1"/>
  <c r="Z45" i="8"/>
  <c r="X51" i="8"/>
  <c r="V51" i="8"/>
  <c r="W47" i="8"/>
  <c r="U51" i="8"/>
  <c r="S51" i="8"/>
  <c r="T49" i="8"/>
  <c r="R51" i="8"/>
  <c r="P51" i="8"/>
  <c r="Q42" i="8" s="1"/>
  <c r="O51" i="8"/>
  <c r="N51" i="8"/>
  <c r="M51" i="8"/>
  <c r="L51" i="8"/>
  <c r="K51" i="8"/>
  <c r="J51" i="8"/>
  <c r="I51" i="8"/>
  <c r="H51" i="8"/>
  <c r="G51" i="8"/>
  <c r="F51" i="8"/>
  <c r="E51" i="8"/>
  <c r="D51" i="8"/>
  <c r="B51" i="8"/>
  <c r="AK34" i="8"/>
  <c r="AH34" i="8"/>
  <c r="AG34" i="8"/>
  <c r="AE34" i="8"/>
  <c r="AD34" i="8"/>
  <c r="AB34" i="8"/>
  <c r="Y34" i="8"/>
  <c r="B34" i="8"/>
  <c r="AK33" i="8"/>
  <c r="AH33" i="8"/>
  <c r="AG33" i="8"/>
  <c r="AE33" i="8"/>
  <c r="AD33" i="8"/>
  <c r="Y33" i="8"/>
  <c r="B33" i="8"/>
  <c r="AK32" i="8"/>
  <c r="AH32" i="8"/>
  <c r="AG32" i="8"/>
  <c r="AE32" i="8"/>
  <c r="Y32" i="8"/>
  <c r="B32" i="8"/>
  <c r="AK31" i="8"/>
  <c r="AH31" i="8"/>
  <c r="AG31" i="8"/>
  <c r="AE31" i="8"/>
  <c r="AB31" i="8"/>
  <c r="Y31" i="8"/>
  <c r="B31" i="8"/>
  <c r="AK30" i="8"/>
  <c r="AH30" i="8"/>
  <c r="AG30" i="8"/>
  <c r="AE30" i="8"/>
  <c r="Y30" i="8"/>
  <c r="B30" i="8"/>
  <c r="AK29" i="8"/>
  <c r="AH29" i="8"/>
  <c r="AG29" i="8"/>
  <c r="AB29" i="8"/>
  <c r="Y29" i="8"/>
  <c r="B29" i="8"/>
  <c r="AK28" i="8"/>
  <c r="AH28" i="8"/>
  <c r="AG28" i="8"/>
  <c r="AE28" i="8"/>
  <c r="AD28" i="8"/>
  <c r="AB28" i="8"/>
  <c r="Y28" i="8"/>
  <c r="B28" i="8"/>
  <c r="AK27" i="8"/>
  <c r="AH27" i="8"/>
  <c r="AH35" i="8" s="1"/>
  <c r="AG27" i="8"/>
  <c r="AE27" i="8"/>
  <c r="Y27" i="8"/>
  <c r="B27" i="8"/>
  <c r="B35" i="8" s="1"/>
  <c r="AK26" i="8"/>
  <c r="AH26" i="8"/>
  <c r="AG26" i="8"/>
  <c r="AE26" i="8"/>
  <c r="AB26" i="8"/>
  <c r="Y26" i="8"/>
  <c r="B26" i="8"/>
  <c r="AK25" i="8"/>
  <c r="AK35" i="8" s="1"/>
  <c r="AH25" i="8"/>
  <c r="AG25" i="8"/>
  <c r="Y25" i="8"/>
  <c r="Y35" i="8" s="1"/>
  <c r="B25" i="8"/>
  <c r="AM24" i="8"/>
  <c r="AK24" i="8"/>
  <c r="AJ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D24" i="8"/>
  <c r="C24" i="8"/>
  <c r="B24" i="8"/>
  <c r="F33" i="5"/>
  <c r="F34" i="5"/>
  <c r="L39" i="5"/>
  <c r="L49" i="5"/>
  <c r="L48" i="5"/>
  <c r="M48" i="5"/>
  <c r="L47" i="5"/>
  <c r="M47" i="5" s="1"/>
  <c r="L46" i="5"/>
  <c r="L45" i="5"/>
  <c r="M45" i="5" s="1"/>
  <c r="L44" i="5"/>
  <c r="L43" i="5"/>
  <c r="M43" i="5"/>
  <c r="L42" i="5"/>
  <c r="M42" i="5"/>
  <c r="L41" i="5"/>
  <c r="L40" i="5"/>
  <c r="N23" i="5"/>
  <c r="K23" i="5"/>
  <c r="J23" i="5"/>
  <c r="I23" i="5"/>
  <c r="H23" i="5"/>
  <c r="G23" i="5"/>
  <c r="F23" i="5"/>
  <c r="E23" i="5"/>
  <c r="D23" i="5"/>
  <c r="C23" i="5"/>
  <c r="B23" i="5"/>
  <c r="G50" i="5"/>
  <c r="F50" i="5"/>
  <c r="J50" i="5"/>
  <c r="E50" i="5"/>
  <c r="D50" i="5"/>
  <c r="B50" i="5"/>
  <c r="N26" i="4"/>
  <c r="C52" i="4"/>
  <c r="D52" i="4"/>
  <c r="C51" i="4"/>
  <c r="D51" i="4" s="1"/>
  <c r="C50" i="4"/>
  <c r="D50" i="4" s="1"/>
  <c r="C49" i="4"/>
  <c r="D49" i="4"/>
  <c r="C48" i="4"/>
  <c r="D48" i="4"/>
  <c r="C47" i="4"/>
  <c r="D47" i="4"/>
  <c r="C46" i="4"/>
  <c r="C53" i="4" s="1"/>
  <c r="C45" i="4"/>
  <c r="D45" i="4"/>
  <c r="C44" i="4"/>
  <c r="D44" i="4"/>
  <c r="C43" i="4"/>
  <c r="D43" i="4"/>
  <c r="AD21" i="2"/>
  <c r="AK21" i="2"/>
  <c r="AJ21" i="2"/>
  <c r="AI21" i="2"/>
  <c r="U31" i="2"/>
  <c r="U30" i="2"/>
  <c r="C26" i="4"/>
  <c r="J26" i="4"/>
  <c r="M26" i="4"/>
  <c r="B26" i="4"/>
  <c r="J53" i="4"/>
  <c r="N21" i="2"/>
  <c r="O21" i="2"/>
  <c r="M21" i="2"/>
  <c r="L21" i="2"/>
  <c r="K21" i="2"/>
  <c r="J21" i="2"/>
  <c r="F21" i="2"/>
  <c r="E21" i="2"/>
  <c r="D21" i="2"/>
  <c r="C21" i="2"/>
  <c r="B21" i="2"/>
  <c r="AI48" i="2"/>
  <c r="AJ48" i="2"/>
  <c r="AK48" i="2"/>
  <c r="E48" i="2"/>
  <c r="D48" i="2"/>
  <c r="C48" i="2"/>
  <c r="W48" i="2"/>
  <c r="N48" i="2"/>
  <c r="O47" i="2"/>
  <c r="T47" i="2"/>
  <c r="M47" i="2"/>
  <c r="M48" i="2" s="1"/>
  <c r="L47" i="2"/>
  <c r="K47" i="2"/>
  <c r="D47" i="12"/>
  <c r="J47" i="2"/>
  <c r="O46" i="2"/>
  <c r="T46" i="2" s="1"/>
  <c r="T48" i="2" s="1"/>
  <c r="T37" i="2"/>
  <c r="T21" i="2"/>
  <c r="W32" i="2"/>
  <c r="T42" i="8"/>
  <c r="F42" i="6"/>
  <c r="F43" i="6"/>
  <c r="T45" i="8"/>
  <c r="F44" i="6"/>
  <c r="F28" i="6" s="1"/>
  <c r="Z41" i="8"/>
  <c r="F38" i="6"/>
  <c r="Z46" i="8"/>
  <c r="E28" i="6"/>
  <c r="W48" i="8"/>
  <c r="T43" i="8"/>
  <c r="W41" i="8"/>
  <c r="W51" i="8" s="1"/>
  <c r="W49" i="8"/>
  <c r="Z47" i="8"/>
  <c r="Q46" i="8"/>
  <c r="T44" i="8"/>
  <c r="W42" i="8"/>
  <c r="W50" i="8"/>
  <c r="Z48" i="8"/>
  <c r="W43" i="8"/>
  <c r="T46" i="8"/>
  <c r="W44" i="8"/>
  <c r="Z42" i="8"/>
  <c r="Z50" i="8"/>
  <c r="F37" i="6"/>
  <c r="U44" i="6"/>
  <c r="T47" i="8"/>
  <c r="W45" i="8"/>
  <c r="Z43" i="8"/>
  <c r="T48" i="8"/>
  <c r="W46" i="8"/>
  <c r="T41" i="8"/>
  <c r="B48" i="12"/>
  <c r="D48" i="12"/>
  <c r="U43" i="6"/>
  <c r="U39" i="6"/>
  <c r="P39" i="6"/>
  <c r="P43" i="6"/>
  <c r="P40" i="6"/>
  <c r="P42" i="6"/>
  <c r="O47" i="6"/>
  <c r="I47" i="6"/>
  <c r="M40" i="5"/>
  <c r="M46" i="5"/>
  <c r="M49" i="5"/>
  <c r="M41" i="5"/>
  <c r="K50" i="5"/>
  <c r="H50" i="5"/>
  <c r="I50" i="5"/>
  <c r="C50" i="5"/>
  <c r="K48" i="2"/>
  <c r="B48" i="2"/>
  <c r="F48" i="2"/>
  <c r="L48" i="2"/>
  <c r="J48" i="2"/>
  <c r="T47" i="6"/>
  <c r="O48" i="2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K21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J24" i="1"/>
  <c r="I24" i="1"/>
  <c r="H24" i="1"/>
  <c r="G24" i="1"/>
  <c r="F24" i="1"/>
  <c r="E24" i="1"/>
  <c r="D24" i="1"/>
  <c r="C24" i="1"/>
  <c r="B24" i="1"/>
  <c r="L23" i="1"/>
  <c r="J23" i="1"/>
  <c r="I23" i="1"/>
  <c r="H23" i="1"/>
  <c r="G23" i="1"/>
  <c r="G29" i="1" s="1"/>
  <c r="F23" i="1"/>
  <c r="E23" i="1"/>
  <c r="D23" i="1"/>
  <c r="C23" i="1"/>
  <c r="B23" i="1"/>
  <c r="L22" i="1"/>
  <c r="J22" i="1"/>
  <c r="I22" i="1"/>
  <c r="H22" i="1"/>
  <c r="G22" i="1"/>
  <c r="F22" i="1"/>
  <c r="E22" i="1"/>
  <c r="D22" i="1"/>
  <c r="C22" i="1"/>
  <c r="B22" i="1"/>
  <c r="L21" i="1"/>
  <c r="L29" i="1" s="1"/>
  <c r="J21" i="1"/>
  <c r="J29" i="1" s="1"/>
  <c r="I21" i="1"/>
  <c r="H21" i="1"/>
  <c r="G21" i="1"/>
  <c r="F21" i="1"/>
  <c r="E21" i="1"/>
  <c r="D21" i="1"/>
  <c r="C21" i="1"/>
  <c r="C29" i="1" s="1"/>
  <c r="B21" i="1"/>
  <c r="L20" i="1"/>
  <c r="K20" i="1"/>
  <c r="J20" i="1"/>
  <c r="I20" i="1"/>
  <c r="H20" i="1"/>
  <c r="G20" i="1"/>
  <c r="F20" i="1"/>
  <c r="F29" i="1" s="1"/>
  <c r="E20" i="1"/>
  <c r="D20" i="1"/>
  <c r="C20" i="1"/>
  <c r="B20" i="1"/>
  <c r="L19" i="1"/>
  <c r="K19" i="1"/>
  <c r="J19" i="1"/>
  <c r="I19" i="1"/>
  <c r="I29" i="1" s="1"/>
  <c r="H19" i="1"/>
  <c r="G19" i="1"/>
  <c r="F19" i="1"/>
  <c r="E19" i="1"/>
  <c r="D19" i="1"/>
  <c r="C19" i="1"/>
  <c r="B19" i="1"/>
  <c r="C18" i="1"/>
  <c r="D18" i="1"/>
  <c r="E18" i="1"/>
  <c r="F18" i="1"/>
  <c r="G18" i="1"/>
  <c r="H18" i="1"/>
  <c r="I18" i="1"/>
  <c r="J18" i="1"/>
  <c r="K18" i="1"/>
  <c r="L18" i="1"/>
  <c r="B18" i="1"/>
  <c r="C23" i="10"/>
  <c r="C21" i="10"/>
  <c r="C20" i="10"/>
  <c r="C19" i="10"/>
  <c r="O17" i="9"/>
  <c r="O21" i="13" s="1"/>
  <c r="M84" i="13"/>
  <c r="R84" i="13"/>
  <c r="O81" i="13"/>
  <c r="N81" i="13"/>
  <c r="L81" i="13"/>
  <c r="K81" i="13"/>
  <c r="J81" i="13"/>
  <c r="I81" i="13"/>
  <c r="H81" i="13"/>
  <c r="G81" i="13"/>
  <c r="D81" i="13"/>
  <c r="N86" i="13"/>
  <c r="L86" i="13"/>
  <c r="K86" i="13"/>
  <c r="J86" i="13"/>
  <c r="I86" i="13"/>
  <c r="G86" i="13"/>
  <c r="F86" i="13"/>
  <c r="E86" i="13"/>
  <c r="D86" i="13"/>
  <c r="O90" i="13"/>
  <c r="O86" i="13"/>
  <c r="H90" i="13"/>
  <c r="H86" i="13" s="1"/>
  <c r="M95" i="13"/>
  <c r="R95" i="13"/>
  <c r="M94" i="13"/>
  <c r="R94" i="13" s="1"/>
  <c r="M93" i="13"/>
  <c r="R93" i="13"/>
  <c r="M92" i="13"/>
  <c r="R92" i="13" s="1"/>
  <c r="M91" i="13"/>
  <c r="R91" i="13"/>
  <c r="M89" i="13"/>
  <c r="R89" i="13" s="1"/>
  <c r="M88" i="13"/>
  <c r="R88" i="13"/>
  <c r="M87" i="13"/>
  <c r="M80" i="13"/>
  <c r="R80" i="13"/>
  <c r="M79" i="13"/>
  <c r="R79" i="13"/>
  <c r="B29" i="1"/>
  <c r="I72" i="13"/>
  <c r="N72" i="13"/>
  <c r="L72" i="13"/>
  <c r="D72" i="13"/>
  <c r="M90" i="13"/>
  <c r="R90" i="13" s="1"/>
  <c r="O32" i="13"/>
  <c r="C32" i="13"/>
  <c r="P31" i="13"/>
  <c r="N31" i="13"/>
  <c r="L31" i="13"/>
  <c r="K31" i="13"/>
  <c r="J31" i="13"/>
  <c r="I31" i="13"/>
  <c r="G31" i="13"/>
  <c r="F31" i="13"/>
  <c r="E31" i="13"/>
  <c r="D31" i="13"/>
  <c r="C31" i="13"/>
  <c r="P30" i="13"/>
  <c r="N30" i="13"/>
  <c r="L30" i="13"/>
  <c r="K30" i="13"/>
  <c r="J30" i="13"/>
  <c r="I30" i="13"/>
  <c r="G30" i="13"/>
  <c r="F30" i="13"/>
  <c r="E30" i="13"/>
  <c r="D30" i="13"/>
  <c r="C30" i="13"/>
  <c r="P29" i="13"/>
  <c r="N29" i="13"/>
  <c r="L29" i="13"/>
  <c r="K29" i="13"/>
  <c r="J29" i="13"/>
  <c r="I29" i="13"/>
  <c r="G29" i="13"/>
  <c r="F29" i="13"/>
  <c r="E29" i="13"/>
  <c r="D29" i="13"/>
  <c r="C29" i="13"/>
  <c r="P28" i="13"/>
  <c r="N28" i="13"/>
  <c r="L28" i="13"/>
  <c r="K28" i="13"/>
  <c r="J28" i="13"/>
  <c r="I28" i="13"/>
  <c r="G28" i="13"/>
  <c r="F28" i="13"/>
  <c r="E28" i="13"/>
  <c r="D28" i="13"/>
  <c r="C28" i="13"/>
  <c r="C27" i="13"/>
  <c r="P26" i="13"/>
  <c r="O26" i="13"/>
  <c r="N26" i="13"/>
  <c r="C26" i="13"/>
  <c r="P25" i="13"/>
  <c r="O25" i="13"/>
  <c r="N25" i="13"/>
  <c r="C25" i="13"/>
  <c r="P24" i="13"/>
  <c r="O24" i="13"/>
  <c r="N24" i="13"/>
  <c r="K24" i="13"/>
  <c r="C24" i="13"/>
  <c r="C23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P20" i="13"/>
  <c r="O20" i="13"/>
  <c r="N20" i="13"/>
  <c r="L20" i="13"/>
  <c r="K20" i="13"/>
  <c r="J20" i="13"/>
  <c r="I20" i="13"/>
  <c r="H20" i="13"/>
  <c r="G20" i="13"/>
  <c r="D20" i="13"/>
  <c r="C20" i="13"/>
  <c r="P19" i="13"/>
  <c r="O19" i="13"/>
  <c r="C19" i="13"/>
  <c r="C18" i="13"/>
  <c r="P16" i="13"/>
  <c r="O16" i="13"/>
  <c r="N16" i="13"/>
  <c r="L16" i="13"/>
  <c r="K16" i="13"/>
  <c r="J16" i="13"/>
  <c r="I16" i="13"/>
  <c r="H16" i="13"/>
  <c r="G16" i="13"/>
  <c r="F16" i="13"/>
  <c r="E16" i="13"/>
  <c r="D16" i="13"/>
  <c r="C16" i="13"/>
  <c r="P15" i="13"/>
  <c r="O15" i="13"/>
  <c r="C15" i="13"/>
  <c r="C14" i="13"/>
  <c r="C11" i="13"/>
  <c r="C10" i="13"/>
  <c r="C5" i="13"/>
  <c r="C6" i="13"/>
  <c r="M26" i="9"/>
  <c r="M16" i="9"/>
  <c r="M12" i="9"/>
  <c r="M48" i="13" s="1"/>
  <c r="C8" i="13"/>
  <c r="E21" i="12"/>
  <c r="D21" i="12"/>
  <c r="C21" i="12"/>
  <c r="B21" i="12"/>
  <c r="L15" i="11"/>
  <c r="K15" i="11"/>
  <c r="H15" i="11"/>
  <c r="G15" i="11"/>
  <c r="D15" i="11"/>
  <c r="C15" i="11"/>
  <c r="C13" i="1"/>
  <c r="D13" i="1"/>
  <c r="E13" i="1"/>
  <c r="F13" i="1"/>
  <c r="G13" i="1"/>
  <c r="H13" i="1"/>
  <c r="I13" i="1"/>
  <c r="J13" i="1"/>
  <c r="K13" i="1"/>
  <c r="L13" i="1"/>
  <c r="B13" i="1"/>
  <c r="J12" i="4"/>
  <c r="J35" i="4" s="1"/>
  <c r="AC6" i="8"/>
  <c r="AC8" i="8"/>
  <c r="AC9" i="8"/>
  <c r="AC11" i="8"/>
  <c r="AC14" i="8"/>
  <c r="Z6" i="8"/>
  <c r="AA6" i="8" s="1"/>
  <c r="Z7" i="8"/>
  <c r="AA7" i="8" s="1"/>
  <c r="Z8" i="8"/>
  <c r="AA8" i="8" s="1"/>
  <c r="AA28" i="8" s="1"/>
  <c r="Z9" i="8"/>
  <c r="AA9" i="8" s="1"/>
  <c r="Z10" i="8"/>
  <c r="AA10" i="8" s="1"/>
  <c r="Z11" i="8"/>
  <c r="AA11" i="8" s="1"/>
  <c r="Z12" i="8"/>
  <c r="AA12" i="8" s="1"/>
  <c r="Z13" i="8"/>
  <c r="AA13" i="8" s="1"/>
  <c r="Z14" i="8"/>
  <c r="AA14" i="8" s="1"/>
  <c r="V12" i="8"/>
  <c r="S12" i="8"/>
  <c r="P12" i="8"/>
  <c r="AX5" i="8"/>
  <c r="AX8" i="8"/>
  <c r="AX9" i="8"/>
  <c r="AX10" i="8"/>
  <c r="AX11" i="8"/>
  <c r="AX12" i="8"/>
  <c r="AW13" i="8"/>
  <c r="C6" i="8"/>
  <c r="D6" i="8" s="1"/>
  <c r="C26" i="8"/>
  <c r="C7" i="8"/>
  <c r="C8" i="8"/>
  <c r="D8" i="8" s="1"/>
  <c r="C9" i="8"/>
  <c r="C10" i="8"/>
  <c r="C11" i="8"/>
  <c r="C12" i="8"/>
  <c r="H12" i="8" s="1"/>
  <c r="G12" i="8" s="1"/>
  <c r="K12" i="8" s="1"/>
  <c r="C13" i="8"/>
  <c r="C14" i="8"/>
  <c r="D14" i="8" s="1"/>
  <c r="AE19" i="8"/>
  <c r="AC19" i="8"/>
  <c r="AA19" i="8"/>
  <c r="X19" i="8"/>
  <c r="U19" i="8"/>
  <c r="R19" i="8"/>
  <c r="AO18" i="8"/>
  <c r="AN18" i="8"/>
  <c r="AN15" i="8"/>
  <c r="AK15" i="8"/>
  <c r="AH15" i="8"/>
  <c r="AG15" i="8"/>
  <c r="Y15" i="8"/>
  <c r="Z5" i="8"/>
  <c r="AA5" i="8" s="1"/>
  <c r="C15" i="7"/>
  <c r="D15" i="7"/>
  <c r="B15" i="7"/>
  <c r="E13" i="7"/>
  <c r="D14" i="5"/>
  <c r="D32" i="5" s="1"/>
  <c r="B13" i="5"/>
  <c r="D12" i="6"/>
  <c r="E12" i="6"/>
  <c r="F12" i="6"/>
  <c r="I12" i="6"/>
  <c r="N12" i="6"/>
  <c r="S12" i="6"/>
  <c r="T12" i="6" s="1"/>
  <c r="U12" i="6" s="1"/>
  <c r="U29" i="6" s="1"/>
  <c r="D13" i="6"/>
  <c r="I13" i="6"/>
  <c r="N13" i="6"/>
  <c r="S13" i="6"/>
  <c r="T13" i="6"/>
  <c r="T30" i="6" s="1"/>
  <c r="U13" i="6"/>
  <c r="U30" i="6" s="1"/>
  <c r="Q14" i="6"/>
  <c r="M14" i="6"/>
  <c r="L14" i="6"/>
  <c r="H14" i="6"/>
  <c r="G14" i="6"/>
  <c r="B14" i="6"/>
  <c r="S10" i="6"/>
  <c r="N10" i="6"/>
  <c r="I10" i="6"/>
  <c r="I27" i="6" s="1"/>
  <c r="D10" i="6"/>
  <c r="S9" i="6"/>
  <c r="N9" i="6"/>
  <c r="O9" i="6"/>
  <c r="O26" i="6" s="1"/>
  <c r="I9" i="6"/>
  <c r="D9" i="6"/>
  <c r="S8" i="6"/>
  <c r="N8" i="6"/>
  <c r="O8" i="6" s="1"/>
  <c r="O25" i="6" s="1"/>
  <c r="I8" i="6"/>
  <c r="D8" i="6"/>
  <c r="E8" i="6"/>
  <c r="S7" i="6"/>
  <c r="N7" i="6"/>
  <c r="O7" i="6"/>
  <c r="I7" i="6"/>
  <c r="D7" i="6"/>
  <c r="E7" i="6"/>
  <c r="S6" i="6"/>
  <c r="N6" i="6"/>
  <c r="O6" i="6"/>
  <c r="I6" i="6"/>
  <c r="J6" i="6"/>
  <c r="D6" i="6"/>
  <c r="S5" i="6"/>
  <c r="N5" i="6"/>
  <c r="I5" i="6"/>
  <c r="J5" i="6" s="1"/>
  <c r="D5" i="6"/>
  <c r="E5" i="6"/>
  <c r="S4" i="6"/>
  <c r="T4" i="6" s="1"/>
  <c r="N4" i="6"/>
  <c r="O4" i="6"/>
  <c r="I4" i="6"/>
  <c r="J4" i="6" s="1"/>
  <c r="J21" i="6" s="1"/>
  <c r="D4" i="6"/>
  <c r="D21" i="6" s="1"/>
  <c r="S3" i="6"/>
  <c r="N3" i="6"/>
  <c r="I3" i="6"/>
  <c r="D3" i="6"/>
  <c r="U2" i="6"/>
  <c r="P2" i="6"/>
  <c r="F16" i="5"/>
  <c r="G33" i="5"/>
  <c r="G34" i="5"/>
  <c r="AE11" i="2"/>
  <c r="AE12" i="2"/>
  <c r="N17" i="3"/>
  <c r="J13" i="3"/>
  <c r="L13" i="3"/>
  <c r="P13" i="3" s="1"/>
  <c r="J12" i="3"/>
  <c r="L12" i="3"/>
  <c r="J11" i="3"/>
  <c r="L11" i="3"/>
  <c r="P11" i="3" s="1"/>
  <c r="J10" i="3"/>
  <c r="L10" i="3"/>
  <c r="J9" i="3"/>
  <c r="L9" i="3"/>
  <c r="J8" i="3"/>
  <c r="L8" i="3"/>
  <c r="P8" i="3" s="1"/>
  <c r="J7" i="3"/>
  <c r="L7" i="3"/>
  <c r="P7" i="3" s="1"/>
  <c r="J6" i="3"/>
  <c r="G14" i="2"/>
  <c r="H14" i="2"/>
  <c r="I14" i="2"/>
  <c r="O11" i="2"/>
  <c r="O29" i="2"/>
  <c r="O12" i="2"/>
  <c r="O30" i="2"/>
  <c r="O13" i="2"/>
  <c r="O31" i="2"/>
  <c r="K5" i="2"/>
  <c r="K14" i="2" s="1"/>
  <c r="L5" i="2"/>
  <c r="M5" i="2"/>
  <c r="M23" i="2" s="1"/>
  <c r="K6" i="2"/>
  <c r="L6" i="2"/>
  <c r="E8" i="5"/>
  <c r="M6" i="2"/>
  <c r="M24" i="2"/>
  <c r="K7" i="2"/>
  <c r="L7" i="2"/>
  <c r="E9" i="5" s="1"/>
  <c r="E27" i="5" s="1"/>
  <c r="M7" i="2"/>
  <c r="M25" i="2" s="1"/>
  <c r="K8" i="2"/>
  <c r="L8" i="2"/>
  <c r="E10" i="5" s="1"/>
  <c r="M8" i="2"/>
  <c r="M26" i="2"/>
  <c r="K9" i="2"/>
  <c r="K27" i="2" s="1"/>
  <c r="L9" i="2"/>
  <c r="E11" i="5" s="1"/>
  <c r="M9" i="2"/>
  <c r="M27" i="2"/>
  <c r="K10" i="2"/>
  <c r="L10" i="2"/>
  <c r="E12" i="5"/>
  <c r="E30" i="5" s="1"/>
  <c r="M10" i="2"/>
  <c r="M28" i="2" s="1"/>
  <c r="K11" i="2"/>
  <c r="L11" i="2"/>
  <c r="M11" i="2"/>
  <c r="M29" i="2" s="1"/>
  <c r="K12" i="2"/>
  <c r="L12" i="2"/>
  <c r="M12" i="2"/>
  <c r="M30" i="2" s="1"/>
  <c r="K13" i="2"/>
  <c r="L13" i="2"/>
  <c r="M13" i="2"/>
  <c r="M31" i="2" s="1"/>
  <c r="M4" i="2"/>
  <c r="M22" i="2"/>
  <c r="L4" i="2"/>
  <c r="K4" i="2"/>
  <c r="J5" i="2"/>
  <c r="J6" i="2"/>
  <c r="J7" i="2"/>
  <c r="J8" i="2"/>
  <c r="J9" i="2"/>
  <c r="J10" i="2"/>
  <c r="J11" i="2"/>
  <c r="AJ11" i="2" s="1"/>
  <c r="H13" i="5" s="1"/>
  <c r="J12" i="2"/>
  <c r="J13" i="2"/>
  <c r="J4" i="2"/>
  <c r="J22" i="2" s="1"/>
  <c r="E5" i="2"/>
  <c r="F5" i="2"/>
  <c r="E6" i="2"/>
  <c r="AK6" i="2" s="1"/>
  <c r="F6" i="2"/>
  <c r="F24" i="2"/>
  <c r="E7" i="2"/>
  <c r="F7" i="2"/>
  <c r="F25" i="2" s="1"/>
  <c r="E8" i="2"/>
  <c r="F8" i="2"/>
  <c r="F26" i="2" s="1"/>
  <c r="E9" i="2"/>
  <c r="F9" i="2"/>
  <c r="F27" i="2"/>
  <c r="E10" i="2"/>
  <c r="F10" i="2"/>
  <c r="F28" i="2" s="1"/>
  <c r="E11" i="2"/>
  <c r="AK11" i="2" s="1"/>
  <c r="I13" i="5" s="1"/>
  <c r="K13" i="5" s="1"/>
  <c r="F11" i="2"/>
  <c r="E12" i="2"/>
  <c r="F12" i="2"/>
  <c r="E13" i="2"/>
  <c r="F13" i="2"/>
  <c r="F31" i="2" s="1"/>
  <c r="F4" i="2"/>
  <c r="F22" i="2"/>
  <c r="E4" i="2"/>
  <c r="E22" i="2"/>
  <c r="D4" i="2"/>
  <c r="C5" i="2"/>
  <c r="C23" i="2"/>
  <c r="D5" i="2"/>
  <c r="C6" i="2"/>
  <c r="C24" i="2"/>
  <c r="D6" i="2"/>
  <c r="C7" i="2"/>
  <c r="C25" i="2"/>
  <c r="D7" i="2"/>
  <c r="C8" i="2"/>
  <c r="C26" i="2" s="1"/>
  <c r="D8" i="2"/>
  <c r="C9" i="2"/>
  <c r="D9" i="2"/>
  <c r="C10" i="2"/>
  <c r="C28" i="2" s="1"/>
  <c r="D10" i="2"/>
  <c r="C11" i="2"/>
  <c r="C29" i="2" s="1"/>
  <c r="D11" i="2"/>
  <c r="C12" i="2"/>
  <c r="C30" i="2"/>
  <c r="D12" i="2"/>
  <c r="B12" i="12" s="1"/>
  <c r="B14" i="12" s="1"/>
  <c r="C13" i="2"/>
  <c r="C31" i="2" s="1"/>
  <c r="D13" i="2"/>
  <c r="B5" i="2"/>
  <c r="B23" i="2" s="1"/>
  <c r="B6" i="2"/>
  <c r="B24" i="2"/>
  <c r="B7" i="2"/>
  <c r="B25" i="2" s="1"/>
  <c r="B8" i="2"/>
  <c r="B26" i="2"/>
  <c r="B9" i="2"/>
  <c r="B27" i="2" s="1"/>
  <c r="B10" i="2"/>
  <c r="B28" i="2"/>
  <c r="B11" i="2"/>
  <c r="B29" i="2" s="1"/>
  <c r="B12" i="2"/>
  <c r="B30" i="2"/>
  <c r="B13" i="2"/>
  <c r="B31" i="2" s="1"/>
  <c r="C4" i="2"/>
  <c r="C22" i="2"/>
  <c r="B4" i="2"/>
  <c r="B22" i="2" s="1"/>
  <c r="W14" i="2"/>
  <c r="U21" i="2"/>
  <c r="V21" i="2"/>
  <c r="Q8" i="3"/>
  <c r="Q10" i="3"/>
  <c r="P10" i="3"/>
  <c r="Q11" i="3"/>
  <c r="P12" i="3"/>
  <c r="Q12" i="3"/>
  <c r="E15" i="5"/>
  <c r="E33" i="5" s="1"/>
  <c r="E13" i="5"/>
  <c r="E31" i="5"/>
  <c r="B8" i="5"/>
  <c r="T6" i="6"/>
  <c r="T23" i="6" s="1"/>
  <c r="B7" i="5"/>
  <c r="T5" i="6"/>
  <c r="B9" i="5"/>
  <c r="B27" i="5"/>
  <c r="T7" i="6"/>
  <c r="U7" i="6"/>
  <c r="B11" i="5"/>
  <c r="B29" i="5" s="1"/>
  <c r="T9" i="6"/>
  <c r="O13" i="6"/>
  <c r="V6" i="8"/>
  <c r="O5" i="6"/>
  <c r="I30" i="6"/>
  <c r="J13" i="6"/>
  <c r="S10" i="8"/>
  <c r="J9" i="6"/>
  <c r="J26" i="6" s="1"/>
  <c r="I29" i="6"/>
  <c r="J12" i="6"/>
  <c r="S9" i="8"/>
  <c r="J8" i="6"/>
  <c r="J10" i="6"/>
  <c r="D30" i="6"/>
  <c r="E13" i="6"/>
  <c r="F13" i="6" s="1"/>
  <c r="F30" i="6" s="1"/>
  <c r="E4" i="6"/>
  <c r="P7" i="8"/>
  <c r="P27" i="8" s="1"/>
  <c r="E6" i="6"/>
  <c r="P11" i="8"/>
  <c r="E10" i="6"/>
  <c r="E27" i="6" s="1"/>
  <c r="J20" i="6"/>
  <c r="I20" i="6"/>
  <c r="S13" i="8"/>
  <c r="O20" i="6"/>
  <c r="N20" i="6"/>
  <c r="O24" i="6"/>
  <c r="N24" i="6"/>
  <c r="N26" i="6"/>
  <c r="P5" i="8"/>
  <c r="J22" i="6"/>
  <c r="I22" i="6"/>
  <c r="I24" i="6"/>
  <c r="T20" i="6"/>
  <c r="S20" i="6"/>
  <c r="P14" i="8"/>
  <c r="P34" i="8"/>
  <c r="E25" i="6"/>
  <c r="D25" i="6"/>
  <c r="I23" i="6"/>
  <c r="I25" i="6"/>
  <c r="V10" i="8"/>
  <c r="O21" i="6"/>
  <c r="N21" i="6"/>
  <c r="O23" i="6"/>
  <c r="N23" i="6"/>
  <c r="S7" i="8"/>
  <c r="S27" i="8"/>
  <c r="V9" i="8"/>
  <c r="W9" i="8" s="1"/>
  <c r="P9" i="8"/>
  <c r="Q9" i="8" s="1"/>
  <c r="S6" i="8"/>
  <c r="S26" i="8"/>
  <c r="V8" i="8"/>
  <c r="V28" i="8" s="1"/>
  <c r="D27" i="6"/>
  <c r="E20" i="6"/>
  <c r="D20" i="6"/>
  <c r="S14" i="8"/>
  <c r="S34" i="8" s="1"/>
  <c r="V5" i="8"/>
  <c r="V7" i="8"/>
  <c r="D28" i="2"/>
  <c r="D24" i="2"/>
  <c r="AK13" i="2"/>
  <c r="E31" i="2"/>
  <c r="AK9" i="2"/>
  <c r="E27" i="2"/>
  <c r="AK5" i="2"/>
  <c r="E23" i="2"/>
  <c r="AJ7" i="2"/>
  <c r="H9" i="5" s="1"/>
  <c r="J9" i="5" s="1"/>
  <c r="J25" i="2"/>
  <c r="D13" i="12"/>
  <c r="K31" i="2"/>
  <c r="L28" i="2"/>
  <c r="AJ6" i="2"/>
  <c r="J24" i="2"/>
  <c r="K28" i="2"/>
  <c r="B13" i="12"/>
  <c r="B31" i="12" s="1"/>
  <c r="D31" i="2"/>
  <c r="D27" i="2"/>
  <c r="D23" i="2"/>
  <c r="AK12" i="2"/>
  <c r="E30" i="2"/>
  <c r="AK8" i="2"/>
  <c r="E26" i="2"/>
  <c r="AJ13" i="2"/>
  <c r="J31" i="2"/>
  <c r="AJ5" i="2"/>
  <c r="J23" i="2"/>
  <c r="K25" i="2"/>
  <c r="D29" i="2"/>
  <c r="E28" i="5"/>
  <c r="L26" i="2"/>
  <c r="AJ12" i="2"/>
  <c r="AJ30" i="2" s="1"/>
  <c r="J30" i="2"/>
  <c r="D4" i="12"/>
  <c r="E4" i="12"/>
  <c r="E22" i="12" s="1"/>
  <c r="K22" i="2"/>
  <c r="D12" i="12"/>
  <c r="E12" i="12"/>
  <c r="L21" i="9" s="1"/>
  <c r="L57" i="13" s="1"/>
  <c r="K30" i="2"/>
  <c r="E29" i="5"/>
  <c r="L27" i="2"/>
  <c r="D11" i="12"/>
  <c r="E11" i="12"/>
  <c r="K29" i="2"/>
  <c r="T12" i="2"/>
  <c r="T30" i="2"/>
  <c r="F30" i="2"/>
  <c r="D26" i="2"/>
  <c r="D22" i="2"/>
  <c r="E29" i="2"/>
  <c r="AK7" i="2"/>
  <c r="I9" i="5" s="1"/>
  <c r="K9" i="5" s="1"/>
  <c r="E25" i="2"/>
  <c r="E26" i="5"/>
  <c r="L24" i="2"/>
  <c r="D25" i="2"/>
  <c r="L29" i="2"/>
  <c r="K24" i="2"/>
  <c r="AJ9" i="2"/>
  <c r="J27" i="2"/>
  <c r="AK10" i="2"/>
  <c r="I12" i="5" s="1"/>
  <c r="K12" i="5" s="1"/>
  <c r="E28" i="2"/>
  <c r="AJ8" i="2"/>
  <c r="J26" i="2"/>
  <c r="L31" i="2"/>
  <c r="K26" i="2"/>
  <c r="B26" i="5"/>
  <c r="T24" i="6"/>
  <c r="S24" i="6"/>
  <c r="S22" i="6"/>
  <c r="S26" i="6"/>
  <c r="T21" i="6"/>
  <c r="S21" i="6"/>
  <c r="S23" i="6"/>
  <c r="B6" i="5"/>
  <c r="T29" i="6"/>
  <c r="S29" i="6"/>
  <c r="S30" i="6"/>
  <c r="E29" i="6"/>
  <c r="D29" i="6"/>
  <c r="P13" i="8"/>
  <c r="Q13" i="8"/>
  <c r="R13" i="8"/>
  <c r="O22" i="6"/>
  <c r="N22" i="6"/>
  <c r="I26" i="6"/>
  <c r="S5" i="8"/>
  <c r="T5" i="8" s="1"/>
  <c r="T25" i="8" s="1"/>
  <c r="S25" i="8"/>
  <c r="E24" i="6"/>
  <c r="D24" i="6"/>
  <c r="P8" i="8"/>
  <c r="Q8" i="8"/>
  <c r="R8" i="8" s="1"/>
  <c r="D23" i="6"/>
  <c r="E22" i="6"/>
  <c r="D22" i="6"/>
  <c r="P6" i="8"/>
  <c r="Q6" i="8" s="1"/>
  <c r="K12" i="6"/>
  <c r="K29" i="6"/>
  <c r="J29" i="6"/>
  <c r="B28" i="12"/>
  <c r="B24" i="12"/>
  <c r="D28" i="12"/>
  <c r="C31" i="12"/>
  <c r="B27" i="12"/>
  <c r="D25" i="12"/>
  <c r="D22" i="12"/>
  <c r="B22" i="12"/>
  <c r="D27" i="12"/>
  <c r="D24" i="12"/>
  <c r="D26" i="12"/>
  <c r="B31" i="5"/>
  <c r="C28" i="8"/>
  <c r="Q12" i="8"/>
  <c r="R12" i="8"/>
  <c r="P32" i="8"/>
  <c r="Q7" i="8"/>
  <c r="R7" i="8"/>
  <c r="W8" i="8"/>
  <c r="X8" i="8"/>
  <c r="C27" i="8"/>
  <c r="W12" i="8"/>
  <c r="X12" i="8" s="1"/>
  <c r="V32" i="8"/>
  <c r="AA34" i="8"/>
  <c r="Z34" i="8"/>
  <c r="AA27" i="8"/>
  <c r="AA35" i="8" s="1"/>
  <c r="Z27" i="8"/>
  <c r="T6" i="8"/>
  <c r="U6" i="8" s="1"/>
  <c r="U26" i="8" s="1"/>
  <c r="AA33" i="8"/>
  <c r="Z33" i="8"/>
  <c r="AA26" i="8"/>
  <c r="Z26" i="8"/>
  <c r="D34" i="8"/>
  <c r="R9" i="8"/>
  <c r="P29" i="8"/>
  <c r="S33" i="8"/>
  <c r="W10" i="8"/>
  <c r="X10" i="8" s="1"/>
  <c r="X30" i="8" s="1"/>
  <c r="V30" i="8"/>
  <c r="AA32" i="8"/>
  <c r="C32" i="8"/>
  <c r="T12" i="8"/>
  <c r="U12" i="8" s="1"/>
  <c r="U32" i="8" s="1"/>
  <c r="S32" i="8"/>
  <c r="AA25" i="8"/>
  <c r="Z25" i="8"/>
  <c r="C31" i="8"/>
  <c r="D26" i="8"/>
  <c r="AA31" i="8"/>
  <c r="Z31" i="8"/>
  <c r="AA30" i="8"/>
  <c r="Z30" i="8"/>
  <c r="C29" i="8"/>
  <c r="Q14" i="8"/>
  <c r="R14" i="8" s="1"/>
  <c r="R34" i="8" s="1"/>
  <c r="T9" i="8"/>
  <c r="U9" i="8"/>
  <c r="U29" i="8" s="1"/>
  <c r="S29" i="8"/>
  <c r="W6" i="8"/>
  <c r="X6" i="8" s="1"/>
  <c r="V26" i="8"/>
  <c r="AA29" i="8"/>
  <c r="Z29" i="8"/>
  <c r="O6" i="2"/>
  <c r="O24" i="2" s="1"/>
  <c r="U9" i="2"/>
  <c r="U43" i="2"/>
  <c r="U42" i="2"/>
  <c r="U41" i="2"/>
  <c r="U40" i="2"/>
  <c r="U24" i="2" s="1"/>
  <c r="U39" i="2"/>
  <c r="U38" i="2"/>
  <c r="U48" i="2" s="1"/>
  <c r="U44" i="2"/>
  <c r="U45" i="2"/>
  <c r="D21" i="9"/>
  <c r="D57" i="13" s="1"/>
  <c r="E6" i="7"/>
  <c r="D7" i="5"/>
  <c r="D25" i="5"/>
  <c r="E7" i="7"/>
  <c r="D8" i="5" s="1"/>
  <c r="D26" i="5" s="1"/>
  <c r="O7" i="2"/>
  <c r="O10" i="2"/>
  <c r="T13" i="8"/>
  <c r="U13" i="8"/>
  <c r="AU6" i="8"/>
  <c r="AX6" i="8"/>
  <c r="B14" i="5"/>
  <c r="B15" i="5"/>
  <c r="AU13" i="8"/>
  <c r="AX13" i="8"/>
  <c r="AX7" i="8"/>
  <c r="AO15" i="8"/>
  <c r="AD15" i="8"/>
  <c r="Z15" i="8"/>
  <c r="AP15" i="8"/>
  <c r="B15" i="8"/>
  <c r="E5" i="7"/>
  <c r="D6" i="5"/>
  <c r="D24" i="5" s="1"/>
  <c r="E8" i="7"/>
  <c r="D9" i="5"/>
  <c r="D27" i="5"/>
  <c r="E9" i="7"/>
  <c r="D10" i="5" s="1"/>
  <c r="D28" i="5" s="1"/>
  <c r="E10" i="7"/>
  <c r="D11" i="5" s="1"/>
  <c r="D29" i="5" s="1"/>
  <c r="E11" i="7"/>
  <c r="E14" i="7"/>
  <c r="D15" i="5" s="1"/>
  <c r="D33" i="5" s="1"/>
  <c r="E12" i="7"/>
  <c r="D13" i="5" s="1"/>
  <c r="D31" i="5"/>
  <c r="I14" i="6"/>
  <c r="E21" i="6"/>
  <c r="G16" i="5"/>
  <c r="O9" i="2"/>
  <c r="O4" i="2"/>
  <c r="T13" i="2"/>
  <c r="T31" i="2" s="1"/>
  <c r="O8" i="2"/>
  <c r="O5" i="2"/>
  <c r="U11" i="2"/>
  <c r="O17" i="3"/>
  <c r="U7" i="2"/>
  <c r="U10" i="2"/>
  <c r="P14" i="2"/>
  <c r="B14" i="2"/>
  <c r="R14" i="2"/>
  <c r="E14" i="2"/>
  <c r="M14" i="2"/>
  <c r="U8" i="2"/>
  <c r="N14" i="2"/>
  <c r="Q14" i="2"/>
  <c r="D14" i="2"/>
  <c r="U4" i="2"/>
  <c r="U5" i="2"/>
  <c r="U6" i="2"/>
  <c r="D29" i="12"/>
  <c r="D30" i="12"/>
  <c r="E13" i="12"/>
  <c r="E31" i="12" s="1"/>
  <c r="T22" i="6"/>
  <c r="P33" i="8"/>
  <c r="D31" i="12"/>
  <c r="D14" i="12"/>
  <c r="T7" i="8"/>
  <c r="B29" i="12"/>
  <c r="B23" i="12"/>
  <c r="D23" i="12"/>
  <c r="P25" i="8"/>
  <c r="Q5" i="8"/>
  <c r="T14" i="8"/>
  <c r="U14" i="8" s="1"/>
  <c r="U34" i="8" s="1"/>
  <c r="V25" i="8"/>
  <c r="W5" i="8"/>
  <c r="B25" i="12"/>
  <c r="B26" i="12"/>
  <c r="C30" i="12"/>
  <c r="L22" i="9"/>
  <c r="L58" i="13" s="1"/>
  <c r="H7" i="5"/>
  <c r="J7" i="5"/>
  <c r="J25" i="5" s="1"/>
  <c r="AJ23" i="2"/>
  <c r="AK28" i="2"/>
  <c r="AK29" i="2"/>
  <c r="I15" i="5"/>
  <c r="AK31" i="2"/>
  <c r="I11" i="5"/>
  <c r="K11" i="5"/>
  <c r="AK27" i="2"/>
  <c r="B30" i="12"/>
  <c r="H15" i="5"/>
  <c r="J15" i="5" s="1"/>
  <c r="AJ31" i="2"/>
  <c r="AJ25" i="2"/>
  <c r="H14" i="5"/>
  <c r="J14" i="5" s="1"/>
  <c r="L14" i="5" s="1"/>
  <c r="L32" i="5" s="1"/>
  <c r="I10" i="5"/>
  <c r="K10" i="5" s="1"/>
  <c r="AK26" i="2"/>
  <c r="AJ29" i="2"/>
  <c r="AK25" i="2"/>
  <c r="H10" i="5"/>
  <c r="H28" i="5" s="1"/>
  <c r="J10" i="5"/>
  <c r="L10" i="5" s="1"/>
  <c r="AJ26" i="2"/>
  <c r="I14" i="5"/>
  <c r="K14" i="5"/>
  <c r="AK30" i="2"/>
  <c r="U23" i="2"/>
  <c r="U27" i="2"/>
  <c r="P26" i="8"/>
  <c r="P28" i="8"/>
  <c r="O23" i="2"/>
  <c r="T7" i="2"/>
  <c r="T25" i="2" s="1"/>
  <c r="O25" i="2"/>
  <c r="T8" i="2"/>
  <c r="T26" i="2" s="1"/>
  <c r="O26" i="2"/>
  <c r="U28" i="2"/>
  <c r="T10" i="2"/>
  <c r="O28" i="2"/>
  <c r="T6" i="2"/>
  <c r="T24" i="2"/>
  <c r="E30" i="12"/>
  <c r="K21" i="9"/>
  <c r="K25" i="13" s="1"/>
  <c r="K57" i="13"/>
  <c r="E29" i="12"/>
  <c r="B32" i="5"/>
  <c r="B33" i="5"/>
  <c r="R28" i="8"/>
  <c r="W30" i="8"/>
  <c r="X28" i="8"/>
  <c r="W28" i="8"/>
  <c r="AE25" i="8"/>
  <c r="U33" i="8"/>
  <c r="T33" i="8"/>
  <c r="AA15" i="8"/>
  <c r="R33" i="8"/>
  <c r="D28" i="8"/>
  <c r="W26" i="8"/>
  <c r="T26" i="8"/>
  <c r="R27" i="8"/>
  <c r="R29" i="8"/>
  <c r="R32" i="8"/>
  <c r="AQ15" i="8"/>
  <c r="T32" i="8"/>
  <c r="X32" i="8"/>
  <c r="W32" i="8"/>
  <c r="T29" i="8"/>
  <c r="D25" i="13"/>
  <c r="C5" i="8"/>
  <c r="C25" i="8" s="1"/>
  <c r="B19" i="7"/>
  <c r="B20" i="7"/>
  <c r="K3" i="6"/>
  <c r="K20" i="6" s="1"/>
  <c r="K5" i="6"/>
  <c r="K22" i="6"/>
  <c r="K4" i="6"/>
  <c r="K21" i="6"/>
  <c r="K6" i="6"/>
  <c r="K8" i="6"/>
  <c r="K9" i="6"/>
  <c r="K26" i="6"/>
  <c r="P8" i="6"/>
  <c r="P25" i="6" s="1"/>
  <c r="P6" i="6"/>
  <c r="P23" i="6"/>
  <c r="P4" i="6"/>
  <c r="P21" i="6"/>
  <c r="P5" i="6"/>
  <c r="P22" i="6"/>
  <c r="P7" i="6"/>
  <c r="P24" i="6" s="1"/>
  <c r="P9" i="6"/>
  <c r="P26" i="6"/>
  <c r="P3" i="6"/>
  <c r="P20" i="6"/>
  <c r="F4" i="6"/>
  <c r="F21" i="6"/>
  <c r="O5" i="3"/>
  <c r="N5" i="3"/>
  <c r="AA14" i="2"/>
  <c r="AJ4" i="2"/>
  <c r="AK4" i="2"/>
  <c r="D32" i="12"/>
  <c r="E8" i="12"/>
  <c r="I21" i="9" s="1"/>
  <c r="I25" i="13" s="1"/>
  <c r="E9" i="12"/>
  <c r="E7" i="12"/>
  <c r="E25" i="12" s="1"/>
  <c r="E6" i="12"/>
  <c r="E5" i="12"/>
  <c r="E21" i="9" s="1"/>
  <c r="E10" i="12"/>
  <c r="H21" i="9" s="1"/>
  <c r="H57" i="13" s="1"/>
  <c r="W25" i="8"/>
  <c r="X5" i="8"/>
  <c r="T27" i="8"/>
  <c r="U7" i="8"/>
  <c r="U27" i="8" s="1"/>
  <c r="T34" i="8"/>
  <c r="R5" i="8"/>
  <c r="C4" i="12"/>
  <c r="C11" i="12"/>
  <c r="C29" i="12"/>
  <c r="C8" i="12"/>
  <c r="C26" i="12" s="1"/>
  <c r="C7" i="12"/>
  <c r="G22" i="9" s="1"/>
  <c r="G26" i="13" s="1"/>
  <c r="C6" i="12"/>
  <c r="F22" i="9" s="1"/>
  <c r="C5" i="12"/>
  <c r="L25" i="13"/>
  <c r="L26" i="13"/>
  <c r="I30" i="5"/>
  <c r="I27" i="5"/>
  <c r="H32" i="5"/>
  <c r="H33" i="5"/>
  <c r="J33" i="5"/>
  <c r="I29" i="5"/>
  <c r="J32" i="5"/>
  <c r="H25" i="5"/>
  <c r="H27" i="5"/>
  <c r="I33" i="5"/>
  <c r="AJ22" i="2"/>
  <c r="I32" i="5"/>
  <c r="I6" i="5"/>
  <c r="K6" i="5" s="1"/>
  <c r="AK22" i="2"/>
  <c r="I31" i="5"/>
  <c r="J28" i="5"/>
  <c r="I28" i="5"/>
  <c r="X26" i="8"/>
  <c r="C15" i="8"/>
  <c r="F7" i="6"/>
  <c r="F24" i="6"/>
  <c r="F10" i="6"/>
  <c r="F27" i="6" s="1"/>
  <c r="F5" i="6"/>
  <c r="F22" i="6"/>
  <c r="F8" i="6"/>
  <c r="F25" i="6"/>
  <c r="F3" i="6"/>
  <c r="F20" i="6"/>
  <c r="U3" i="6"/>
  <c r="U20" i="6" s="1"/>
  <c r="U24" i="6"/>
  <c r="U4" i="6"/>
  <c r="U21" i="6"/>
  <c r="AE7" i="2"/>
  <c r="AE6" i="2"/>
  <c r="AE8" i="2"/>
  <c r="AE4" i="2"/>
  <c r="AE10" i="2"/>
  <c r="AE9" i="2"/>
  <c r="AE13" i="2"/>
  <c r="AE5" i="2"/>
  <c r="I24" i="5"/>
  <c r="K24" i="5"/>
  <c r="F21" i="9"/>
  <c r="F25" i="13" s="1"/>
  <c r="E24" i="12"/>
  <c r="G21" i="9"/>
  <c r="G57" i="13" s="1"/>
  <c r="K22" i="9"/>
  <c r="E27" i="12"/>
  <c r="J21" i="9"/>
  <c r="J57" i="13" s="1"/>
  <c r="E26" i="12"/>
  <c r="C24" i="12"/>
  <c r="I22" i="9"/>
  <c r="I26" i="13" s="1"/>
  <c r="C25" i="12"/>
  <c r="E22" i="9"/>
  <c r="C23" i="12"/>
  <c r="K31" i="5"/>
  <c r="K32" i="5"/>
  <c r="K28" i="5"/>
  <c r="K27" i="5"/>
  <c r="K33" i="5"/>
  <c r="L15" i="5"/>
  <c r="K30" i="5"/>
  <c r="K29" i="5"/>
  <c r="V48" i="2"/>
  <c r="D19" i="8"/>
  <c r="I57" i="13"/>
  <c r="F57" i="13"/>
  <c r="J25" i="13"/>
  <c r="G25" i="13"/>
  <c r="G58" i="13"/>
  <c r="I58" i="13"/>
  <c r="F58" i="13"/>
  <c r="F26" i="13"/>
  <c r="L28" i="5"/>
  <c r="L33" i="5"/>
  <c r="AD48" i="2"/>
  <c r="M49" i="4"/>
  <c r="N49" i="4"/>
  <c r="O49" i="4" s="1"/>
  <c r="M45" i="4"/>
  <c r="N45" i="4"/>
  <c r="O45" i="4" s="1"/>
  <c r="M50" i="4"/>
  <c r="N50" i="4"/>
  <c r="O50" i="4" s="1"/>
  <c r="M48" i="4"/>
  <c r="N48" i="4" s="1"/>
  <c r="O48" i="4" s="1"/>
  <c r="M44" i="4"/>
  <c r="N44" i="4" s="1"/>
  <c r="O44" i="4" s="1"/>
  <c r="M46" i="4"/>
  <c r="N46" i="4"/>
  <c r="O46" i="4" s="1"/>
  <c r="M47" i="4"/>
  <c r="N47" i="4"/>
  <c r="O47" i="4" s="1"/>
  <c r="M52" i="4"/>
  <c r="N52" i="4" s="1"/>
  <c r="O52" i="4" s="1"/>
  <c r="M51" i="4"/>
  <c r="N51" i="4" s="1"/>
  <c r="O51" i="4" s="1"/>
  <c r="M43" i="4"/>
  <c r="D6" i="3"/>
  <c r="D16" i="3" s="1"/>
  <c r="M83" i="13"/>
  <c r="F20" i="13"/>
  <c r="M82" i="13"/>
  <c r="M81" i="13" s="1"/>
  <c r="R82" i="13"/>
  <c r="E20" i="13"/>
  <c r="E81" i="13"/>
  <c r="E72" i="13" s="1"/>
  <c r="F81" i="13"/>
  <c r="F72" i="13"/>
  <c r="M20" i="13"/>
  <c r="R83" i="13"/>
  <c r="R81" i="13"/>
  <c r="M78" i="13"/>
  <c r="R78" i="13"/>
  <c r="G72" i="13"/>
  <c r="K22" i="1"/>
  <c r="K29" i="1" s="1"/>
  <c r="K23" i="1"/>
  <c r="K24" i="1"/>
  <c r="M74" i="13"/>
  <c r="R74" i="13"/>
  <c r="H72" i="13"/>
  <c r="M77" i="13"/>
  <c r="R77" i="13" s="1"/>
  <c r="M75" i="13"/>
  <c r="M73" i="13"/>
  <c r="R75" i="13"/>
  <c r="D22" i="9"/>
  <c r="D26" i="13" s="1"/>
  <c r="C22" i="12"/>
  <c r="N17" i="13" l="1"/>
  <c r="E19" i="10"/>
  <c r="N13" i="13"/>
  <c r="K21" i="13"/>
  <c r="E23" i="10"/>
  <c r="G8" i="10"/>
  <c r="N23" i="9"/>
  <c r="N27" i="13" s="1"/>
  <c r="N32" i="13"/>
  <c r="O17" i="13"/>
  <c r="N17" i="9"/>
  <c r="N53" i="13" s="1"/>
  <c r="O13" i="13"/>
  <c r="O7" i="9"/>
  <c r="O11" i="13" s="1"/>
  <c r="F23" i="10"/>
  <c r="E17" i="13"/>
  <c r="P17" i="13"/>
  <c r="F13" i="18"/>
  <c r="K23" i="9"/>
  <c r="K19" i="9" s="1"/>
  <c r="K23" i="13" s="1"/>
  <c r="I21" i="13"/>
  <c r="D17" i="13"/>
  <c r="L17" i="13"/>
  <c r="K13" i="13"/>
  <c r="E21" i="10"/>
  <c r="H21" i="13"/>
  <c r="N43" i="4"/>
  <c r="M53" i="4"/>
  <c r="J27" i="5"/>
  <c r="L9" i="5"/>
  <c r="L27" i="5" s="1"/>
  <c r="R73" i="13"/>
  <c r="J13" i="5"/>
  <c r="H31" i="5"/>
  <c r="D58" i="13"/>
  <c r="R6" i="8"/>
  <c r="Q26" i="8"/>
  <c r="W7" i="8"/>
  <c r="V27" i="8"/>
  <c r="E23" i="6"/>
  <c r="F6" i="6"/>
  <c r="P13" i="6"/>
  <c r="P30" i="6" s="1"/>
  <c r="O30" i="6"/>
  <c r="B25" i="5"/>
  <c r="H6" i="5"/>
  <c r="K25" i="6"/>
  <c r="B32" i="12"/>
  <c r="U26" i="2"/>
  <c r="I7" i="5"/>
  <c r="AK23" i="2"/>
  <c r="AK32" i="2" s="1"/>
  <c r="AK14" i="2"/>
  <c r="E6" i="5"/>
  <c r="L22" i="2"/>
  <c r="L14" i="2"/>
  <c r="N29" i="6"/>
  <c r="O12" i="6"/>
  <c r="V13" i="8"/>
  <c r="N14" i="6"/>
  <c r="O27" i="2"/>
  <c r="T9" i="2"/>
  <c r="O14" i="2"/>
  <c r="E40" i="10"/>
  <c r="L6" i="3"/>
  <c r="K26" i="13"/>
  <c r="K58" i="13"/>
  <c r="AE14" i="2"/>
  <c r="R25" i="8"/>
  <c r="AJ24" i="2"/>
  <c r="H8" i="5"/>
  <c r="E14" i="12"/>
  <c r="T28" i="2"/>
  <c r="J72" i="13"/>
  <c r="BH11" i="15"/>
  <c r="F11" i="15"/>
  <c r="E58" i="13"/>
  <c r="E26" i="13"/>
  <c r="F14" i="2"/>
  <c r="T5" i="2"/>
  <c r="F23" i="2"/>
  <c r="E15" i="7"/>
  <c r="D12" i="5"/>
  <c r="M21" i="9"/>
  <c r="U22" i="2"/>
  <c r="U14" i="2"/>
  <c r="J27" i="6"/>
  <c r="K10" i="6"/>
  <c r="K27" i="6" s="1"/>
  <c r="H25" i="13"/>
  <c r="E28" i="12"/>
  <c r="X25" i="8"/>
  <c r="F29" i="2"/>
  <c r="T11" i="2"/>
  <c r="I8" i="5"/>
  <c r="AK24" i="2"/>
  <c r="AJ10" i="2"/>
  <c r="AJ14" i="2" s="1"/>
  <c r="J28" i="2"/>
  <c r="M32" i="2"/>
  <c r="E7" i="5"/>
  <c r="E25" i="5" s="1"/>
  <c r="L23" i="2"/>
  <c r="P9" i="3"/>
  <c r="Q9" i="3"/>
  <c r="J7" i="6"/>
  <c r="S8" i="8"/>
  <c r="S15" i="8" s="1"/>
  <c r="T8" i="6"/>
  <c r="B10" i="5"/>
  <c r="S14" i="6"/>
  <c r="S25" i="6"/>
  <c r="O10" i="6"/>
  <c r="V11" i="8"/>
  <c r="N27" i="6"/>
  <c r="L23" i="5"/>
  <c r="M39" i="5"/>
  <c r="M23" i="5" s="1"/>
  <c r="K39" i="6"/>
  <c r="K23" i="6" s="1"/>
  <c r="J47" i="6"/>
  <c r="AE9" i="8"/>
  <c r="AD29" i="8"/>
  <c r="T4" i="2"/>
  <c r="O22" i="2"/>
  <c r="O32" i="2" s="1"/>
  <c r="N31" i="6"/>
  <c r="Q11" i="8"/>
  <c r="P31" i="8"/>
  <c r="U5" i="6"/>
  <c r="J14" i="2"/>
  <c r="J14" i="6"/>
  <c r="J23" i="6"/>
  <c r="E9" i="6"/>
  <c r="P10" i="8"/>
  <c r="D26" i="6"/>
  <c r="D31" i="6" s="1"/>
  <c r="D14" i="6"/>
  <c r="B12" i="5"/>
  <c r="T10" i="6"/>
  <c r="S27" i="6"/>
  <c r="M44" i="5"/>
  <c r="L50" i="5"/>
  <c r="E47" i="6"/>
  <c r="F39" i="6"/>
  <c r="F47" i="6" s="1"/>
  <c r="I16" i="5"/>
  <c r="U25" i="2"/>
  <c r="K23" i="2"/>
  <c r="K32" i="2" s="1"/>
  <c r="U9" i="6"/>
  <c r="U26" i="6" s="1"/>
  <c r="T26" i="6"/>
  <c r="U6" i="6"/>
  <c r="U23" i="6" s="1"/>
  <c r="B32" i="2"/>
  <c r="D13" i="8"/>
  <c r="H13" i="8"/>
  <c r="C33" i="8"/>
  <c r="B24" i="5"/>
  <c r="B16" i="5"/>
  <c r="C6" i="5"/>
  <c r="C7" i="5" s="1"/>
  <c r="W29" i="8"/>
  <c r="X9" i="8"/>
  <c r="X29" i="8" s="1"/>
  <c r="F32" i="2"/>
  <c r="D6" i="15"/>
  <c r="D16" i="15" s="1"/>
  <c r="BD16" i="15"/>
  <c r="E25" i="13"/>
  <c r="E57" i="13"/>
  <c r="U29" i="2"/>
  <c r="H11" i="5"/>
  <c r="AJ27" i="2"/>
  <c r="T10" i="8"/>
  <c r="S30" i="8"/>
  <c r="C10" i="12"/>
  <c r="C9" i="12"/>
  <c r="C27" i="2"/>
  <c r="C32" i="2" s="1"/>
  <c r="C14" i="2"/>
  <c r="AD51" i="8"/>
  <c r="AD25" i="8"/>
  <c r="AD35" i="8" s="1"/>
  <c r="E23" i="12"/>
  <c r="E32" i="12" s="1"/>
  <c r="U5" i="8"/>
  <c r="V29" i="8"/>
  <c r="S31" i="6"/>
  <c r="K13" i="6"/>
  <c r="K30" i="6" s="1"/>
  <c r="J30" i="6"/>
  <c r="Q13" i="3"/>
  <c r="L30" i="2"/>
  <c r="E14" i="5"/>
  <c r="E32" i="5" s="1"/>
  <c r="I21" i="6"/>
  <c r="I31" i="6" s="1"/>
  <c r="E24" i="2"/>
  <c r="E32" i="2" s="1"/>
  <c r="S11" i="8"/>
  <c r="Q7" i="3"/>
  <c r="AC28" i="8"/>
  <c r="M62" i="13"/>
  <c r="M30" i="13"/>
  <c r="K72" i="13"/>
  <c r="T51" i="8"/>
  <c r="Q49" i="8"/>
  <c r="Q33" i="8" s="1"/>
  <c r="Q48" i="8"/>
  <c r="Q32" i="8" s="1"/>
  <c r="J28" i="6"/>
  <c r="I25" i="14"/>
  <c r="I50" i="14"/>
  <c r="H62" i="13"/>
  <c r="H30" i="13"/>
  <c r="AR5" i="8"/>
  <c r="K4" i="4"/>
  <c r="D5" i="8"/>
  <c r="H5" i="8"/>
  <c r="V14" i="8"/>
  <c r="N30" i="6"/>
  <c r="H10" i="8"/>
  <c r="C30" i="8"/>
  <c r="D10" i="8"/>
  <c r="AL51" i="8"/>
  <c r="AC43" i="8"/>
  <c r="AC46" i="8"/>
  <c r="AC48" i="8"/>
  <c r="AC47" i="8"/>
  <c r="AC31" i="8" s="1"/>
  <c r="AC45" i="8"/>
  <c r="AC29" i="8" s="1"/>
  <c r="AC50" i="8"/>
  <c r="AC41" i="8"/>
  <c r="AC44" i="8"/>
  <c r="AL24" i="8"/>
  <c r="AM46" i="8"/>
  <c r="AM50" i="8"/>
  <c r="J25" i="6"/>
  <c r="K41" i="6"/>
  <c r="O28" i="6"/>
  <c r="P44" i="6"/>
  <c r="P28" i="6" s="1"/>
  <c r="AB30" i="8"/>
  <c r="AC10" i="8"/>
  <c r="AB5" i="8"/>
  <c r="I24" i="14"/>
  <c r="I16" i="14"/>
  <c r="C34" i="14"/>
  <c r="G34" i="14"/>
  <c r="L11" i="4"/>
  <c r="L14" i="4" s="1"/>
  <c r="AR12" i="8"/>
  <c r="J11" i="4" s="1"/>
  <c r="J34" i="4" s="1"/>
  <c r="L25" i="2"/>
  <c r="H9" i="8"/>
  <c r="D9" i="8"/>
  <c r="AC34" i="8"/>
  <c r="D29" i="1"/>
  <c r="AC42" i="8"/>
  <c r="AC26" i="8" s="1"/>
  <c r="D46" i="4"/>
  <c r="D53" i="4" s="1"/>
  <c r="AM45" i="8"/>
  <c r="AM41" i="8"/>
  <c r="AM51" i="8" s="1"/>
  <c r="E48" i="12"/>
  <c r="I32" i="14"/>
  <c r="I29" i="14"/>
  <c r="D34" i="14"/>
  <c r="B12" i="15"/>
  <c r="H12" i="15" s="1"/>
  <c r="E11" i="8" s="1"/>
  <c r="F11" i="8" s="1"/>
  <c r="BC10" i="15"/>
  <c r="C10" i="15" s="1"/>
  <c r="AV16" i="15"/>
  <c r="H7" i="15"/>
  <c r="E6" i="8" s="1"/>
  <c r="F6" i="8" s="1"/>
  <c r="J29" i="2"/>
  <c r="J32" i="2" s="1"/>
  <c r="D30" i="2"/>
  <c r="D32" i="2" s="1"/>
  <c r="N25" i="6"/>
  <c r="M86" i="13"/>
  <c r="M72" i="13" s="1"/>
  <c r="E38" i="10" s="1"/>
  <c r="R87" i="13"/>
  <c r="R86" i="13" s="1"/>
  <c r="O72" i="13"/>
  <c r="AB33" i="8"/>
  <c r="K10" i="4"/>
  <c r="AR11" i="8"/>
  <c r="J10" i="4" s="1"/>
  <c r="J33" i="4" s="1"/>
  <c r="E30" i="6"/>
  <c r="AC49" i="8"/>
  <c r="AC33" i="8" s="1"/>
  <c r="AB32" i="8"/>
  <c r="U47" i="6"/>
  <c r="AZ6" i="15"/>
  <c r="AP16" i="15"/>
  <c r="AX16" i="15"/>
  <c r="BE8" i="15"/>
  <c r="T28" i="6"/>
  <c r="U11" i="6"/>
  <c r="U28" i="6" s="1"/>
  <c r="M16" i="13"/>
  <c r="R12" i="9"/>
  <c r="M50" i="5"/>
  <c r="N45" i="5" s="1"/>
  <c r="Q14" i="3"/>
  <c r="P14" i="3"/>
  <c r="H60" i="13"/>
  <c r="H25" i="9"/>
  <c r="M24" i="9"/>
  <c r="H28" i="13"/>
  <c r="O53" i="13"/>
  <c r="O14" i="9"/>
  <c r="H29" i="1"/>
  <c r="E29" i="1"/>
  <c r="AG35" i="8"/>
  <c r="Q47" i="8"/>
  <c r="Q50" i="8"/>
  <c r="Q34" i="8" s="1"/>
  <c r="Q43" i="8"/>
  <c r="Q27" i="8" s="1"/>
  <c r="Q44" i="8"/>
  <c r="Q28" i="8" s="1"/>
  <c r="Q45" i="8"/>
  <c r="Q29" i="8" s="1"/>
  <c r="Q41" i="8"/>
  <c r="AC32" i="8"/>
  <c r="AB7" i="8"/>
  <c r="I26" i="14"/>
  <c r="F56" i="13"/>
  <c r="F24" i="13"/>
  <c r="K7" i="4"/>
  <c r="AR8" i="8"/>
  <c r="J7" i="4" s="1"/>
  <c r="J30" i="4" s="1"/>
  <c r="F16" i="16"/>
  <c r="O24" i="9"/>
  <c r="C50" i="13"/>
  <c r="H6" i="8"/>
  <c r="C34" i="8"/>
  <c r="Z32" i="8"/>
  <c r="BC16" i="15"/>
  <c r="B15" i="15"/>
  <c r="H15" i="15" s="1"/>
  <c r="E14" i="8" s="1"/>
  <c r="F14" i="8" s="1"/>
  <c r="BH15" i="15"/>
  <c r="AR6" i="8"/>
  <c r="J5" i="4" s="1"/>
  <c r="J28" i="4" s="1"/>
  <c r="H8" i="8"/>
  <c r="F21" i="10"/>
  <c r="H7" i="8"/>
  <c r="D7" i="8"/>
  <c r="E50" i="14"/>
  <c r="H11" i="15"/>
  <c r="E10" i="8" s="1"/>
  <c r="F10" i="8" s="1"/>
  <c r="AH16" i="15"/>
  <c r="D16" i="16"/>
  <c r="G45" i="18"/>
  <c r="H27" i="16"/>
  <c r="M117" i="13"/>
  <c r="H14" i="8"/>
  <c r="I14" i="17"/>
  <c r="G14" i="19"/>
  <c r="AR14" i="8"/>
  <c r="J13" i="4" s="1"/>
  <c r="J36" i="4" s="1"/>
  <c r="K13" i="4"/>
  <c r="I5" i="17"/>
  <c r="J5" i="17"/>
  <c r="K5" i="17" s="1"/>
  <c r="R16" i="9"/>
  <c r="M52" i="13"/>
  <c r="E25" i="14"/>
  <c r="C6" i="15"/>
  <c r="B8" i="15"/>
  <c r="BH10" i="15"/>
  <c r="B10" i="15"/>
  <c r="H10" i="15" s="1"/>
  <c r="E9" i="8" s="1"/>
  <c r="F9" i="8" s="1"/>
  <c r="BH9" i="15"/>
  <c r="B9" i="15"/>
  <c r="H9" i="15" s="1"/>
  <c r="E8" i="8" s="1"/>
  <c r="F8" i="8" s="1"/>
  <c r="AR9" i="8"/>
  <c r="J8" i="4" s="1"/>
  <c r="J31" i="4" s="1"/>
  <c r="F45" i="18"/>
  <c r="G13" i="18"/>
  <c r="M105" i="13"/>
  <c r="D11" i="8"/>
  <c r="H11" i="8"/>
  <c r="Z44" i="8"/>
  <c r="Z28" i="8" s="1"/>
  <c r="Z35" i="8" s="1"/>
  <c r="AW16" i="15"/>
  <c r="E16" i="16"/>
  <c r="C7" i="13"/>
  <c r="AR10" i="8"/>
  <c r="J9" i="4" s="1"/>
  <c r="J32" i="4" s="1"/>
  <c r="C29" i="10"/>
  <c r="E29" i="10" s="1"/>
  <c r="C9" i="10"/>
  <c r="G6" i="10"/>
  <c r="G9" i="10" s="1"/>
  <c r="G16" i="3"/>
  <c r="K6" i="3" s="1"/>
  <c r="R117" i="13"/>
  <c r="H103" i="13"/>
  <c r="D12" i="8"/>
  <c r="H33" i="11"/>
  <c r="J16" i="3"/>
  <c r="E16" i="14"/>
  <c r="E34" i="14"/>
  <c r="E29" i="14"/>
  <c r="I33" i="14"/>
  <c r="BH7" i="15"/>
  <c r="AU16" i="15"/>
  <c r="AJ16" i="15"/>
  <c r="AY6" i="15"/>
  <c r="AY12" i="15"/>
  <c r="BF12" i="15" s="1"/>
  <c r="F12" i="15" s="1"/>
  <c r="G66" i="18"/>
  <c r="I27" i="16"/>
  <c r="K26" i="16" s="1"/>
  <c r="L26" i="16" s="1"/>
  <c r="H27" i="9" s="1"/>
  <c r="R107" i="13"/>
  <c r="G27" i="16"/>
  <c r="O26" i="9"/>
  <c r="K9" i="17"/>
  <c r="H14" i="17"/>
  <c r="J12" i="17"/>
  <c r="K12" i="17" s="1"/>
  <c r="L12" i="17" s="1"/>
  <c r="L20" i="9" s="1"/>
  <c r="AR7" i="8"/>
  <c r="J6" i="4" s="1"/>
  <c r="J29" i="4" s="1"/>
  <c r="K10" i="3"/>
  <c r="G32" i="11"/>
  <c r="J4" i="17"/>
  <c r="D32" i="11"/>
  <c r="F19" i="10"/>
  <c r="J19" i="10" s="1"/>
  <c r="G29" i="18"/>
  <c r="P5" i="3"/>
  <c r="G62" i="18"/>
  <c r="F20" i="10"/>
  <c r="E21" i="13"/>
  <c r="I17" i="13"/>
  <c r="P23" i="9"/>
  <c r="P19" i="9" s="1"/>
  <c r="P23" i="13" s="1"/>
  <c r="P32" i="13"/>
  <c r="E13" i="13"/>
  <c r="G13" i="13"/>
  <c r="P45" i="13"/>
  <c r="G53" i="13"/>
  <c r="P21" i="13"/>
  <c r="P13" i="13"/>
  <c r="F32" i="13"/>
  <c r="F23" i="9"/>
  <c r="F59" i="13" s="1"/>
  <c r="D32" i="13"/>
  <c r="D23" i="9"/>
  <c r="D27" i="13" s="1"/>
  <c r="L32" i="13"/>
  <c r="L23" i="9"/>
  <c r="L27" i="13" s="1"/>
  <c r="P53" i="13"/>
  <c r="J45" i="13"/>
  <c r="J53" i="13"/>
  <c r="F49" i="13"/>
  <c r="E20" i="10"/>
  <c r="F45" i="13"/>
  <c r="F62" i="18"/>
  <c r="G32" i="13"/>
  <c r="J49" i="13"/>
  <c r="H32" i="13"/>
  <c r="K49" i="13"/>
  <c r="Q45" i="13"/>
  <c r="G23" i="9"/>
  <c r="G27" i="13" s="1"/>
  <c r="Q53" i="13"/>
  <c r="Q13" i="13"/>
  <c r="Q21" i="13"/>
  <c r="J23" i="9"/>
  <c r="J59" i="13" s="1"/>
  <c r="D21" i="13"/>
  <c r="M28" i="9"/>
  <c r="R28" i="9" s="1"/>
  <c r="R64" i="13" s="1"/>
  <c r="J32" i="13"/>
  <c r="L45" i="13"/>
  <c r="L53" i="13"/>
  <c r="K32" i="13"/>
  <c r="D45" i="13"/>
  <c r="H49" i="13"/>
  <c r="Q18" i="13"/>
  <c r="Q50" i="13"/>
  <c r="M13" i="9"/>
  <c r="M49" i="13" s="1"/>
  <c r="Q23" i="9"/>
  <c r="Q27" i="13" s="1"/>
  <c r="M9" i="9"/>
  <c r="M13" i="13" s="1"/>
  <c r="I59" i="13"/>
  <c r="I27" i="13"/>
  <c r="E59" i="13"/>
  <c r="E27" i="13"/>
  <c r="P50" i="13"/>
  <c r="P18" i="13"/>
  <c r="Q43" i="13"/>
  <c r="Q10" i="9"/>
  <c r="Q11" i="13"/>
  <c r="P10" i="9"/>
  <c r="P43" i="13"/>
  <c r="P11" i="13"/>
  <c r="I32" i="13"/>
  <c r="E64" i="13"/>
  <c r="I64" i="13"/>
  <c r="G17" i="13"/>
  <c r="M17" i="9"/>
  <c r="Q17" i="13"/>
  <c r="F21" i="13"/>
  <c r="E32" i="13"/>
  <c r="Q32" i="13"/>
  <c r="H13" i="13"/>
  <c r="G20" i="10" l="1"/>
  <c r="H20" i="10" s="1"/>
  <c r="J20" i="10"/>
  <c r="G21" i="10"/>
  <c r="H21" i="10" s="1"/>
  <c r="J21" i="10"/>
  <c r="N59" i="13"/>
  <c r="N19" i="9"/>
  <c r="N21" i="13"/>
  <c r="O43" i="13"/>
  <c r="O10" i="9"/>
  <c r="O6" i="9" s="1"/>
  <c r="K27" i="13"/>
  <c r="K59" i="13"/>
  <c r="K55" i="13"/>
  <c r="P55" i="13"/>
  <c r="F19" i="9"/>
  <c r="F55" i="13" s="1"/>
  <c r="N8" i="9"/>
  <c r="N44" i="13" s="1"/>
  <c r="G19" i="10"/>
  <c r="H19" i="10" s="1"/>
  <c r="P59" i="13"/>
  <c r="H63" i="13"/>
  <c r="H31" i="13"/>
  <c r="M27" i="9"/>
  <c r="H23" i="9"/>
  <c r="H27" i="13" s="1"/>
  <c r="O6" i="3"/>
  <c r="Z4" i="2" s="1"/>
  <c r="AC4" i="2" s="1"/>
  <c r="N6" i="3"/>
  <c r="Y4" i="2" s="1"/>
  <c r="AB4" i="2" s="1"/>
  <c r="C25" i="5"/>
  <c r="C8" i="5"/>
  <c r="AN5" i="2"/>
  <c r="AN7" i="2"/>
  <c r="H61" i="13"/>
  <c r="H29" i="13"/>
  <c r="M25" i="9"/>
  <c r="T29" i="2"/>
  <c r="P27" i="13"/>
  <c r="K7" i="3"/>
  <c r="K9" i="3"/>
  <c r="AN11" i="2"/>
  <c r="AN4" i="2"/>
  <c r="R52" i="13"/>
  <c r="R20" i="13"/>
  <c r="AN8" i="2"/>
  <c r="K25" i="16"/>
  <c r="M60" i="13"/>
  <c r="M28" i="13"/>
  <c r="R24" i="9"/>
  <c r="N42" i="5"/>
  <c r="BH12" i="15"/>
  <c r="AB15" i="8"/>
  <c r="AB25" i="8"/>
  <c r="AC5" i="8"/>
  <c r="G5" i="8"/>
  <c r="H15" i="8"/>
  <c r="B34" i="5"/>
  <c r="Q10" i="8"/>
  <c r="P15" i="8"/>
  <c r="P30" i="8"/>
  <c r="P35" i="8" s="1"/>
  <c r="R11" i="8"/>
  <c r="R31" i="8" s="1"/>
  <c r="Q31" i="8"/>
  <c r="W11" i="8"/>
  <c r="V31" i="8"/>
  <c r="K8" i="5"/>
  <c r="I26" i="5"/>
  <c r="D30" i="5"/>
  <c r="D34" i="5" s="1"/>
  <c r="D16" i="5"/>
  <c r="R72" i="13"/>
  <c r="AC30" i="8"/>
  <c r="F23" i="6"/>
  <c r="AN10" i="2"/>
  <c r="L56" i="13"/>
  <c r="L24" i="13"/>
  <c r="D32" i="8"/>
  <c r="J12" i="8"/>
  <c r="D31" i="8"/>
  <c r="O11" i="8"/>
  <c r="O31" i="8" s="1"/>
  <c r="O14" i="13"/>
  <c r="AB27" i="8"/>
  <c r="AC7" i="8"/>
  <c r="E8" i="15"/>
  <c r="E16" i="15" s="1"/>
  <c r="BH8" i="15"/>
  <c r="K14" i="4"/>
  <c r="J11" i="5"/>
  <c r="H29" i="5"/>
  <c r="N46" i="5"/>
  <c r="N44" i="5"/>
  <c r="P12" i="6"/>
  <c r="P29" i="6" s="1"/>
  <c r="O29" i="6"/>
  <c r="K7" i="5"/>
  <c r="I25" i="5"/>
  <c r="R26" i="8"/>
  <c r="AN9" i="2"/>
  <c r="V33" i="8"/>
  <c r="W13" i="8"/>
  <c r="K15" i="3"/>
  <c r="R105" i="13"/>
  <c r="M108" i="13"/>
  <c r="G14" i="8"/>
  <c r="K14" i="8" s="1"/>
  <c r="J14" i="8"/>
  <c r="O25" i="9"/>
  <c r="O28" i="13"/>
  <c r="O60" i="13"/>
  <c r="AC51" i="8"/>
  <c r="D30" i="8"/>
  <c r="AR15" i="8"/>
  <c r="J4" i="4"/>
  <c r="T11" i="8"/>
  <c r="S31" i="8"/>
  <c r="U32" i="2"/>
  <c r="T23" i="2"/>
  <c r="Q6" i="3"/>
  <c r="P6" i="3"/>
  <c r="J6" i="5"/>
  <c r="H24" i="5"/>
  <c r="V15" i="8"/>
  <c r="AN6" i="2"/>
  <c r="K8" i="3"/>
  <c r="B16" i="15"/>
  <c r="D27" i="8"/>
  <c r="Q51" i="8"/>
  <c r="C35" i="8"/>
  <c r="J22" i="9"/>
  <c r="C27" i="12"/>
  <c r="C32" i="12" s="1"/>
  <c r="C14" i="12"/>
  <c r="G13" i="8"/>
  <c r="K13" i="8" s="1"/>
  <c r="J13" i="8"/>
  <c r="U10" i="6"/>
  <c r="U27" i="6" s="1"/>
  <c r="T27" i="6"/>
  <c r="T22" i="2"/>
  <c r="T14" i="2"/>
  <c r="Z51" i="8"/>
  <c r="B28" i="5"/>
  <c r="H26" i="5"/>
  <c r="J8" i="5"/>
  <c r="J26" i="5" s="1"/>
  <c r="G11" i="8"/>
  <c r="K11" i="8" s="1"/>
  <c r="J11" i="8"/>
  <c r="L11" i="8" s="1"/>
  <c r="M11" i="8" s="1"/>
  <c r="N11" i="8" s="1"/>
  <c r="E26" i="6"/>
  <c r="E31" i="6" s="1"/>
  <c r="F9" i="6"/>
  <c r="F26" i="6" s="1"/>
  <c r="E14" i="6"/>
  <c r="J14" i="17"/>
  <c r="K4" i="17"/>
  <c r="K14" i="3"/>
  <c r="C16" i="15"/>
  <c r="G7" i="8"/>
  <c r="K7" i="8" s="1"/>
  <c r="O18" i="13"/>
  <c r="O50" i="13"/>
  <c r="N48" i="5"/>
  <c r="N49" i="5"/>
  <c r="N43" i="5"/>
  <c r="N41" i="5"/>
  <c r="N47" i="5"/>
  <c r="N40" i="5"/>
  <c r="BG6" i="15"/>
  <c r="AZ16" i="15"/>
  <c r="D29" i="8"/>
  <c r="G10" i="8"/>
  <c r="K10" i="8" s="1"/>
  <c r="J10" i="8"/>
  <c r="L10" i="8" s="1"/>
  <c r="M10" i="8" s="1"/>
  <c r="N10" i="8" s="1"/>
  <c r="O10" i="8" s="1"/>
  <c r="O30" i="8" s="1"/>
  <c r="Q25" i="8"/>
  <c r="H22" i="9"/>
  <c r="C28" i="12"/>
  <c r="D33" i="8"/>
  <c r="B30" i="5"/>
  <c r="T14" i="6"/>
  <c r="P47" i="6"/>
  <c r="U8" i="6"/>
  <c r="U25" i="6" s="1"/>
  <c r="T25" i="6"/>
  <c r="T31" i="6" s="1"/>
  <c r="X7" i="8"/>
  <c r="W27" i="8"/>
  <c r="D25" i="8"/>
  <c r="D35" i="8" s="1"/>
  <c r="D15" i="8"/>
  <c r="O27" i="6"/>
  <c r="O14" i="6"/>
  <c r="P10" i="6"/>
  <c r="O62" i="13"/>
  <c r="O30" i="13"/>
  <c r="G6" i="8"/>
  <c r="K6" i="8" s="1"/>
  <c r="J6" i="8"/>
  <c r="R48" i="13"/>
  <c r="R16" i="13"/>
  <c r="K47" i="6"/>
  <c r="G9" i="8"/>
  <c r="K9" i="8" s="1"/>
  <c r="J9" i="8"/>
  <c r="BE16" i="15"/>
  <c r="U25" i="8"/>
  <c r="C24" i="5"/>
  <c r="U22" i="6"/>
  <c r="T8" i="8"/>
  <c r="S28" i="8"/>
  <c r="S35" i="8" s="1"/>
  <c r="AJ28" i="2"/>
  <c r="AJ32" i="2" s="1"/>
  <c r="H12" i="5"/>
  <c r="H16" i="5" s="1"/>
  <c r="T27" i="2"/>
  <c r="V9" i="2"/>
  <c r="L32" i="2"/>
  <c r="O43" i="4"/>
  <c r="O53" i="4" s="1"/>
  <c r="N53" i="4"/>
  <c r="N10" i="3"/>
  <c r="Y8" i="2" s="1"/>
  <c r="AB8" i="2" s="1"/>
  <c r="O10" i="3"/>
  <c r="Z8" i="2" s="1"/>
  <c r="AC8" i="2" s="1"/>
  <c r="AG8" i="2" s="1"/>
  <c r="AY16" i="15"/>
  <c r="BF6" i="15"/>
  <c r="K13" i="3"/>
  <c r="K11" i="3"/>
  <c r="K16" i="3"/>
  <c r="K12" i="3"/>
  <c r="L16" i="3"/>
  <c r="G8" i="8"/>
  <c r="K8" i="8" s="1"/>
  <c r="J8" i="8"/>
  <c r="I34" i="14"/>
  <c r="V34" i="8"/>
  <c r="V35" i="8" s="1"/>
  <c r="W14" i="8"/>
  <c r="R26" i="9"/>
  <c r="U10" i="8"/>
  <c r="U30" i="8" s="1"/>
  <c r="T30" i="8"/>
  <c r="AE29" i="8"/>
  <c r="AE35" i="8" s="1"/>
  <c r="AE15" i="8"/>
  <c r="AF9" i="8" s="1"/>
  <c r="J24" i="6"/>
  <c r="J31" i="6" s="1"/>
  <c r="K7" i="6"/>
  <c r="M25" i="13"/>
  <c r="R21" i="9"/>
  <c r="M57" i="13"/>
  <c r="E16" i="5"/>
  <c r="E24" i="5"/>
  <c r="E34" i="5" s="1"/>
  <c r="L13" i="5"/>
  <c r="L31" i="5" s="1"/>
  <c r="J31" i="5"/>
  <c r="Q59" i="13"/>
  <c r="F27" i="13"/>
  <c r="L59" i="13"/>
  <c r="L19" i="9"/>
  <c r="M23" i="9"/>
  <c r="R32" i="13"/>
  <c r="D59" i="13"/>
  <c r="G59" i="13"/>
  <c r="M32" i="13"/>
  <c r="J27" i="13"/>
  <c r="M64" i="13"/>
  <c r="M45" i="13"/>
  <c r="R13" i="9"/>
  <c r="R17" i="13" s="1"/>
  <c r="R9" i="9"/>
  <c r="R45" i="13" s="1"/>
  <c r="M17" i="13"/>
  <c r="Q19" i="9"/>
  <c r="Q55" i="13" s="1"/>
  <c r="Q14" i="13"/>
  <c r="Q46" i="13"/>
  <c r="Q6" i="9"/>
  <c r="R17" i="9"/>
  <c r="M53" i="13"/>
  <c r="M21" i="13"/>
  <c r="P6" i="9"/>
  <c r="P46" i="13"/>
  <c r="P14" i="13"/>
  <c r="H59" i="13" l="1"/>
  <c r="N55" i="13"/>
  <c r="N23" i="13"/>
  <c r="O46" i="13"/>
  <c r="F23" i="13"/>
  <c r="N12" i="13"/>
  <c r="N7" i="9"/>
  <c r="AF29" i="8"/>
  <c r="R57" i="13"/>
  <c r="R25" i="13"/>
  <c r="Q16" i="3"/>
  <c r="P16" i="3"/>
  <c r="AF8" i="2"/>
  <c r="H26" i="13"/>
  <c r="H58" i="13"/>
  <c r="M22" i="9"/>
  <c r="N50" i="5"/>
  <c r="O15" i="3"/>
  <c r="Z13" i="2" s="1"/>
  <c r="AC13" i="2" s="1"/>
  <c r="AG13" i="2" s="1"/>
  <c r="N15" i="3"/>
  <c r="Y13" i="2" s="1"/>
  <c r="AB13" i="2" s="1"/>
  <c r="L7" i="5"/>
  <c r="K25" i="5"/>
  <c r="K34" i="5" s="1"/>
  <c r="K16" i="5"/>
  <c r="AW10" i="2"/>
  <c r="AV10" i="2"/>
  <c r="AU10" i="2"/>
  <c r="Q30" i="8"/>
  <c r="R10" i="8"/>
  <c r="AJ10" i="8" s="1"/>
  <c r="Q15" i="8"/>
  <c r="R25" i="9"/>
  <c r="M29" i="13"/>
  <c r="M61" i="13"/>
  <c r="F14" i="6"/>
  <c r="K24" i="6"/>
  <c r="K31" i="6" s="1"/>
  <c r="K14" i="6"/>
  <c r="R62" i="13"/>
  <c r="R30" i="13"/>
  <c r="O16" i="3"/>
  <c r="N16" i="3"/>
  <c r="U8" i="8"/>
  <c r="T28" i="8"/>
  <c r="T15" i="8"/>
  <c r="T31" i="8"/>
  <c r="U11" i="8"/>
  <c r="U31" i="8" s="1"/>
  <c r="AC27" i="8"/>
  <c r="F31" i="6"/>
  <c r="AV11" i="2"/>
  <c r="AU11" i="2"/>
  <c r="AW11" i="2"/>
  <c r="AF4" i="2"/>
  <c r="W33" i="8"/>
  <c r="X13" i="8"/>
  <c r="X14" i="8"/>
  <c r="W34" i="8"/>
  <c r="O11" i="3"/>
  <c r="Z9" i="2" s="1"/>
  <c r="AC9" i="2" s="1"/>
  <c r="AG9" i="2" s="1"/>
  <c r="N11" i="3"/>
  <c r="Y9" i="2" s="1"/>
  <c r="AB9" i="2" s="1"/>
  <c r="U31" i="6"/>
  <c r="W15" i="8"/>
  <c r="J24" i="5"/>
  <c r="L6" i="5"/>
  <c r="J27" i="4"/>
  <c r="J37" i="4" s="1"/>
  <c r="J14" i="4"/>
  <c r="O29" i="13"/>
  <c r="O61" i="13"/>
  <c r="AW9" i="2"/>
  <c r="AU9" i="2"/>
  <c r="AV9" i="2"/>
  <c r="X11" i="8"/>
  <c r="W31" i="8"/>
  <c r="W35" i="8" s="1"/>
  <c r="I5" i="8"/>
  <c r="K5" i="8"/>
  <c r="K15" i="8" s="1"/>
  <c r="G15" i="8"/>
  <c r="N9" i="3"/>
  <c r="Y7" i="2" s="1"/>
  <c r="AB7" i="2" s="1"/>
  <c r="O9" i="3"/>
  <c r="Z7" i="2" s="1"/>
  <c r="AC7" i="2" s="1"/>
  <c r="AG7" i="2" s="1"/>
  <c r="AW7" i="2"/>
  <c r="AU7" i="2"/>
  <c r="AV7" i="2"/>
  <c r="AC14" i="2"/>
  <c r="AG4" i="2"/>
  <c r="AV4" i="2"/>
  <c r="AU4" i="2"/>
  <c r="AW4" i="2"/>
  <c r="O13" i="3"/>
  <c r="Z11" i="2" s="1"/>
  <c r="AC11" i="2" s="1"/>
  <c r="AG11" i="2" s="1"/>
  <c r="N13" i="3"/>
  <c r="Y11" i="2" s="1"/>
  <c r="AB11" i="2" s="1"/>
  <c r="U14" i="6"/>
  <c r="P27" i="6"/>
  <c r="P31" i="6" s="1"/>
  <c r="P14" i="6"/>
  <c r="N14" i="3"/>
  <c r="Y12" i="2" s="1"/>
  <c r="AB12" i="2" s="1"/>
  <c r="O14" i="3"/>
  <c r="Z12" i="2" s="1"/>
  <c r="AC12" i="2" s="1"/>
  <c r="AG12" i="2" s="1"/>
  <c r="O7" i="13"/>
  <c r="O10" i="13"/>
  <c r="O42" i="13"/>
  <c r="AC25" i="8"/>
  <c r="AC15" i="8"/>
  <c r="K27" i="16"/>
  <c r="L25" i="16"/>
  <c r="O7" i="3"/>
  <c r="Z5" i="2" s="1"/>
  <c r="AC5" i="2" s="1"/>
  <c r="AG5" i="2" s="1"/>
  <c r="N7" i="3"/>
  <c r="Y5" i="2" s="1"/>
  <c r="AB5" i="2" s="1"/>
  <c r="AU5" i="2"/>
  <c r="AW5" i="2"/>
  <c r="AV5" i="2"/>
  <c r="L8" i="5"/>
  <c r="L26" i="5" s="1"/>
  <c r="K26" i="5"/>
  <c r="F6" i="15"/>
  <c r="BF16" i="15"/>
  <c r="BH6" i="15"/>
  <c r="BH16" i="15" s="1"/>
  <c r="V27" i="2"/>
  <c r="AD9" i="2"/>
  <c r="AH9" i="2" s="1"/>
  <c r="AX9" i="2"/>
  <c r="X27" i="8"/>
  <c r="X15" i="8"/>
  <c r="V12" i="2"/>
  <c r="V13" i="2"/>
  <c r="V8" i="2"/>
  <c r="V7" i="2"/>
  <c r="V6" i="2"/>
  <c r="V10" i="2"/>
  <c r="H8" i="15"/>
  <c r="E7" i="8" s="1"/>
  <c r="F7" i="8" s="1"/>
  <c r="AB35" i="8"/>
  <c r="AU8" i="2"/>
  <c r="AW8" i="2"/>
  <c r="AV8" i="2"/>
  <c r="M31" i="13"/>
  <c r="M63" i="13"/>
  <c r="R28" i="13"/>
  <c r="R60" i="13"/>
  <c r="AF7" i="8"/>
  <c r="AF12" i="8"/>
  <c r="AF5" i="8"/>
  <c r="AF10" i="8"/>
  <c r="AF11" i="8"/>
  <c r="AF8" i="8"/>
  <c r="AF6" i="8"/>
  <c r="AF14" i="8"/>
  <c r="AF13" i="8"/>
  <c r="O31" i="6"/>
  <c r="K15" i="17"/>
  <c r="K14" i="17"/>
  <c r="T32" i="2"/>
  <c r="J58" i="13"/>
  <c r="J26" i="13"/>
  <c r="N8" i="3"/>
  <c r="Y6" i="2" s="1"/>
  <c r="AB6" i="2" s="1"/>
  <c r="O8" i="3"/>
  <c r="Z6" i="2" s="1"/>
  <c r="AC6" i="2" s="1"/>
  <c r="AG6" i="2" s="1"/>
  <c r="V5" i="2"/>
  <c r="R108" i="13"/>
  <c r="R104" i="13" s="1"/>
  <c r="R103" i="13" s="1"/>
  <c r="M104" i="13"/>
  <c r="J29" i="5"/>
  <c r="L11" i="5"/>
  <c r="L29" i="5" s="1"/>
  <c r="V11" i="2"/>
  <c r="N12" i="3"/>
  <c r="Y10" i="2" s="1"/>
  <c r="AB10" i="2" s="1"/>
  <c r="O12" i="3"/>
  <c r="Z10" i="2" s="1"/>
  <c r="AC10" i="2" s="1"/>
  <c r="AG10" i="2" s="1"/>
  <c r="Q35" i="8"/>
  <c r="J12" i="5"/>
  <c r="H30" i="5"/>
  <c r="H34" i="5" s="1"/>
  <c r="G6" i="15"/>
  <c r="G16" i="15" s="1"/>
  <c r="BG16" i="15"/>
  <c r="V4" i="2"/>
  <c r="AW6" i="2"/>
  <c r="AV6" i="2"/>
  <c r="AU6" i="2"/>
  <c r="I34" i="5"/>
  <c r="C26" i="5"/>
  <c r="C9" i="5"/>
  <c r="M59" i="13"/>
  <c r="R13" i="13"/>
  <c r="M27" i="13"/>
  <c r="Q23" i="13"/>
  <c r="L55" i="13"/>
  <c r="L23" i="13"/>
  <c r="R49" i="13"/>
  <c r="R21" i="13"/>
  <c r="R53" i="13"/>
  <c r="P7" i="13"/>
  <c r="P5" i="9"/>
  <c r="P42" i="13"/>
  <c r="P10" i="13"/>
  <c r="P8" i="13" s="1"/>
  <c r="Q42" i="13"/>
  <c r="Q5" i="9"/>
  <c r="Q7" i="13"/>
  <c r="Q10" i="13"/>
  <c r="N10" i="9" l="1"/>
  <c r="N11" i="13"/>
  <c r="N43" i="13"/>
  <c r="AI10" i="8"/>
  <c r="AI30" i="8" s="1"/>
  <c r="AJ30" i="8"/>
  <c r="AM10" i="8"/>
  <c r="AM30" i="8" s="1"/>
  <c r="L8" i="17"/>
  <c r="I20" i="9" s="1"/>
  <c r="L7" i="17"/>
  <c r="G20" i="9" s="1"/>
  <c r="L10" i="17"/>
  <c r="H20" i="9" s="1"/>
  <c r="L9" i="17"/>
  <c r="J20" i="9" s="1"/>
  <c r="L5" i="17"/>
  <c r="E20" i="9" s="1"/>
  <c r="AF31" i="8"/>
  <c r="V24" i="2"/>
  <c r="AD6" i="2"/>
  <c r="AH6" i="2" s="1"/>
  <c r="AX6" i="2"/>
  <c r="L24" i="5"/>
  <c r="L34" i="5" s="1"/>
  <c r="L16" i="5"/>
  <c r="M6" i="5"/>
  <c r="AF34" i="8"/>
  <c r="I15" i="8"/>
  <c r="J7" i="8"/>
  <c r="L25" i="5"/>
  <c r="M7" i="5"/>
  <c r="J30" i="5"/>
  <c r="L12" i="5"/>
  <c r="L30" i="5" s="1"/>
  <c r="V28" i="2"/>
  <c r="AD10" i="2"/>
  <c r="AH10" i="2" s="1"/>
  <c r="AX10" i="2"/>
  <c r="AF11" i="2"/>
  <c r="AI11" i="2" s="1"/>
  <c r="AF13" i="2"/>
  <c r="AD5" i="2"/>
  <c r="AH5" i="2" s="1"/>
  <c r="V23" i="2"/>
  <c r="AX5" i="2"/>
  <c r="L4" i="17"/>
  <c r="AF30" i="8"/>
  <c r="AL10" i="8"/>
  <c r="V25" i="2"/>
  <c r="AD7" i="2"/>
  <c r="AH7" i="2" s="1"/>
  <c r="AX7" i="2"/>
  <c r="AC35" i="8"/>
  <c r="AW14" i="2"/>
  <c r="J34" i="5"/>
  <c r="X34" i="8"/>
  <c r="X35" i="8" s="1"/>
  <c r="AY10" i="2"/>
  <c r="AZ10" i="2" s="1"/>
  <c r="E10" i="4" s="1"/>
  <c r="R61" i="13"/>
  <c r="R29" i="13"/>
  <c r="AF26" i="8"/>
  <c r="AD27" i="2"/>
  <c r="AF9" i="2"/>
  <c r="AI9" i="2" s="1"/>
  <c r="M103" i="13"/>
  <c r="E41" i="10" s="1"/>
  <c r="E43" i="10"/>
  <c r="V22" i="2"/>
  <c r="AD4" i="2"/>
  <c r="V14" i="2"/>
  <c r="AX4" i="2"/>
  <c r="AY4" i="2" s="1"/>
  <c r="AF25" i="8"/>
  <c r="AF15" i="8"/>
  <c r="V26" i="2"/>
  <c r="AX8" i="2"/>
  <c r="AY8" i="2" s="1"/>
  <c r="AZ8" i="2" s="1"/>
  <c r="E8" i="4" s="1"/>
  <c r="AD8" i="2"/>
  <c r="AY5" i="2"/>
  <c r="AZ5" i="2" s="1"/>
  <c r="E5" i="4" s="1"/>
  <c r="AF12" i="2"/>
  <c r="AU14" i="2"/>
  <c r="AD25" i="2"/>
  <c r="AF7" i="2"/>
  <c r="AI7" i="2" s="1"/>
  <c r="AY9" i="2"/>
  <c r="AZ9" i="2" s="1"/>
  <c r="E9" i="4" s="1"/>
  <c r="J16" i="5"/>
  <c r="X33" i="8"/>
  <c r="T35" i="8"/>
  <c r="R22" i="9"/>
  <c r="M58" i="13"/>
  <c r="M26" i="13"/>
  <c r="AY6" i="2"/>
  <c r="AZ6" i="2" s="1"/>
  <c r="E6" i="4" s="1"/>
  <c r="AF28" i="8"/>
  <c r="AY7" i="2"/>
  <c r="AZ7" i="2" s="1"/>
  <c r="E7" i="4" s="1"/>
  <c r="X31" i="8"/>
  <c r="AJ11" i="8"/>
  <c r="AB14" i="2"/>
  <c r="R30" i="8"/>
  <c r="R35" i="8" s="1"/>
  <c r="R15" i="8"/>
  <c r="M8" i="5"/>
  <c r="AF10" i="2"/>
  <c r="AI10" i="2" s="1"/>
  <c r="AD28" i="2"/>
  <c r="AD24" i="2"/>
  <c r="AF6" i="2"/>
  <c r="AI6" i="2" s="1"/>
  <c r="AF32" i="8"/>
  <c r="V31" i="2"/>
  <c r="AD13" i="2"/>
  <c r="AH13" i="2" s="1"/>
  <c r="AF5" i="2"/>
  <c r="AI5" i="2" s="1"/>
  <c r="AD23" i="2"/>
  <c r="AV14" i="2"/>
  <c r="U28" i="8"/>
  <c r="U35" i="8" s="1"/>
  <c r="U15" i="8"/>
  <c r="L27" i="16"/>
  <c r="O27" i="9"/>
  <c r="M9" i="5"/>
  <c r="C27" i="5"/>
  <c r="C10" i="5"/>
  <c r="AD11" i="2"/>
  <c r="AH11" i="2" s="1"/>
  <c r="V29" i="2"/>
  <c r="AX11" i="2"/>
  <c r="AY11" i="2" s="1"/>
  <c r="AZ11" i="2" s="1"/>
  <c r="E11" i="4" s="1"/>
  <c r="AF33" i="8"/>
  <c r="AF27" i="8"/>
  <c r="V30" i="2"/>
  <c r="AD12" i="2"/>
  <c r="AH12" i="2" s="1"/>
  <c r="F16" i="15"/>
  <c r="H16" i="15" s="1"/>
  <c r="H6" i="15"/>
  <c r="E5" i="8" s="1"/>
  <c r="AG14" i="2"/>
  <c r="P5" i="13"/>
  <c r="P6" i="13" s="1"/>
  <c r="P40" i="13"/>
  <c r="P41" i="13" s="1"/>
  <c r="Q40" i="13"/>
  <c r="Q41" i="13" s="1"/>
  <c r="Q5" i="13"/>
  <c r="C32" i="10"/>
  <c r="N14" i="13" l="1"/>
  <c r="N46" i="13"/>
  <c r="AY14" i="2"/>
  <c r="AZ4" i="2"/>
  <c r="AH8" i="2"/>
  <c r="AI8" i="2" s="1"/>
  <c r="AD26" i="2"/>
  <c r="AH4" i="2"/>
  <c r="AD14" i="2"/>
  <c r="AD22" i="2"/>
  <c r="J10" i="11"/>
  <c r="AL30" i="8"/>
  <c r="AD29" i="2"/>
  <c r="J24" i="13"/>
  <c r="J56" i="13"/>
  <c r="J19" i="9"/>
  <c r="H24" i="13"/>
  <c r="H56" i="13"/>
  <c r="H19" i="9"/>
  <c r="D20" i="9"/>
  <c r="L14" i="17"/>
  <c r="G56" i="13"/>
  <c r="G24" i="13"/>
  <c r="G19" i="9"/>
  <c r="AI25" i="2"/>
  <c r="C7" i="4"/>
  <c r="C6" i="4"/>
  <c r="AI24" i="2"/>
  <c r="AJ31" i="8"/>
  <c r="AI11" i="8"/>
  <c r="AI31" i="8" s="1"/>
  <c r="AM11" i="8"/>
  <c r="AM31" i="8" s="1"/>
  <c r="R26" i="13"/>
  <c r="R58" i="13"/>
  <c r="I56" i="13"/>
  <c r="I24" i="13"/>
  <c r="I19" i="9"/>
  <c r="C11" i="4"/>
  <c r="AI29" i="2"/>
  <c r="C28" i="5"/>
  <c r="M10" i="5"/>
  <c r="C11" i="5"/>
  <c r="V32" i="2"/>
  <c r="AD30" i="2"/>
  <c r="AF35" i="8"/>
  <c r="AL11" i="8"/>
  <c r="C5" i="4"/>
  <c r="AI23" i="2"/>
  <c r="C10" i="4"/>
  <c r="AI28" i="2"/>
  <c r="AI12" i="2"/>
  <c r="AX14" i="2"/>
  <c r="AF14" i="2"/>
  <c r="AD31" i="2"/>
  <c r="M27" i="5"/>
  <c r="F8" i="11"/>
  <c r="F5" i="8"/>
  <c r="E15" i="8"/>
  <c r="O63" i="13"/>
  <c r="O31" i="13"/>
  <c r="O23" i="9"/>
  <c r="R27" i="9"/>
  <c r="M26" i="5"/>
  <c r="F7" i="11"/>
  <c r="C9" i="4"/>
  <c r="AI27" i="2"/>
  <c r="AI13" i="2"/>
  <c r="M25" i="5"/>
  <c r="F6" i="11"/>
  <c r="F5" i="11"/>
  <c r="M24" i="5"/>
  <c r="E56" i="13"/>
  <c r="E24" i="13"/>
  <c r="E19" i="9"/>
  <c r="E32" i="10"/>
  <c r="C33" i="10"/>
  <c r="E33" i="10" s="1"/>
  <c r="F22" i="11" l="1"/>
  <c r="C34" i="4"/>
  <c r="F15" i="8"/>
  <c r="J5" i="8"/>
  <c r="C12" i="4"/>
  <c r="AI30" i="2"/>
  <c r="I23" i="13"/>
  <c r="I55" i="13"/>
  <c r="F24" i="11"/>
  <c r="C29" i="4"/>
  <c r="D56" i="13"/>
  <c r="M20" i="9"/>
  <c r="D24" i="13"/>
  <c r="D19" i="9"/>
  <c r="C8" i="4"/>
  <c r="AI26" i="2"/>
  <c r="F25" i="11"/>
  <c r="E55" i="13"/>
  <c r="E23" i="13"/>
  <c r="F23" i="11"/>
  <c r="C33" i="4"/>
  <c r="H55" i="13"/>
  <c r="H23" i="13"/>
  <c r="J27" i="11"/>
  <c r="AZ14" i="2"/>
  <c r="E4" i="4"/>
  <c r="E14" i="4" s="1"/>
  <c r="R63" i="13"/>
  <c r="R31" i="13"/>
  <c r="M11" i="5"/>
  <c r="C29" i="5"/>
  <c r="C12" i="5"/>
  <c r="C30" i="4"/>
  <c r="C13" i="4"/>
  <c r="AI31" i="2"/>
  <c r="C28" i="4"/>
  <c r="O19" i="9"/>
  <c r="O59" i="13"/>
  <c r="O27" i="13"/>
  <c r="R23" i="9"/>
  <c r="M28" i="5"/>
  <c r="F9" i="11"/>
  <c r="J11" i="11"/>
  <c r="AL31" i="8"/>
  <c r="G55" i="13"/>
  <c r="G23" i="13"/>
  <c r="J23" i="13"/>
  <c r="J55" i="13"/>
  <c r="AH14" i="2"/>
  <c r="AI4" i="2"/>
  <c r="C32" i="4"/>
  <c r="M56" i="13" l="1"/>
  <c r="M24" i="13"/>
  <c r="R20" i="9"/>
  <c r="R19" i="9" s="1"/>
  <c r="M19" i="9"/>
  <c r="R27" i="13"/>
  <c r="R59" i="13"/>
  <c r="M29" i="5"/>
  <c r="F10" i="11"/>
  <c r="C36" i="4"/>
  <c r="J28" i="11"/>
  <c r="O55" i="13"/>
  <c r="O23" i="13"/>
  <c r="O5" i="9"/>
  <c r="J16" i="8"/>
  <c r="J15" i="8"/>
  <c r="L5" i="8"/>
  <c r="C31" i="4"/>
  <c r="AI14" i="2"/>
  <c r="C4" i="4"/>
  <c r="AI22" i="2"/>
  <c r="AI32" i="2" s="1"/>
  <c r="F26" i="11"/>
  <c r="D23" i="13"/>
  <c r="D55" i="13"/>
  <c r="C35" i="4"/>
  <c r="C30" i="5"/>
  <c r="M12" i="5"/>
  <c r="C13" i="5"/>
  <c r="R55" i="13" l="1"/>
  <c r="R23" i="13"/>
  <c r="C27" i="4"/>
  <c r="C37" i="4" s="1"/>
  <c r="C14" i="4"/>
  <c r="M5" i="8"/>
  <c r="L9" i="8"/>
  <c r="M9" i="8" s="1"/>
  <c r="N9" i="8" s="1"/>
  <c r="O9" i="8" s="1"/>
  <c r="L8" i="8"/>
  <c r="M8" i="8" s="1"/>
  <c r="N8" i="8" s="1"/>
  <c r="O8" i="8" s="1"/>
  <c r="L12" i="8"/>
  <c r="M12" i="8" s="1"/>
  <c r="N12" i="8" s="1"/>
  <c r="O12" i="8" s="1"/>
  <c r="L14" i="8"/>
  <c r="M14" i="8" s="1"/>
  <c r="N14" i="8" s="1"/>
  <c r="O14" i="8" s="1"/>
  <c r="L6" i="8"/>
  <c r="M6" i="8" s="1"/>
  <c r="N6" i="8" s="1"/>
  <c r="O6" i="8" s="1"/>
  <c r="L13" i="8"/>
  <c r="M13" i="8" s="1"/>
  <c r="N13" i="8" s="1"/>
  <c r="O13" i="8" s="1"/>
  <c r="L7" i="8"/>
  <c r="M7" i="8" s="1"/>
  <c r="N7" i="8" s="1"/>
  <c r="O7" i="8" s="1"/>
  <c r="M55" i="13"/>
  <c r="M23" i="13"/>
  <c r="R24" i="13"/>
  <c r="R56" i="13"/>
  <c r="M13" i="5"/>
  <c r="C14" i="5"/>
  <c r="C31" i="5"/>
  <c r="O5" i="13"/>
  <c r="O6" i="13" s="1"/>
  <c r="O40" i="13"/>
  <c r="O41" i="13" s="1"/>
  <c r="M30" i="5"/>
  <c r="F11" i="11"/>
  <c r="F27" i="11"/>
  <c r="O33" i="8" l="1"/>
  <c r="AJ13" i="8"/>
  <c r="H5" i="4"/>
  <c r="H9" i="4"/>
  <c r="H7" i="4"/>
  <c r="D5" i="4"/>
  <c r="H6" i="4"/>
  <c r="G10" i="4"/>
  <c r="D7" i="4"/>
  <c r="G6" i="4"/>
  <c r="D6" i="4"/>
  <c r="H10" i="4"/>
  <c r="G7" i="4"/>
  <c r="D10" i="4"/>
  <c r="H11" i="4"/>
  <c r="D9" i="4"/>
  <c r="G9" i="4"/>
  <c r="G5" i="4"/>
  <c r="D11" i="4"/>
  <c r="G11" i="4"/>
  <c r="D8" i="4"/>
  <c r="G8" i="4"/>
  <c r="D13" i="4"/>
  <c r="H8" i="4"/>
  <c r="D12" i="4"/>
  <c r="H13" i="4"/>
  <c r="G12" i="4"/>
  <c r="H12" i="4"/>
  <c r="G13" i="4"/>
  <c r="O26" i="8"/>
  <c r="AJ6" i="8"/>
  <c r="F12" i="11"/>
  <c r="M31" i="5"/>
  <c r="O34" i="8"/>
  <c r="AJ14" i="8"/>
  <c r="H4" i="4"/>
  <c r="O27" i="8"/>
  <c r="AJ7" i="8"/>
  <c r="F28" i="11"/>
  <c r="O32" i="8"/>
  <c r="AJ12" i="8"/>
  <c r="D4" i="4"/>
  <c r="N5" i="8"/>
  <c r="M15" i="8"/>
  <c r="O28" i="8"/>
  <c r="AJ8" i="8"/>
  <c r="G4" i="4"/>
  <c r="C15" i="5"/>
  <c r="C32" i="5"/>
  <c r="M14" i="5"/>
  <c r="O29" i="8"/>
  <c r="AJ9" i="8"/>
  <c r="L15" i="8"/>
  <c r="AJ27" i="8" l="1"/>
  <c r="AI7" i="8"/>
  <c r="AI27" i="8" s="1"/>
  <c r="AM7" i="8"/>
  <c r="AM27" i="8" s="1"/>
  <c r="AL7" i="8"/>
  <c r="AI6" i="8"/>
  <c r="AI26" i="8" s="1"/>
  <c r="AJ26" i="8"/>
  <c r="AM6" i="8"/>
  <c r="AM26" i="8" s="1"/>
  <c r="AL6" i="8"/>
  <c r="D36" i="4"/>
  <c r="I13" i="4"/>
  <c r="M13" i="4" s="1"/>
  <c r="F29" i="11"/>
  <c r="D33" i="4"/>
  <c r="F10" i="4"/>
  <c r="I10" i="4" s="1"/>
  <c r="M10" i="4" s="1"/>
  <c r="D28" i="4"/>
  <c r="F5" i="4"/>
  <c r="I5" i="4" s="1"/>
  <c r="M5" i="4" s="1"/>
  <c r="H14" i="4"/>
  <c r="D31" i="4"/>
  <c r="F8" i="4"/>
  <c r="I8" i="4" s="1"/>
  <c r="M8" i="4" s="1"/>
  <c r="N15" i="8"/>
  <c r="O5" i="8"/>
  <c r="F13" i="11"/>
  <c r="M32" i="5"/>
  <c r="D27" i="4"/>
  <c r="D14" i="4"/>
  <c r="F4" i="4"/>
  <c r="I4" i="4" s="1"/>
  <c r="AJ34" i="8"/>
  <c r="AM14" i="8"/>
  <c r="AM34" i="8" s="1"/>
  <c r="AI14" i="8"/>
  <c r="AI34" i="8" s="1"/>
  <c r="AL14" i="8"/>
  <c r="AM8" i="8"/>
  <c r="AM28" i="8" s="1"/>
  <c r="AJ28" i="8"/>
  <c r="AI8" i="8"/>
  <c r="AI28" i="8" s="1"/>
  <c r="AL8" i="8"/>
  <c r="AM12" i="8"/>
  <c r="AM32" i="8" s="1"/>
  <c r="AJ32" i="8"/>
  <c r="AI12" i="8"/>
  <c r="AI32" i="8" s="1"/>
  <c r="AL12" i="8"/>
  <c r="I11" i="4"/>
  <c r="M11" i="4" s="1"/>
  <c r="D34" i="4"/>
  <c r="F11" i="4"/>
  <c r="D29" i="4"/>
  <c r="F6" i="4"/>
  <c r="I6" i="4" s="1"/>
  <c r="M6" i="4" s="1"/>
  <c r="AJ29" i="8"/>
  <c r="AM9" i="8"/>
  <c r="AM29" i="8" s="1"/>
  <c r="AI9" i="8"/>
  <c r="AI29" i="8" s="1"/>
  <c r="AL9" i="8"/>
  <c r="C33" i="5"/>
  <c r="C34" i="5" s="1"/>
  <c r="M15" i="5"/>
  <c r="C16" i="5"/>
  <c r="AJ33" i="8"/>
  <c r="AI13" i="8"/>
  <c r="AI33" i="8" s="1"/>
  <c r="AM13" i="8"/>
  <c r="AM33" i="8" s="1"/>
  <c r="AL13" i="8"/>
  <c r="D32" i="4"/>
  <c r="F9" i="4"/>
  <c r="I9" i="4" s="1"/>
  <c r="M9" i="4" s="1"/>
  <c r="G14" i="4"/>
  <c r="D35" i="4"/>
  <c r="I12" i="4"/>
  <c r="M12" i="4" s="1"/>
  <c r="D30" i="4"/>
  <c r="F7" i="4"/>
  <c r="I7" i="4" s="1"/>
  <c r="M7" i="4" s="1"/>
  <c r="N12" i="4" l="1"/>
  <c r="M35" i="4"/>
  <c r="M29" i="4"/>
  <c r="N6" i="4"/>
  <c r="O25" i="8"/>
  <c r="O35" i="8" s="1"/>
  <c r="O15" i="8"/>
  <c r="AJ5" i="8"/>
  <c r="M33" i="5"/>
  <c r="M34" i="5" s="1"/>
  <c r="F14" i="11"/>
  <c r="N8" i="4"/>
  <c r="M31" i="4"/>
  <c r="J7" i="11"/>
  <c r="AL27" i="8"/>
  <c r="N9" i="4"/>
  <c r="M32" i="4"/>
  <c r="D37" i="4"/>
  <c r="J9" i="11"/>
  <c r="AL29" i="8"/>
  <c r="N11" i="4"/>
  <c r="M34" i="4"/>
  <c r="M16" i="5"/>
  <c r="M36" i="4"/>
  <c r="N13" i="4"/>
  <c r="F30" i="11"/>
  <c r="F33" i="11" s="1"/>
  <c r="AL28" i="8"/>
  <c r="J8" i="11"/>
  <c r="AL33" i="8"/>
  <c r="J13" i="11"/>
  <c r="AL32" i="8"/>
  <c r="J12" i="11"/>
  <c r="AL34" i="8"/>
  <c r="J14" i="11"/>
  <c r="N5" i="4"/>
  <c r="M28" i="4"/>
  <c r="N10" i="4"/>
  <c r="M33" i="4"/>
  <c r="M4" i="4"/>
  <c r="I14" i="4"/>
  <c r="N7" i="4"/>
  <c r="M30" i="4"/>
  <c r="J6" i="11"/>
  <c r="AL26" i="8"/>
  <c r="J25" i="11" l="1"/>
  <c r="N34" i="4"/>
  <c r="B12" i="11"/>
  <c r="O11" i="4"/>
  <c r="O34" i="4" s="1"/>
  <c r="J24" i="11"/>
  <c r="O10" i="4"/>
  <c r="O33" i="4" s="1"/>
  <c r="B11" i="11"/>
  <c r="N33" i="4"/>
  <c r="O5" i="4"/>
  <c r="O28" i="4" s="1"/>
  <c r="B6" i="11"/>
  <c r="N28" i="4"/>
  <c r="B7" i="11"/>
  <c r="O6" i="4"/>
  <c r="O29" i="4" s="1"/>
  <c r="N29" i="4"/>
  <c r="N17" i="5"/>
  <c r="N9" i="5"/>
  <c r="N27" i="5" s="1"/>
  <c r="N7" i="5"/>
  <c r="N25" i="5" s="1"/>
  <c r="N8" i="5"/>
  <c r="N26" i="5" s="1"/>
  <c r="N6" i="5"/>
  <c r="N10" i="5"/>
  <c r="N28" i="5" s="1"/>
  <c r="N11" i="5"/>
  <c r="N29" i="5" s="1"/>
  <c r="N12" i="5"/>
  <c r="N30" i="5" s="1"/>
  <c r="N13" i="5"/>
  <c r="N31" i="5" s="1"/>
  <c r="N14" i="5"/>
  <c r="N32" i="5" s="1"/>
  <c r="J31" i="11"/>
  <c r="J26" i="11"/>
  <c r="B9" i="11"/>
  <c r="N31" i="4"/>
  <c r="O8" i="4"/>
  <c r="O31" i="4" s="1"/>
  <c r="J30" i="11"/>
  <c r="O7" i="4"/>
  <c r="O30" i="4" s="1"/>
  <c r="N30" i="4"/>
  <c r="B8" i="11"/>
  <c r="F31" i="11"/>
  <c r="F32" i="11" s="1"/>
  <c r="I14" i="11"/>
  <c r="F16" i="11"/>
  <c r="N32" i="4"/>
  <c r="O9" i="4"/>
  <c r="O32" i="4" s="1"/>
  <c r="B10" i="11"/>
  <c r="J23" i="11"/>
  <c r="J29" i="11"/>
  <c r="N36" i="4"/>
  <c r="O13" i="4"/>
  <c r="O36" i="4" s="1"/>
  <c r="B14" i="11"/>
  <c r="B31" i="11" s="1"/>
  <c r="E31" i="11" s="1"/>
  <c r="N35" i="4"/>
  <c r="O12" i="4"/>
  <c r="O35" i="4" s="1"/>
  <c r="B13" i="11"/>
  <c r="AI5" i="8"/>
  <c r="AM5" i="8"/>
  <c r="AJ15" i="8"/>
  <c r="AJ25" i="8"/>
  <c r="AJ35" i="8" s="1"/>
  <c r="AL5" i="8"/>
  <c r="M27" i="4"/>
  <c r="M37" i="4" s="1"/>
  <c r="M14" i="4"/>
  <c r="N4" i="4"/>
  <c r="N15" i="5"/>
  <c r="N33" i="5" s="1"/>
  <c r="F15" i="11"/>
  <c r="AM25" i="8" l="1"/>
  <c r="AM35" i="8" s="1"/>
  <c r="AM15" i="8"/>
  <c r="B26" i="11"/>
  <c r="O4" i="4"/>
  <c r="B5" i="11"/>
  <c r="N27" i="4"/>
  <c r="N37" i="4" s="1"/>
  <c r="N14" i="4"/>
  <c r="B30" i="11"/>
  <c r="B25" i="11"/>
  <c r="B24" i="11"/>
  <c r="I31" i="11"/>
  <c r="N11" i="9"/>
  <c r="AI25" i="8"/>
  <c r="AI35" i="8" s="1"/>
  <c r="AI15" i="8"/>
  <c r="N16" i="5"/>
  <c r="N24" i="5"/>
  <c r="N34" i="5" s="1"/>
  <c r="B27" i="11"/>
  <c r="B23" i="11"/>
  <c r="B29" i="11"/>
  <c r="AL25" i="8"/>
  <c r="AL35" i="8" s="1"/>
  <c r="J5" i="11"/>
  <c r="AL15" i="8"/>
  <c r="I7" i="11"/>
  <c r="I5" i="11"/>
  <c r="I6" i="11"/>
  <c r="I8" i="11"/>
  <c r="I9" i="11"/>
  <c r="I10" i="11"/>
  <c r="I11" i="11"/>
  <c r="I12" i="11"/>
  <c r="I13" i="11"/>
  <c r="B28" i="11"/>
  <c r="I23" i="11" l="1"/>
  <c r="E11" i="9"/>
  <c r="N47" i="13"/>
  <c r="N15" i="13"/>
  <c r="N6" i="9"/>
  <c r="I30" i="11"/>
  <c r="L11" i="9"/>
  <c r="I24" i="11"/>
  <c r="F11" i="9"/>
  <c r="B16" i="11"/>
  <c r="B22" i="11"/>
  <c r="B15" i="11"/>
  <c r="I29" i="11"/>
  <c r="K11" i="9"/>
  <c r="O14" i="4"/>
  <c r="O27" i="4"/>
  <c r="O37" i="4" s="1"/>
  <c r="I28" i="11"/>
  <c r="H11" i="9"/>
  <c r="J16" i="11"/>
  <c r="M5" i="11" s="1"/>
  <c r="J22" i="11"/>
  <c r="J15" i="11"/>
  <c r="I27" i="11"/>
  <c r="J11" i="9"/>
  <c r="I22" i="11"/>
  <c r="I16" i="11"/>
  <c r="I33" i="11" s="1"/>
  <c r="I15" i="11"/>
  <c r="I32" i="11" s="1"/>
  <c r="D11" i="9"/>
  <c r="I26" i="11"/>
  <c r="I11" i="9"/>
  <c r="I25" i="11"/>
  <c r="G11" i="9"/>
  <c r="M22" i="11" l="1"/>
  <c r="D15" i="9"/>
  <c r="I15" i="13"/>
  <c r="I47" i="13"/>
  <c r="K47" i="13"/>
  <c r="K15" i="13"/>
  <c r="L15" i="13"/>
  <c r="L47" i="13"/>
  <c r="G47" i="13"/>
  <c r="G15" i="13"/>
  <c r="J47" i="13"/>
  <c r="J15" i="13"/>
  <c r="M11" i="9"/>
  <c r="D15" i="13"/>
  <c r="D47" i="13"/>
  <c r="J33" i="11"/>
  <c r="J32" i="11"/>
  <c r="N42" i="13"/>
  <c r="N10" i="13"/>
  <c r="F47" i="13"/>
  <c r="F15" i="13"/>
  <c r="M10" i="11"/>
  <c r="M11" i="11"/>
  <c r="M8" i="11"/>
  <c r="M13" i="11"/>
  <c r="M14" i="11"/>
  <c r="M6" i="11"/>
  <c r="M7" i="11"/>
  <c r="M9" i="11"/>
  <c r="M15" i="11" s="1"/>
  <c r="M32" i="11" s="1"/>
  <c r="M12" i="11"/>
  <c r="B33" i="11"/>
  <c r="B32" i="11"/>
  <c r="H15" i="13"/>
  <c r="H47" i="13"/>
  <c r="E11" i="11"/>
  <c r="E13" i="11"/>
  <c r="E12" i="11"/>
  <c r="E9" i="11"/>
  <c r="E8" i="11"/>
  <c r="E7" i="11"/>
  <c r="E10" i="11"/>
  <c r="E6" i="11"/>
  <c r="E5" i="11"/>
  <c r="E15" i="13"/>
  <c r="E47" i="13"/>
  <c r="L8" i="9" l="1"/>
  <c r="E30" i="11"/>
  <c r="D8" i="9"/>
  <c r="E22" i="11"/>
  <c r="E16" i="11"/>
  <c r="E33" i="11" s="1"/>
  <c r="E15" i="11"/>
  <c r="E32" i="11" s="1"/>
  <c r="E28" i="11"/>
  <c r="H8" i="9"/>
  <c r="M23" i="11"/>
  <c r="E15" i="9"/>
  <c r="R11" i="9"/>
  <c r="M47" i="13"/>
  <c r="M15" i="13"/>
  <c r="E29" i="11"/>
  <c r="K8" i="9"/>
  <c r="J8" i="9"/>
  <c r="E27" i="11"/>
  <c r="M30" i="11"/>
  <c r="L15" i="9"/>
  <c r="M26" i="11"/>
  <c r="I15" i="9"/>
  <c r="M24" i="11"/>
  <c r="F15" i="9"/>
  <c r="E23" i="11"/>
  <c r="E8" i="9"/>
  <c r="M31" i="11"/>
  <c r="N15" i="9"/>
  <c r="F8" i="9"/>
  <c r="E24" i="11"/>
  <c r="M25" i="11"/>
  <c r="G15" i="9"/>
  <c r="D51" i="13"/>
  <c r="D19" i="13"/>
  <c r="D14" i="9"/>
  <c r="G8" i="9"/>
  <c r="E25" i="11"/>
  <c r="M28" i="11"/>
  <c r="H15" i="9"/>
  <c r="M16" i="11"/>
  <c r="M33" i="11" s="1"/>
  <c r="E26" i="11"/>
  <c r="I8" i="9"/>
  <c r="M29" i="11"/>
  <c r="K15" i="9"/>
  <c r="M27" i="11"/>
  <c r="J15" i="9"/>
  <c r="H12" i="13" l="1"/>
  <c r="H7" i="9"/>
  <c r="H44" i="13"/>
  <c r="F51" i="13"/>
  <c r="F14" i="9"/>
  <c r="F19" i="13"/>
  <c r="K51" i="13"/>
  <c r="K19" i="13"/>
  <c r="K14" i="9"/>
  <c r="G14" i="9"/>
  <c r="G51" i="13"/>
  <c r="G19" i="13"/>
  <c r="F7" i="9"/>
  <c r="F44" i="13"/>
  <c r="F12" i="13"/>
  <c r="D18" i="13"/>
  <c r="D50" i="13"/>
  <c r="N14" i="9"/>
  <c r="N19" i="13"/>
  <c r="N51" i="13"/>
  <c r="L14" i="9"/>
  <c r="L51" i="13"/>
  <c r="L19" i="13"/>
  <c r="R15" i="13"/>
  <c r="R47" i="13"/>
  <c r="J19" i="13"/>
  <c r="J51" i="13"/>
  <c r="J14" i="9"/>
  <c r="D44" i="13"/>
  <c r="D12" i="13"/>
  <c r="D7" i="9"/>
  <c r="M8" i="9"/>
  <c r="H14" i="9"/>
  <c r="H51" i="13"/>
  <c r="H19" i="13"/>
  <c r="G7" i="9"/>
  <c r="G12" i="13"/>
  <c r="G44" i="13"/>
  <c r="E7" i="9"/>
  <c r="E44" i="13"/>
  <c r="E12" i="13"/>
  <c r="E14" i="9"/>
  <c r="E51" i="13"/>
  <c r="E19" i="13"/>
  <c r="K7" i="9"/>
  <c r="K44" i="13"/>
  <c r="K12" i="13"/>
  <c r="I14" i="9"/>
  <c r="I19" i="13"/>
  <c r="I51" i="13"/>
  <c r="I44" i="13"/>
  <c r="I7" i="9"/>
  <c r="I12" i="13"/>
  <c r="M15" i="9"/>
  <c r="J12" i="13"/>
  <c r="J7" i="9"/>
  <c r="J44" i="13"/>
  <c r="L7" i="9"/>
  <c r="L44" i="13"/>
  <c r="L12" i="13"/>
  <c r="E18" i="13" l="1"/>
  <c r="E50" i="13"/>
  <c r="G43" i="13"/>
  <c r="G10" i="9"/>
  <c r="G11" i="13"/>
  <c r="L18" i="13"/>
  <c r="L50" i="13"/>
  <c r="J50" i="13"/>
  <c r="J18" i="13"/>
  <c r="F10" i="9"/>
  <c r="F43" i="13"/>
  <c r="F11" i="13"/>
  <c r="F50" i="13"/>
  <c r="F18" i="13"/>
  <c r="I18" i="13"/>
  <c r="I50" i="13"/>
  <c r="H50" i="13"/>
  <c r="H18" i="13"/>
  <c r="N18" i="13"/>
  <c r="N8" i="13" s="1"/>
  <c r="N50" i="13"/>
  <c r="N5" i="9"/>
  <c r="N7" i="13"/>
  <c r="E11" i="13"/>
  <c r="E10" i="9"/>
  <c r="E43" i="13"/>
  <c r="G18" i="13"/>
  <c r="G50" i="13"/>
  <c r="J43" i="13"/>
  <c r="J10" i="9"/>
  <c r="J11" i="13"/>
  <c r="L10" i="9"/>
  <c r="L43" i="13"/>
  <c r="L11" i="13"/>
  <c r="I43" i="13"/>
  <c r="I11" i="13"/>
  <c r="I10" i="9"/>
  <c r="K11" i="13"/>
  <c r="K43" i="13"/>
  <c r="K10" i="9"/>
  <c r="R8" i="9"/>
  <c r="M12" i="13"/>
  <c r="M44" i="13"/>
  <c r="K18" i="13"/>
  <c r="K50" i="13"/>
  <c r="H43" i="13"/>
  <c r="H10" i="9"/>
  <c r="H11" i="13"/>
  <c r="R15" i="9"/>
  <c r="M19" i="13"/>
  <c r="M51" i="13"/>
  <c r="M14" i="9"/>
  <c r="D10" i="9"/>
  <c r="D43" i="13"/>
  <c r="D11" i="13"/>
  <c r="M7" i="9"/>
  <c r="L46" i="13" l="1"/>
  <c r="L14" i="13"/>
  <c r="L6" i="9"/>
  <c r="M43" i="13"/>
  <c r="R7" i="9"/>
  <c r="M11" i="13"/>
  <c r="R44" i="13"/>
  <c r="R12" i="13"/>
  <c r="E46" i="13"/>
  <c r="E14" i="13"/>
  <c r="E6" i="9"/>
  <c r="D46" i="13"/>
  <c r="D14" i="13"/>
  <c r="M10" i="9"/>
  <c r="D6" i="9"/>
  <c r="J46" i="13"/>
  <c r="J14" i="13"/>
  <c r="J6" i="9"/>
  <c r="N5" i="13"/>
  <c r="N6" i="13" s="1"/>
  <c r="N40" i="13"/>
  <c r="N41" i="13" s="1"/>
  <c r="M18" i="13"/>
  <c r="R14" i="9"/>
  <c r="M50" i="13"/>
  <c r="I46" i="13"/>
  <c r="I14" i="13"/>
  <c r="I6" i="9"/>
  <c r="G14" i="13"/>
  <c r="G46" i="13"/>
  <c r="G6" i="9"/>
  <c r="K46" i="13"/>
  <c r="K14" i="13"/>
  <c r="K6" i="9"/>
  <c r="F14" i="13"/>
  <c r="F46" i="13"/>
  <c r="F6" i="9"/>
  <c r="H14" i="13"/>
  <c r="H46" i="13"/>
  <c r="H6" i="9"/>
  <c r="R19" i="13"/>
  <c r="R51" i="13"/>
  <c r="D42" i="13" l="1"/>
  <c r="D5" i="9"/>
  <c r="D10" i="13"/>
  <c r="D8" i="13" s="1"/>
  <c r="D7" i="13"/>
  <c r="R10" i="9"/>
  <c r="M14" i="13"/>
  <c r="M46" i="13"/>
  <c r="M6" i="9"/>
  <c r="H5" i="9"/>
  <c r="H42" i="13"/>
  <c r="H7" i="13"/>
  <c r="H10" i="13"/>
  <c r="H8" i="13" s="1"/>
  <c r="F10" i="13"/>
  <c r="F8" i="13" s="1"/>
  <c r="F42" i="13"/>
  <c r="F5" i="9"/>
  <c r="F7" i="13"/>
  <c r="R11" i="13"/>
  <c r="R43" i="13"/>
  <c r="E42" i="13"/>
  <c r="E10" i="13"/>
  <c r="E8" i="13" s="1"/>
  <c r="E5" i="9"/>
  <c r="E7" i="13"/>
  <c r="G7" i="13"/>
  <c r="G42" i="13"/>
  <c r="G10" i="13"/>
  <c r="G8" i="13" s="1"/>
  <c r="G5" i="9"/>
  <c r="I5" i="9"/>
  <c r="I42" i="13"/>
  <c r="I10" i="13"/>
  <c r="I8" i="13" s="1"/>
  <c r="I7" i="13"/>
  <c r="J5" i="9"/>
  <c r="J7" i="13"/>
  <c r="J10" i="13"/>
  <c r="J8" i="13" s="1"/>
  <c r="J42" i="13"/>
  <c r="L7" i="13"/>
  <c r="L5" i="9"/>
  <c r="L10" i="13"/>
  <c r="L8" i="13" s="1"/>
  <c r="L42" i="13"/>
  <c r="K5" i="9"/>
  <c r="K10" i="13"/>
  <c r="K8" i="13" s="1"/>
  <c r="K42" i="13"/>
  <c r="K7" i="13"/>
  <c r="R18" i="13"/>
  <c r="R50" i="13"/>
  <c r="C37" i="10" l="1"/>
  <c r="C35" i="10" s="1"/>
  <c r="E40" i="13"/>
  <c r="E41" i="13" s="1"/>
  <c r="E5" i="13"/>
  <c r="E6" i="13" s="1"/>
  <c r="E9" i="13" s="1"/>
  <c r="F5" i="13"/>
  <c r="F6" i="13" s="1"/>
  <c r="F9" i="13" s="1"/>
  <c r="F40" i="13"/>
  <c r="F41" i="13" s="1"/>
  <c r="I40" i="13"/>
  <c r="I41" i="13" s="1"/>
  <c r="I5" i="13"/>
  <c r="I6" i="13" s="1"/>
  <c r="I9" i="13" s="1"/>
  <c r="R14" i="13"/>
  <c r="R46" i="13"/>
  <c r="R6" i="9"/>
  <c r="G40" i="13"/>
  <c r="G41" i="13" s="1"/>
  <c r="G5" i="13"/>
  <c r="G6" i="13" s="1"/>
  <c r="G9" i="13" s="1"/>
  <c r="D5" i="13"/>
  <c r="D6" i="13" s="1"/>
  <c r="D9" i="13" s="1"/>
  <c r="D40" i="13"/>
  <c r="D41" i="13" s="1"/>
  <c r="M42" i="13"/>
  <c r="M7" i="13"/>
  <c r="E37" i="10"/>
  <c r="M10" i="13"/>
  <c r="M8" i="13" s="1"/>
  <c r="M5" i="9"/>
  <c r="L5" i="13"/>
  <c r="L6" i="13" s="1"/>
  <c r="L9" i="13" s="1"/>
  <c r="L40" i="13"/>
  <c r="L41" i="13" s="1"/>
  <c r="K5" i="13"/>
  <c r="K6" i="13" s="1"/>
  <c r="K9" i="13" s="1"/>
  <c r="K40" i="13"/>
  <c r="K41" i="13" s="1"/>
  <c r="J40" i="13"/>
  <c r="J41" i="13" s="1"/>
  <c r="J5" i="13"/>
  <c r="J6" i="13" s="1"/>
  <c r="J9" i="13" s="1"/>
  <c r="H40" i="13"/>
  <c r="H41" i="13" s="1"/>
  <c r="H5" i="13"/>
  <c r="H6" i="13" s="1"/>
  <c r="H9" i="13" s="1"/>
  <c r="E35" i="10" l="1"/>
  <c r="C34" i="10"/>
  <c r="E34" i="10" s="1"/>
  <c r="M9" i="13"/>
  <c r="M5" i="13"/>
  <c r="M6" i="13" s="1"/>
  <c r="M40" i="13"/>
  <c r="M41" i="13" s="1"/>
  <c r="R7" i="13"/>
  <c r="R42" i="13"/>
  <c r="R10" i="13"/>
  <c r="R8" i="13" s="1"/>
  <c r="R5" i="9"/>
  <c r="R5" i="13" l="1"/>
  <c r="R6" i="13" s="1"/>
  <c r="R40" i="13"/>
  <c r="R41" i="13" s="1"/>
</calcChain>
</file>

<file path=xl/comments1.xml><?xml version="1.0" encoding="utf-8"?>
<comments xmlns="http://schemas.openxmlformats.org/spreadsheetml/2006/main">
  <authors>
    <author>tc={092E89CC-4E85-4707-9025-D7468C26452A}</author>
  </authors>
  <commentList>
    <comment ref="B75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Aj s valorizáciou</t>
        </r>
      </text>
    </comment>
  </commentList>
</comments>
</file>

<file path=xl/comments2.xml><?xml version="1.0" encoding="utf-8"?>
<comments xmlns="http://schemas.openxmlformats.org/spreadsheetml/2006/main">
  <authors>
    <author>tc={1C51FB37-4E15-4F87-9E88-DF644CC0F23F}</author>
    <author>tc={D1A7577B-FCBD-4D09-9460-71358FFF35D4}</author>
    <author>tc={05A48440-F436-4BC7-BE04-65B93C5A6930}</author>
    <author>tc={FD0C6DA7-D9E0-4875-AAEE-BF86C795318A}</author>
    <author>tc={448FA67C-50DA-40E6-A893-AB935C215EC8}</author>
    <author>tc={A932612E-405C-461A-8607-0C7AC9F71681}</author>
  </authors>
  <commentList>
    <comment ref="C3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"Vyk. dot 2020" v zosite "Mzdy_2020_50,30,20" subor "Priloha_1_RD_2020_V6 (AS) - je to bez odvodov</t>
        </r>
      </text>
    </comment>
    <comment ref="D3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"Dot 2019bez ucel" v zosite "Mzdy_2019_50,30,20" subor "Priloha_1_RD_2019_V4 (AS) - je to bez odvodov</t>
        </r>
      </text>
    </comment>
    <comment ref="G3" authorId="2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K "Vysled.SD20" v zosite "TaS_2020_50,30,20" subor "Priloha_1_RD_2020_V6 (AS)</t>
        </r>
      </text>
    </comment>
    <comment ref="H3" authorId="3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K "Vysled.SD19" v zosite "TaS_2019_50,30,20" subor "Priloha_1_RD_2019_V4 (AS)</t>
        </r>
      </text>
    </comment>
    <comment ref="K3" authorId="4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"Vysledna dotacia 2019 dla" v zosite "077 12 rozpis" subor "Priloha_1_RD_2020_V6 (AS)</t>
        </r>
      </text>
    </comment>
    <comment ref="L3" authorId="5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Stlpec L "Vysledna dotacia 2019" v zosite "077 12 rozpis" subor "Priloha_1_RD_2019_V4 (AS)</t>
        </r>
      </text>
    </comment>
  </commentList>
</comments>
</file>

<file path=xl/comments3.xml><?xml version="1.0" encoding="utf-8"?>
<comments xmlns="http://schemas.openxmlformats.org/spreadsheetml/2006/main">
  <authors>
    <author>Jana Matejová</author>
  </authors>
  <commentList>
    <comment ref="AI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Vstupuje do výpočtu miezd tabuľka T7
</t>
        </r>
      </text>
    </comment>
  </commentList>
</comments>
</file>

<file path=xl/comments4.xml><?xml version="1.0" encoding="utf-8"?>
<comments xmlns="http://schemas.openxmlformats.org/spreadsheetml/2006/main">
  <authors>
    <author>tc={BDC27FFA-1ED8-40D2-A120-16BAB35A0901}</author>
  </authors>
  <commentList>
    <comment ref="M5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Suma bez akceptovaných špecifík 92.755,- a základného príspevku na dotáciu 100.000,-</t>
        </r>
      </text>
    </comment>
  </commentList>
</comments>
</file>

<file path=xl/comments5.xml><?xml version="1.0" encoding="utf-8"?>
<comments xmlns="http://schemas.openxmlformats.org/spreadsheetml/2006/main">
  <authors>
    <author>tc={D3C8557A-3356-4D2A-AB22-11A21FB93295}</author>
    <author>tc={DF35DEB7-6526-4E0A-AE10-013848B18932}</author>
  </authors>
  <commentList>
    <comment ref="J27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Zatial nevieme, ale da sa kedykolvek dosadit</t>
        </r>
      </text>
    </comment>
    <comment ref="H28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Podľa koeficientu pre STU z RD2021</t>
        </r>
      </text>
    </comment>
  </commentList>
</comments>
</file>

<file path=xl/comments6.xml><?xml version="1.0" encoding="utf-8"?>
<comments xmlns="http://schemas.openxmlformats.org/spreadsheetml/2006/main">
  <authors>
    <author>tc={5575919A-E0FB-4918-A258-F39E13002D10}</author>
    <author>tc={9CB3AF9A-B59A-45B2-91A7-2A1867BB8713}</author>
  </authors>
  <commentList>
    <comment ref="AB3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Podla realnych podielov</t>
        </r>
      </text>
    </comment>
    <comment ref="AL40" authorId="1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+ Valorizacia 1,797,568,-</t>
        </r>
      </text>
    </comment>
  </commentList>
</comments>
</file>

<file path=xl/comments7.xml><?xml version="1.0" encoding="utf-8"?>
<comments xmlns="http://schemas.openxmlformats.org/spreadsheetml/2006/main">
  <authors>
    <author>tc={1F705885-83D1-4BA2-80BC-89F39EFA044A}</author>
  </authors>
  <commentList>
    <comment ref="A49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Za 2017 este nebolo oddelene UVP a UM</t>
        </r>
      </text>
    </comment>
  </commentList>
</comments>
</file>

<file path=xl/sharedStrings.xml><?xml version="1.0" encoding="utf-8"?>
<sst xmlns="http://schemas.openxmlformats.org/spreadsheetml/2006/main" count="1361" uniqueCount="512">
  <si>
    <t>Stavebná fakulta</t>
  </si>
  <si>
    <t>Strojnícka fakulta</t>
  </si>
  <si>
    <t>Slovenská technická univerzita v Bratislave</t>
  </si>
  <si>
    <t>Fakulta elektrotechniky a informatiky</t>
  </si>
  <si>
    <t>Materiálovotechnologická fakulta so sídlom v Trnave</t>
  </si>
  <si>
    <t>Fakulta chemickej a potravinárskej technológie</t>
  </si>
  <si>
    <t>Fakulta architektúry a dizajnu</t>
  </si>
  <si>
    <t>Fakulta informatiky a informačných technológií</t>
  </si>
  <si>
    <t xml:space="preserve"> </t>
  </si>
  <si>
    <t xml:space="preserve"> Počet študentov</t>
  </si>
  <si>
    <t>Počet DrŠ denní</t>
  </si>
  <si>
    <t xml:space="preserve">  PPŠ</t>
  </si>
  <si>
    <t xml:space="preserve"> PPS*KO*KAP</t>
  </si>
  <si>
    <t xml:space="preserve"> PPŠ*KO</t>
  </si>
  <si>
    <t>PPS* KO* KAP absolventi</t>
  </si>
  <si>
    <t>Výkon študenti+ absolventi</t>
  </si>
  <si>
    <t>STU</t>
  </si>
  <si>
    <t>Ústav manažmentu</t>
  </si>
  <si>
    <t>Slovenská technická univerzita</t>
  </si>
  <si>
    <t>všetci</t>
  </si>
  <si>
    <t>neplatiaci</t>
  </si>
  <si>
    <t>len denní neplatiaci</t>
  </si>
  <si>
    <t>denní</t>
  </si>
  <si>
    <t>Podiel_Mzdy</t>
  </si>
  <si>
    <t>Podiel_TaS</t>
  </si>
  <si>
    <t>Podiel_PPS</t>
  </si>
  <si>
    <t>váhy:</t>
  </si>
  <si>
    <t xml:space="preserve"> Počet študentov (denní externí všetky stupne)</t>
  </si>
  <si>
    <t>Počet   DrŠ  denní neplatiaci</t>
  </si>
  <si>
    <t>Počet študentov pre motivacne štipendia základne</t>
  </si>
  <si>
    <t>PPS*KO*KAP, level 1</t>
  </si>
  <si>
    <t>PPS*KO*KAP, level 2</t>
  </si>
  <si>
    <t>PPS*KO*KAP, level 3</t>
  </si>
  <si>
    <t>Počet študentov pre motivačné štipendia odborové</t>
  </si>
  <si>
    <t xml:space="preserve"> Počet študentov pre TaS vybrané odbory</t>
  </si>
  <si>
    <t xml:space="preserve"> Počet študetnov v dennej forme - kultura</t>
  </si>
  <si>
    <t xml:space="preserve"> Počet všetkých neplatiacich (uč+PaT polovica)</t>
  </si>
  <si>
    <t>Výkon podľa KN (absolventi)</t>
  </si>
  <si>
    <t>Výkon podľa KN (absolventi stupeň 1)</t>
  </si>
  <si>
    <t>Výkon podľa KN (absolventi stupeň 2)</t>
  </si>
  <si>
    <t>Výkon podľa KN (absolventi stupeň 3)</t>
  </si>
  <si>
    <t>Výkon podľa KO_zaklad
(výkon študenti + výkon absolventi)</t>
  </si>
  <si>
    <t>CA_ zaklad</t>
  </si>
  <si>
    <t>CA nad 1800</t>
  </si>
  <si>
    <t>KITC 1</t>
  </si>
  <si>
    <t>KITC 2</t>
  </si>
  <si>
    <t>KITC 3</t>
  </si>
  <si>
    <t>výkon 1. stupeň (PPS*KO*KAP)</t>
  </si>
  <si>
    <t>výkon 2. stupeň (PPS*KO*KAP*KITC2)</t>
  </si>
  <si>
    <t>výkon 3. stupeň (PPS*KO*KAP*KITC3)</t>
  </si>
  <si>
    <t>výkon CA</t>
  </si>
  <si>
    <t>podiel 1. stupeň</t>
  </si>
  <si>
    <t>podiel 2. stupeň</t>
  </si>
  <si>
    <t>podiel 3. stupeň</t>
  </si>
  <si>
    <t>podiel CA</t>
  </si>
  <si>
    <t>spolu</t>
  </si>
  <si>
    <t>FAD</t>
  </si>
  <si>
    <t>FEI</t>
  </si>
  <si>
    <t>FChPT</t>
  </si>
  <si>
    <t>FIIT</t>
  </si>
  <si>
    <t>SvF</t>
  </si>
  <si>
    <t>SjF</t>
  </si>
  <si>
    <t>MTF</t>
  </si>
  <si>
    <t>R</t>
  </si>
  <si>
    <t>Rektorát</t>
  </si>
  <si>
    <r>
      <t>Podiel VŠ na výkone podľa počtu študentov  vo vzdelávaní</t>
    </r>
    <r>
      <rPr>
        <b/>
        <sz val="11"/>
        <rFont val="Calibri"/>
        <family val="2"/>
        <charset val="238"/>
        <scheme val="minor"/>
      </rPr>
      <t xml:space="preserve"> na mzdy</t>
    </r>
  </si>
  <si>
    <t>ÚM</t>
  </si>
  <si>
    <t>NC</t>
  </si>
  <si>
    <t>Rek</t>
  </si>
  <si>
    <r>
      <t xml:space="preserve">Podiel vysokej školy na výkone </t>
    </r>
    <r>
      <rPr>
        <b/>
        <sz val="11"/>
        <rFont val="Calibri"/>
        <family val="2"/>
        <charset val="238"/>
        <scheme val="minor"/>
      </rPr>
      <t>vo vzdelávaní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 TaS
(PPš*KO)</t>
    </r>
  </si>
  <si>
    <r>
      <t xml:space="preserve">Podiel vysokej školy na </t>
    </r>
    <r>
      <rPr>
        <b/>
        <sz val="11"/>
        <rFont val="Calibri"/>
        <family val="2"/>
        <charset val="238"/>
        <scheme val="minor"/>
      </rPr>
      <t>TaS 
 - na prevádzku  PPš</t>
    </r>
  </si>
  <si>
    <t>rozpis 2019,2018,2017 + výročná správa o stave vš (počet zamestnancov)</t>
  </si>
  <si>
    <t>do rozpisu 2021</t>
  </si>
  <si>
    <t>vaha</t>
  </si>
  <si>
    <t>RD_2019</t>
  </si>
  <si>
    <t>MEDIAN 2017-2019</t>
  </si>
  <si>
    <t>podiel na vede</t>
  </si>
  <si>
    <t>počet akademických zamestnancov</t>
  </si>
  <si>
    <t>podiel</t>
  </si>
  <si>
    <t>KITC (2)</t>
  </si>
  <si>
    <t>KITC (3)</t>
  </si>
  <si>
    <t xml:space="preserve">Akademickí zamestnaneci - (vysokoškolskí učitelia, výskumní a umeleckí pracovníci) za roky 2017 až 2019 </t>
  </si>
  <si>
    <t>Počet zamestnancov vychádza z prepočítaného evidenčného počtu zamestnancov vysokých škôl za daný rok.</t>
  </si>
  <si>
    <t>Celkový súčet SK    oktober 2019</t>
  </si>
  <si>
    <t xml:space="preserve">Akceptované požiadavky na  špecifiká
</t>
  </si>
  <si>
    <t>Objem  odvodený od výkonu podľa  publik. činnosti</t>
  </si>
  <si>
    <t>GmP</t>
  </si>
  <si>
    <t>POD GM</t>
  </si>
  <si>
    <t>KLADNY VPLYV</t>
  </si>
  <si>
    <t>dofinancovanie GM</t>
  </si>
  <si>
    <t>Spolu</t>
  </si>
  <si>
    <t>Pp 077  11:</t>
  </si>
  <si>
    <t>koef_PV</t>
  </si>
  <si>
    <t>koef_VV</t>
  </si>
  <si>
    <t>RD_2020</t>
  </si>
  <si>
    <t>Objem na rozdelenie:</t>
  </si>
  <si>
    <t>podľa výkonu</t>
  </si>
  <si>
    <t>Pedag-  %</t>
  </si>
  <si>
    <t>VÝSKUM  %</t>
  </si>
  <si>
    <t>zníženie</t>
  </si>
  <si>
    <t>špecifiká - rozpísané</t>
  </si>
  <si>
    <t xml:space="preserve">Podiel VŠ na výkone podľa počtu študentov na pedagogickom výkone  (PV) pre výpočet mzdových prostriedkov na Pp 07711
</t>
  </si>
  <si>
    <t>Objem  odvodený od výkonu podľa počtu študentov (PV) pre výpočet mzdových prostriedkov na Pp 07711
pred GM</t>
  </si>
  <si>
    <t xml:space="preserve">Objem  odvodený od výkonu podľa počtu študentov (PV) pre výpočet mzdových prostriedkov na Pp 07711
</t>
  </si>
  <si>
    <t xml:space="preserve">Podiel VŠ na výkone podľa publik. a umelec.činnosti VaV pre výpočet mzdových prostriedkov VaV na Pp 07711
</t>
  </si>
  <si>
    <t xml:space="preserve">Objem  odvodený od výkonu podľa umelec. činnosti </t>
  </si>
  <si>
    <t>Rozpis dotácie na mzdy v 07711 na rok 2021 %</t>
  </si>
  <si>
    <t>Dotácia podľa osobitných kritérií</t>
  </si>
  <si>
    <t>Dotácia na vzdelávaciu činnosť
PPŠ x KO</t>
  </si>
  <si>
    <t>Výkonové zložky</t>
  </si>
  <si>
    <t>Nevýkonové zložky</t>
  </si>
  <si>
    <t>Výkon.zložka</t>
  </si>
  <si>
    <t>TaS   Pp 07711  podľa zahr. grantov</t>
  </si>
  <si>
    <t>mobility</t>
  </si>
  <si>
    <t>VŠO</t>
  </si>
  <si>
    <t>TaS   Pp 07711  podľa výkonu</t>
  </si>
  <si>
    <t xml:space="preserve">Tovary a služby podprogramu 07711 </t>
  </si>
  <si>
    <t xml:space="preserve">Objem ZG ostatné za roky 2018 a 2019 spolu </t>
  </si>
  <si>
    <t xml:space="preserve">Rozpis dotácie na rok 2021 podľa zahraničných grantov
</t>
  </si>
  <si>
    <t>Rozpis dotácie na rok 2021 podľa osobitných kritérií  na mobility</t>
  </si>
  <si>
    <t>Rozpis dotácie na rok 2020 podľa osobitných kritérií  pre VŠO</t>
  </si>
  <si>
    <t xml:space="preserve">Akceptované požiadavky na špecifiká
</t>
  </si>
  <si>
    <t xml:space="preserve">Základný príspevok na prevádzku 
</t>
  </si>
  <si>
    <t xml:space="preserve">Tovary a služby  na vzdelávaciu činnosť (PPŠ*KO)    
</t>
  </si>
  <si>
    <t xml:space="preserve">Tovary a služby  na prevádzku (PPŠ)    </t>
  </si>
  <si>
    <r>
      <t xml:space="preserve">TaS úmerne </t>
    </r>
    <r>
      <rPr>
        <sz val="11"/>
        <color indexed="10"/>
        <rFont val="Calibri"/>
        <family val="2"/>
        <charset val="238"/>
        <scheme val="minor"/>
      </rPr>
      <t>výkonu vo vzdelávaní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</si>
  <si>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 xml:space="preserve">na základnú prevádzku 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</si>
  <si>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>odvodená od PPŠ</t>
    </r>
  </si>
  <si>
    <t>Podiel vysokej školy na výkone vo vzdelávaní na TaS</t>
  </si>
  <si>
    <t xml:space="preserve">Podiel vysokej školy na prevádzku na TaS </t>
  </si>
  <si>
    <t>Priemer za zvolené obdobie</t>
  </si>
  <si>
    <t>Podiel vysokej školy na grantovej úspešnosti - domáce granty</t>
  </si>
  <si>
    <t xml:space="preserve">Podiel vysokej školy na grantovej úspešnosti - VČiS </t>
  </si>
  <si>
    <t xml:space="preserve">   </t>
  </si>
  <si>
    <t>k 31.10.2019</t>
  </si>
  <si>
    <t>ak.rok 2018/2019</t>
  </si>
  <si>
    <t>Dotácia na tovary a služby za akademické mobility podľa osobitných kritérií na rok 2021</t>
  </si>
  <si>
    <t>cudzinci</t>
  </si>
  <si>
    <t>vyslaní</t>
  </si>
  <si>
    <t xml:space="preserve">prijatí </t>
  </si>
  <si>
    <t>Objem na rok 2021</t>
  </si>
  <si>
    <t>Rozpísaný objem:</t>
  </si>
  <si>
    <t>Nerozpísaný objem:</t>
  </si>
  <si>
    <t>Rozpis dotácie na TaS na rok 2021 %</t>
  </si>
  <si>
    <t>Dlhé obdobie</t>
  </si>
  <si>
    <t>Krátke obdobie</t>
  </si>
  <si>
    <t>Korekcia na garantované minimum 90%</t>
  </si>
  <si>
    <t>Podiel pre rozpis podľa publikačnej  činnosti a umeleckej tvorbe</t>
  </si>
  <si>
    <t>Podiel pre rozpis na počte patentových prihlášok, prihlášok úžitkových vzorov, prihlášok dizajnov</t>
  </si>
  <si>
    <t xml:space="preserve">Rozpis dotácie na 077 12 01 spolu 
</t>
  </si>
  <si>
    <t>Podiely pre výpočet miezd na Pp 07711 podľa scholarshipu (15%)</t>
  </si>
  <si>
    <t>Kvalita výskumnej činnosti podľa KA</t>
  </si>
  <si>
    <t>Podiel vysokej školy na výkone podľa KA</t>
  </si>
  <si>
    <t>Objem podľa KA</t>
  </si>
  <si>
    <t>Priemerný výkon za 6 rokov</t>
  </si>
  <si>
    <t>objem podľa priemerného výkonu bez GM</t>
  </si>
  <si>
    <t>Garantované minumum - GmV</t>
  </si>
  <si>
    <t>Dotácia bez zmeny metodiky (KA podľa pôvodnej váhy)</t>
  </si>
  <si>
    <t>suma pod GM</t>
  </si>
  <si>
    <t>nad KA pri pôvodnej váhe</t>
  </si>
  <si>
    <t>upravene GM</t>
  </si>
  <si>
    <t>kladná suma nad pôvodnú KA</t>
  </si>
  <si>
    <t>podiel na dofinancovani GM</t>
  </si>
  <si>
    <t>podiel na dofinancovanie GM</t>
  </si>
  <si>
    <t>Do rozpisu</t>
  </si>
  <si>
    <t>Objem podľa DG</t>
  </si>
  <si>
    <t>Podiel vysokej školy na grantovej úspešnosti - výskumn. projektov od iných subjektov</t>
  </si>
  <si>
    <t>Objem podľa VČiS</t>
  </si>
  <si>
    <t>Podiel vysokej školy na grantovej úspešnosti - zahraničné granty</t>
  </si>
  <si>
    <t>Objem podľa ZG</t>
  </si>
  <si>
    <t>Podiel na počte doktorandov po dizertačnej skúške</t>
  </si>
  <si>
    <t>Objem podľa Drš_po</t>
  </si>
  <si>
    <t xml:space="preserve">Objem podľa publikačnej  činnosti </t>
  </si>
  <si>
    <t>Objem podľa umeleckej tvorby</t>
  </si>
  <si>
    <t>oprava podľa CREUC (25 % z 2019 a 2020)</t>
  </si>
  <si>
    <t xml:space="preserve">Objem podľa patentovej  činnosti </t>
  </si>
  <si>
    <t>Rozpis pre špičkové tímy</t>
  </si>
  <si>
    <t xml:space="preserve">Podiel na publikačnej činnosti
</t>
  </si>
  <si>
    <t xml:space="preserve">Podiel na umeleckej tvorbe
</t>
  </si>
  <si>
    <t xml:space="preserve">Podiel na publikačnej činnosti * váha_pub
</t>
  </si>
  <si>
    <t xml:space="preserve">Podiel na umeleckej tvorbe * váha_um
</t>
  </si>
  <si>
    <t>výk_KA</t>
  </si>
  <si>
    <t>suma:</t>
  </si>
  <si>
    <t>výk_DG</t>
  </si>
  <si>
    <t>výk_VČiS</t>
  </si>
  <si>
    <t>výk_ZG</t>
  </si>
  <si>
    <t>výk_Dršpo</t>
  </si>
  <si>
    <t>výk_Pub</t>
  </si>
  <si>
    <t>výk_um</t>
  </si>
  <si>
    <t>váha_Pub</t>
  </si>
  <si>
    <t>váha_um</t>
  </si>
  <si>
    <t>Pp_VaV_VVŠ</t>
  </si>
  <si>
    <t>Pp_VaV_rozp</t>
  </si>
  <si>
    <t>VaV_dval</t>
  </si>
  <si>
    <t>Pp_VaV_špič_úč</t>
  </si>
  <si>
    <t>rozdiel 2021-20</t>
  </si>
  <si>
    <t>Priemerný počet doktorandov po dizertačnej skúške  1/2018-12/2018</t>
  </si>
  <si>
    <t xml:space="preserve">Rozpis dotácie podľa výkonu 
</t>
  </si>
  <si>
    <r>
      <t>Podiel VVŠ na výkonovom rozpise dotácie na výskumnú, vývojovú alebo umeleckú tvorbu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2021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</si>
  <si>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2021 spolu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</si>
  <si>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Podiel scholarshipu pre výpočet mzdových prostriedkov na Pp 07711 pre rok </t>
    </r>
    <r>
      <rPr>
        <sz val="11"/>
        <color rgb="FFFF0000"/>
        <rFont val="Calibri"/>
        <family val="2"/>
        <charset val="238"/>
        <scheme val="minor"/>
      </rPr>
      <t>2021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</si>
  <si>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2021 %</t>
    </r>
    <r>
      <rPr>
        <sz val="11"/>
        <rFont val="Calibri"/>
        <family val="2"/>
        <charset val="238"/>
        <scheme val="minor"/>
      </rPr>
      <t xml:space="preserve">
</t>
    </r>
  </si>
  <si>
    <t>07711 mzdy</t>
  </si>
  <si>
    <t>TM_%</t>
  </si>
  <si>
    <t>07711 TaS</t>
  </si>
  <si>
    <t>UVP_NC</t>
  </si>
  <si>
    <t>STU  s u m á r</t>
  </si>
  <si>
    <t>Vstupy z MŠVVaŠ</t>
  </si>
  <si>
    <t>UM</t>
  </si>
  <si>
    <t>ÚZ ŠDaJ</t>
  </si>
  <si>
    <t>Účel STU</t>
  </si>
  <si>
    <t>zostatok účelovej dotácie 2019</t>
  </si>
  <si>
    <t>odsúhlasená požiadavka útvaru</t>
  </si>
  <si>
    <t>pridelené pôvodne</t>
  </si>
  <si>
    <t xml:space="preserve">Program  077 </t>
  </si>
  <si>
    <t>Podprogram  077 11 - VŠ vzdelávanie</t>
  </si>
  <si>
    <t>077 11- Mzdy</t>
  </si>
  <si>
    <t>Podprogram  07712 - veda a technika</t>
  </si>
  <si>
    <t>07712 - výkonové zložky</t>
  </si>
  <si>
    <t>Podprogram 077 13 - rozvojový projekt</t>
  </si>
  <si>
    <t>Podprogram  077 15 - sociálne služby</t>
  </si>
  <si>
    <t>077 1501 - sociálne štipendiá</t>
  </si>
  <si>
    <t>077 1502 - motiv. štip. pre vybrané štud. odbory</t>
  </si>
  <si>
    <t>077 1502 - motivačné štipendiá</t>
  </si>
  <si>
    <t>Podprogram 07715 03 spolu</t>
  </si>
  <si>
    <t>077 1503 - ŠD - mzdy</t>
  </si>
  <si>
    <t>077 1503 - ŠD - odvody</t>
  </si>
  <si>
    <t xml:space="preserve">077 1503 - strav. príspevok </t>
  </si>
  <si>
    <t>077 1503 - kultúra, šport</t>
  </si>
  <si>
    <t>rok 2020</t>
  </si>
  <si>
    <t xml:space="preserve">Účel MŠ </t>
  </si>
  <si>
    <t>077 11 -TaS</t>
  </si>
  <si>
    <t>077 11 - odvody z miezd</t>
  </si>
  <si>
    <t>0771201 VaT</t>
  </si>
  <si>
    <t>07713 rozvoj</t>
  </si>
  <si>
    <t>07715 soc</t>
  </si>
  <si>
    <t>MŠ</t>
  </si>
  <si>
    <t>kód</t>
  </si>
  <si>
    <t>M</t>
  </si>
  <si>
    <t>T</t>
  </si>
  <si>
    <t>V</t>
  </si>
  <si>
    <t>S</t>
  </si>
  <si>
    <t>č.</t>
  </si>
  <si>
    <t>Účel</t>
  </si>
  <si>
    <t>Podprogram</t>
  </si>
  <si>
    <t>Cieľ</t>
  </si>
  <si>
    <t>Fak. ,UM, UVP_NC</t>
  </si>
  <si>
    <t>fad</t>
  </si>
  <si>
    <t>fei</t>
  </si>
  <si>
    <t>fchpt</t>
  </si>
  <si>
    <t>fiit</t>
  </si>
  <si>
    <t>svf</t>
  </si>
  <si>
    <t>sjf</t>
  </si>
  <si>
    <t>mtf</t>
  </si>
  <si>
    <t>um</t>
  </si>
  <si>
    <t>nc</t>
  </si>
  <si>
    <t>rek</t>
  </si>
  <si>
    <t>sd</t>
  </si>
  <si>
    <t>Zostatok</t>
  </si>
  <si>
    <t>z T6b,SE</t>
  </si>
  <si>
    <t>§96a, ods.1, písm.b)</t>
  </si>
  <si>
    <t xml:space="preserve"> z T6b, SL</t>
  </si>
  <si>
    <t>§96a, ods.1, písm.a)</t>
  </si>
  <si>
    <t>Počet študentov pre motivačné štip._základné</t>
  </si>
  <si>
    <t>Suma na motivačné štipendiá_základné pre r. 2021</t>
  </si>
  <si>
    <t>Počet študentov pre motivačné štip_odborové</t>
  </si>
  <si>
    <t>Suma na motivačné štipendiá_odborové pre r. 2021</t>
  </si>
  <si>
    <t>Celkom na motivačné štipendiá pre VVŠ</t>
  </si>
  <si>
    <t>077 1503- ŠD - TaS</t>
  </si>
  <si>
    <t>Návrh rozpisu dotácie dotácie STU na rok 2021 - Rozdiel oproti roku 2020</t>
  </si>
  <si>
    <t>rozdiel 2021-2020</t>
  </si>
  <si>
    <t>KKS</t>
  </si>
  <si>
    <t>vykon VS</t>
  </si>
  <si>
    <t>Suma 2020</t>
  </si>
  <si>
    <t>Typ</t>
  </si>
  <si>
    <t>X</t>
  </si>
  <si>
    <t>KA</t>
  </si>
  <si>
    <t>Podiel na publikačnej činnosti VVŠ</t>
  </si>
  <si>
    <t xml:space="preserve"> Podiel na umeleckej tvorbe</t>
  </si>
  <si>
    <t xml:space="preserve">VVŠ </t>
  </si>
  <si>
    <t>Podiel na umeleckej tvorbe pre RD_2021</t>
  </si>
  <si>
    <t>REK</t>
  </si>
  <si>
    <t>077 11</t>
  </si>
  <si>
    <t>077 12</t>
  </si>
  <si>
    <t>077 12 patenty</t>
  </si>
  <si>
    <t>077 12 s patentmi</t>
  </si>
  <si>
    <t>delenie podľa podielov (mb)</t>
  </si>
  <si>
    <t>ministerská metodika (50%/50%)</t>
  </si>
  <si>
    <t>Podiel na dotácií na prevádzku a rozvoj infraštruktúry, výkonová, okrem KA</t>
  </si>
  <si>
    <t>DG</t>
  </si>
  <si>
    <t>Včiš</t>
  </si>
  <si>
    <t>ZG</t>
  </si>
  <si>
    <t>DršPo</t>
  </si>
  <si>
    <t>CREPČ</t>
  </si>
  <si>
    <t>CREUČ</t>
  </si>
  <si>
    <t>priemer</t>
  </si>
  <si>
    <t>Priemer za 
6 rokov</t>
  </si>
  <si>
    <t xml:space="preserve"> Podiel pre rozpis podľa úspešnosti v domácich grantoch  9%</t>
  </si>
  <si>
    <t xml:space="preserve"> Podiel pre rozpis podľa úspešnosti výsk. projektov  v rámci VČiS  3%</t>
  </si>
  <si>
    <t xml:space="preserve"> Podiel pre rozpis podľa úspešnosti výsk.projektov od iných subjektov  3%</t>
  </si>
  <si>
    <t>Súčet DG za roky  2018 a 2019</t>
  </si>
  <si>
    <t>Súčet VČiS  za roky     2018 a 2019</t>
  </si>
  <si>
    <t>Súčet ZG za roky   2018 a 2019</t>
  </si>
  <si>
    <t>DG za rok  2019</t>
  </si>
  <si>
    <t>Súčet DG za roky     2018 a 2019</t>
  </si>
  <si>
    <t>VČiS  za rok  2019</t>
  </si>
  <si>
    <t>ZG za rok  2019</t>
  </si>
  <si>
    <t>Súčet ZG za roky     2018 a 2019</t>
  </si>
  <si>
    <t>ZG ostatné za rok  2019</t>
  </si>
  <si>
    <t>Podiel pre rozpis podľa počtu doktorandov po dizertačnej skúške  10%</t>
  </si>
  <si>
    <t>Podiel pre rozpis podľa úspešnosti v zahraničných grantoch - ostatných 1.2mil. Eur</t>
  </si>
  <si>
    <t>ZG ostatné za rok  2018</t>
  </si>
  <si>
    <t>DG za rok  2018</t>
  </si>
  <si>
    <t>VČiS  za rok  2018</t>
  </si>
  <si>
    <t>ZG za rok  2018</t>
  </si>
  <si>
    <t xml:space="preserve"> Podiel na patentoch  0%</t>
  </si>
  <si>
    <t xml:space="preserve"> Podiel na publikačnej činnosti  22.5%</t>
  </si>
  <si>
    <t xml:space="preserve"> Podiel pre rozpis podľa 6 ročného intervalu  25.8%</t>
  </si>
  <si>
    <t xml:space="preserve"> Podiel na umeleckej tvorbe 2.5%</t>
  </si>
  <si>
    <t>Rozpis na mzdy podľa výkonu na rok 2021</t>
  </si>
  <si>
    <t>Rozpis dotácie na mzdy v 07711 na rok 2021 celkom</t>
  </si>
  <si>
    <t>Rozpis dotácie na TaS na rok 2021</t>
  </si>
  <si>
    <t xml:space="preserve"> Podiel pre rozpis podľa akreditácie  17.2%</t>
  </si>
  <si>
    <t>Podiel pre rozpis podľa úspešnosti v zahraničných grantoch  10%</t>
  </si>
  <si>
    <t>Podiel pre rozpis podľa úspešnosti v zahraničných grantoch - výskumných  10%</t>
  </si>
  <si>
    <t xml:space="preserve">Mzdy prvku 0771503 - časť študentské domovy </t>
  </si>
  <si>
    <t xml:space="preserve">Rozpis dotácie 
z roku 2020 pre ŠD
</t>
  </si>
  <si>
    <t xml:space="preserve"> 50% ročného objemu miezd pre ŠD
</t>
  </si>
  <si>
    <t>Celkový počet ubytovaných v ŠD k 31.10.2019</t>
  </si>
  <si>
    <t xml:space="preserve"> 50% na základe ubytovaných študentov
</t>
  </si>
  <si>
    <t>97*</t>
  </si>
  <si>
    <t>06*MTF</t>
  </si>
  <si>
    <t>Tovary a služby prvku 0771503 - časť študentské domovy</t>
  </si>
  <si>
    <t>TaS prvku 0771503 - časť
 príspevok na stravu študentov</t>
  </si>
  <si>
    <t>Celkový počet študentov ubytovaných v ŠD
k 31.10.2019</t>
  </si>
  <si>
    <t>Celkový počet študentov ubytovaných v zmluvných zariadeniach 
k 31.10.2019</t>
  </si>
  <si>
    <t>Príspevok na ubytovaných študentov</t>
  </si>
  <si>
    <t>Príspevok na prevádzku študentských domovov</t>
  </si>
  <si>
    <t xml:space="preserve"> Predpoklad počtu vydaných jedál pre rok 2021
podľa revízie k 31.10.2019</t>
  </si>
  <si>
    <t>Zostatok z roku 2020</t>
  </si>
  <si>
    <t>Predpoklad na rok 2021 (na základe počtu vydaných jedál v r.2019 a zostatku)</t>
  </si>
  <si>
    <t>Záloha na rok 2021 (na základe počtu vydaných jedál v r.2019 a zostatku)</t>
  </si>
  <si>
    <r>
      <t xml:space="preserve">Rozpis dotácie na rok </t>
    </r>
    <r>
      <rPr>
        <sz val="11"/>
        <color indexed="12"/>
        <rFont val="Calibri"/>
        <family val="2"/>
        <charset val="238"/>
        <scheme val="minor"/>
      </rPr>
      <t xml:space="preserve">2021 pre ŠD podľa výkonu
</t>
    </r>
  </si>
  <si>
    <r>
      <t xml:space="preserve">Predpoklad na rok 2021 (na základe počtu vydaných jedál v r.2019) </t>
    </r>
    <r>
      <rPr>
        <sz val="11"/>
        <color rgb="FF0000FF"/>
        <rFont val="Calibri"/>
        <family val="2"/>
        <charset val="238"/>
        <scheme val="minor"/>
      </rPr>
      <t>príspevok 1,40 €</t>
    </r>
  </si>
  <si>
    <t>koeficient</t>
  </si>
  <si>
    <t>Vypočítaná 
dotácia 2021</t>
  </si>
  <si>
    <t xml:space="preserve"> Celková ubytovacia kapacita  ŠD</t>
  </si>
  <si>
    <t xml:space="preserve"> Počet študentov SR ubytovaných  k 31.10.2018</t>
  </si>
  <si>
    <t>Súčet z denní 
I. a II. stupeň 
vš vzdelávania</t>
  </si>
  <si>
    <t>Súčet z denní 
III.      stupeň 
vš vzdelávania DrŠ</t>
  </si>
  <si>
    <t>Súčet z iní</t>
  </si>
  <si>
    <t xml:space="preserve"> Celkový počet študentov  ubytovaných v študentskom domove k 31.10.2019</t>
  </si>
  <si>
    <t xml:space="preserve"> Príspevok na prevádzku odvodený od počtu ubytovaných študentov pre rok 2021</t>
  </si>
  <si>
    <t xml:space="preserve"> Celkový počet študentov  ubytovaných v ŠD k 31.10.2019 DrŠ na 12 mes.</t>
  </si>
  <si>
    <t>077 11-Mzdy výkonové</t>
  </si>
  <si>
    <t>---</t>
  </si>
  <si>
    <t xml:space="preserve"> Počet študentov pre motivačné štipendiá základné</t>
  </si>
  <si>
    <t>Počet študentov pre motivačné  štipendiá odborové</t>
  </si>
  <si>
    <t xml:space="preserve"> Počet pre TaS vybrané odbory</t>
  </si>
  <si>
    <t xml:space="preserve"> Počet študentov v DF - kultúra</t>
  </si>
  <si>
    <t>R-STU</t>
  </si>
  <si>
    <t>vratky 2*</t>
  </si>
  <si>
    <t>Dotácia 2020</t>
  </si>
  <si>
    <t>Zostatok 131</t>
  </si>
  <si>
    <t>Zostatok dotácie k 31.12.2020 = PS roku 2021</t>
  </si>
  <si>
    <t>Zostatok 
dotácie k 31.12.2019 = PS roku 2020</t>
  </si>
  <si>
    <t>Čerpanie 
zdroj 131</t>
  </si>
  <si>
    <t>Čerpanie 
zdroj 111</t>
  </si>
  <si>
    <t>Čerpanie 
spolu</t>
  </si>
  <si>
    <t>Korigovaná 
dotácia 2021</t>
  </si>
  <si>
    <t>Suma bez R-STU</t>
  </si>
  <si>
    <t>MEDIAN pre STU 2018</t>
  </si>
  <si>
    <t>TaS R STU</t>
  </si>
  <si>
    <t>CUVTIS</t>
  </si>
  <si>
    <t>CVT - upgrade hardvéru</t>
  </si>
  <si>
    <t>SIVVPP  energie</t>
  </si>
  <si>
    <t>VO Softvér (e-Biz) ročný poplatok za licenciu</t>
  </si>
  <si>
    <t>Sciendo (de Gruyter) - elektronické publikovanie článkov</t>
  </si>
  <si>
    <t>Fond rektora</t>
  </si>
  <si>
    <t>Stuba Green Team</t>
  </si>
  <si>
    <t>UZ Technik</t>
  </si>
  <si>
    <t>Centrum akademického športu</t>
  </si>
  <si>
    <t>InQb</t>
  </si>
  <si>
    <t>%</t>
  </si>
  <si>
    <t>Rezerva COVID</t>
  </si>
  <si>
    <t>ANSYS, MATLAB, ARL, LabView, e-Porady</t>
  </si>
  <si>
    <t>Študentské aktivity</t>
  </si>
  <si>
    <t>FCHPT</t>
  </si>
  <si>
    <t>Suma 2021</t>
  </si>
  <si>
    <t>Rozdiel 2021-2020</t>
  </si>
  <si>
    <t>Požiadavka 2021</t>
  </si>
  <si>
    <t>Spolu mzdy+odvody R- STU</t>
  </si>
  <si>
    <t>1. Základné služby STU</t>
  </si>
  <si>
    <t>2. Databázy, IT a služby</t>
  </si>
  <si>
    <t>5.  Rôzne</t>
  </si>
  <si>
    <t>Vedenie STU - rektorát</t>
  </si>
  <si>
    <t>Odborné databázy (EIZ) s celouniverzitným zameraním</t>
  </si>
  <si>
    <t xml:space="preserve">Pozn. </t>
  </si>
  <si>
    <t>Športové kluby</t>
  </si>
  <si>
    <t>Rozpis dotácie na rok 2021 pre ŠD</t>
  </si>
  <si>
    <t>Rozpis dotácie v roku 2020 na prvku 0771503 pre ŠD</t>
  </si>
  <si>
    <t>Súdne spory a poplatky</t>
  </si>
  <si>
    <t>Integrátori AIS</t>
  </si>
  <si>
    <t>Personálne zabezpečenie SIVVP</t>
  </si>
  <si>
    <t>ACCORD 5% spolufinancovanie</t>
  </si>
  <si>
    <t>Podpora tímov H2020</t>
  </si>
  <si>
    <t>Odmenenie excelentných výstupov tvorivej činnosti</t>
  </si>
  <si>
    <t>Excelentné tvorivé tímy</t>
  </si>
  <si>
    <t>Postdoktorandský program</t>
  </si>
  <si>
    <t>Vedec roka STU</t>
  </si>
  <si>
    <t>stu</t>
  </si>
  <si>
    <t>STU aktivity</t>
  </si>
  <si>
    <t>Spoločné pre R-STU a STU aktivity (ďalší zošit)</t>
  </si>
  <si>
    <t>Materiálnotechnické a organizačné zabezpečenie vzdelávacích činností pre STU</t>
  </si>
  <si>
    <t>Vedecká rada</t>
  </si>
  <si>
    <t>Podpora medzinárodnej VT spolupráce</t>
  </si>
  <si>
    <t>Zabezpečenie vzdelávania doktorandov</t>
  </si>
  <si>
    <t>Medzinárodné vzťahy</t>
  </si>
  <si>
    <t>Externá a interná komunikácia</t>
  </si>
  <si>
    <t>Akademický senát</t>
  </si>
  <si>
    <t>Mladí výskumník a excelentné tímy</t>
  </si>
  <si>
    <t>Poistenie prístrojov v ŠF</t>
  </si>
  <si>
    <t>mzdy R-STU</t>
  </si>
  <si>
    <t>TaS R-STU</t>
  </si>
  <si>
    <t>účel</t>
  </si>
  <si>
    <t>suma</t>
  </si>
  <si>
    <t>dotácia</t>
  </si>
  <si>
    <t>odvody R-STU</t>
  </si>
  <si>
    <t>Ochrana duševného vlastníctva</t>
  </si>
  <si>
    <t xml:space="preserve">Mzdy a TaS  rektorátu STU komplexne </t>
  </si>
  <si>
    <t>Návrh rozpisu dotácie dotácie STU na rok 2021</t>
  </si>
  <si>
    <r>
      <t xml:space="preserve">Rektorát </t>
    </r>
    <r>
      <rPr>
        <sz val="11"/>
        <color rgb="FFFF0000"/>
        <rFont val="Calibri"/>
        <family val="2"/>
        <charset val="238"/>
        <scheme val="minor"/>
      </rPr>
      <t>(Fond rektora)</t>
    </r>
  </si>
  <si>
    <t>Umelecké činnosti</t>
  </si>
  <si>
    <t>4. Fakulty - podporné aktivity</t>
  </si>
  <si>
    <t>3. STU - podporné aktivity</t>
  </si>
  <si>
    <t>STU - aktivity</t>
  </si>
  <si>
    <t>Fakulty - aktivity</t>
  </si>
  <si>
    <t>Návrh rozpisu dotácie dotácie STU na rok 2021 - Rozdiel oproti roku 2019</t>
  </si>
  <si>
    <t>f</t>
  </si>
  <si>
    <t>Fakulty aktivity</t>
  </si>
  <si>
    <t>Údaje MŠ sú z roku 2019</t>
  </si>
  <si>
    <t>Údaje STU sú podľa roku 2020</t>
  </si>
  <si>
    <t>VSK komisie</t>
  </si>
  <si>
    <t>Program  077 %</t>
  </si>
  <si>
    <t>Spolu: Šport + kultúra</t>
  </si>
  <si>
    <t>Spolu: Zákl. služby STU</t>
  </si>
  <si>
    <t>Spolu: STU - podporné aktivity</t>
  </si>
  <si>
    <t>Spolu: Fakulty - podporné aktivity</t>
  </si>
  <si>
    <t>Spolu: Rôzne</t>
  </si>
  <si>
    <t>Stubáčik</t>
  </si>
  <si>
    <t>Spolufinancovanie projektu H2020 SASPRO 2</t>
  </si>
  <si>
    <t>Spolufinancovanie projektu Interreg SK-AT CARLiS a DigiVil</t>
  </si>
  <si>
    <t>€</t>
  </si>
  <si>
    <t>mzdy  R STU 07711</t>
  </si>
  <si>
    <t>odvody R STU 07711</t>
  </si>
  <si>
    <t>odvody R STU 07712</t>
  </si>
  <si>
    <t>Spolu:  Databázy + IT + služby</t>
  </si>
  <si>
    <t>Finančné prostriedky určené na STU aktivity bez miezd a TaS R-STU</t>
  </si>
  <si>
    <t>Účel MŠVVaŠ 077 1503</t>
  </si>
  <si>
    <t>Návrh rozpisu dotácie dotácie STU na rok 2020 (verzia V7)</t>
  </si>
  <si>
    <t>Návrh rozpisu dotácie dotácie STU na rok 2019 (verzia V4)</t>
  </si>
  <si>
    <t>MEDIAN pre fakulty z rokov 2017 - 2019       ?</t>
  </si>
  <si>
    <t>na zváženie</t>
  </si>
  <si>
    <t>MEDIAN fakulty 2017 - 2019 ?</t>
  </si>
  <si>
    <t>Chýbajúca suma do 90%</t>
  </si>
  <si>
    <t>Program 077 výkonové zložky %</t>
  </si>
  <si>
    <t>Program  077 celkovo %</t>
  </si>
  <si>
    <t>KKŠ 2020 za 4Q2019</t>
  </si>
  <si>
    <t>výkon 1. stupeň (PPS*KO*KAP_OLD*KKS)</t>
  </si>
  <si>
    <t>výkon 2. stupeň (PPS*KO*KAP_OLD*KKS)</t>
  </si>
  <si>
    <t>výkon 3. stupeň (PPS*KO*KAP_OLD*KKS)</t>
  </si>
  <si>
    <t>PPS*KO*KAP_OLD, level1</t>
  </si>
  <si>
    <t>PPS*KO*KAP_OLD, level2</t>
  </si>
  <si>
    <t>PPS*KO*KAP_OLD, level3</t>
  </si>
  <si>
    <t>ABS / KAP_OLD*KO*PPS, level1</t>
  </si>
  <si>
    <t>ABS / KAP_OLD*KO*PPS, level3</t>
  </si>
  <si>
    <t>ABS / KAP_OLD*KO*PPS, level2</t>
  </si>
  <si>
    <t>podiel na dotácií podľa starej metodiky</t>
  </si>
  <si>
    <t>?</t>
  </si>
  <si>
    <t>% vyjadrenie</t>
  </si>
  <si>
    <t>Rozdiel_%</t>
  </si>
  <si>
    <t>Fakulty - aktivity bez Accord</t>
  </si>
  <si>
    <t>Podiel fakúlt na celkovej dotácii</t>
  </si>
  <si>
    <t>rok</t>
  </si>
  <si>
    <t>Spolu (R+akt) bez Accord</t>
  </si>
  <si>
    <t>Spolu (R+akt)</t>
  </si>
  <si>
    <t>Evidenčný prepočítaný počet profesorov a docentov DrSc.</t>
  </si>
  <si>
    <t>Evidenčný prepočítaný počet docentov bez DrSc. a DrSc. bez titulu docent</t>
  </si>
  <si>
    <t>Evidenčný prepočítaný počet ostatných učiteľov s vedeckou hodnosťou</t>
  </si>
  <si>
    <t>Evidenčný prepočítaný počet ostatných učiteľov bez vedeckej hodnosti</t>
  </si>
  <si>
    <t>Spolu evidenčný prepočítaný počet učiteľov priemer za 10.,11.,12.mes/ 2019</t>
  </si>
  <si>
    <t>KKŠ 2021</t>
  </si>
  <si>
    <t>koeficienty pre rok 2021</t>
  </si>
  <si>
    <t>A</t>
  </si>
  <si>
    <t>B</t>
  </si>
  <si>
    <t>C</t>
  </si>
  <si>
    <t>D</t>
  </si>
  <si>
    <t>E = A+B+C+D</t>
  </si>
  <si>
    <t>F = (KKS_prof*A+KKS_doc*B+KKS_phd*C+KKS_ost*D)/E</t>
  </si>
  <si>
    <t>STU údaj MŠ</t>
  </si>
  <si>
    <t>fakulta</t>
  </si>
  <si>
    <t>mzdy R STU 07712</t>
  </si>
  <si>
    <t>Členstvo v KIC EIT, EFRA</t>
  </si>
  <si>
    <t>Podiel jednotlivých položiek na celkovej dotácii 2021 (len výkonové zložky = podprogramy 07711 a 07712)</t>
  </si>
  <si>
    <r>
      <t xml:space="preserve">Program 077 výkonové zložky </t>
    </r>
    <r>
      <rPr>
        <b/>
        <sz val="12"/>
        <rFont val="Calibri"/>
        <family val="2"/>
        <charset val="238"/>
      </rPr>
      <t>€</t>
    </r>
  </si>
  <si>
    <t>x-x</t>
  </si>
  <si>
    <t>Vydavateľská činnosť</t>
  </si>
  <si>
    <t>Aktivity -&gt; fakulty</t>
  </si>
  <si>
    <t>Rozdiel 2021-2020 v %</t>
  </si>
  <si>
    <t>Podiel 2021</t>
  </si>
  <si>
    <t>Podiel 2020</t>
  </si>
  <si>
    <t>Podiel jednotlivých položiek pre fakulty na celkovej dotácii (len výkonové zložky)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</si>
</sst>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_-* #,##0.00\ _€_-;\-* #,##0.00\ _€_-;_-* &quot;-&quot;??\ _€_-;_-@_-"/>
    <numFmt numFmtId="168" formatCode="_-* #,##0\ _€_-;\-* #,##0\ _€_-;_-* &quot;-&quot;??\ _€_-;_-@_-"/>
    <numFmt numFmtId="169" formatCode="#,##0_ ;[Red]\-#,##0\ "/>
    <numFmt numFmtId="170" formatCode="#,##0.000"/>
    <numFmt numFmtId="171" formatCode="0.0%"/>
    <numFmt numFmtId="172" formatCode="0.000%"/>
    <numFmt numFmtId="173" formatCode="0.000"/>
    <numFmt numFmtId="174" formatCode="#,##0.0_ ;[Red]\-#,##0.0\ "/>
    <numFmt numFmtId="175" formatCode="0.00000"/>
    <numFmt numFmtId="176" formatCode="_-* #,##0.00\ _S_k_-;\-* #,##0.00\ _S_k_-;_-* &quot;-&quot;??\ _S_k_-;_-@_-"/>
    <numFmt numFmtId="177" formatCode="_-* #,##0.0000\ _S_k_-;\-* #,##0.0000\ _S_k_-;_-* &quot;-&quot;??\ _S_k_-;_-@_-"/>
    <numFmt numFmtId="178" formatCode="_-* #,##0.00\ &quot;Sk&quot;_-;\-* #,##0.00\ &quot;Sk&quot;_-;_-* &quot;-&quot;??\ &quot;Sk&quot;_-;_-@_-"/>
    <numFmt numFmtId="179" formatCode="#,##0.00_ ;[Red]\-#,##0.00\ "/>
    <numFmt numFmtId="180" formatCode="0.0000"/>
    <numFmt numFmtId="181" formatCode="#,##0_ ;\-#,##0\ "/>
    <numFmt numFmtId="182" formatCode="_-* #,##0\ _S_k_-;\-* #,##0\ _S_k_-;_-* &quot;-&quot;??\ _S_k_-;_-@_-"/>
    <numFmt numFmtId="183" formatCode="&quot; &quot;#,##0.00&quot;    &quot;;&quot;-&quot;#,##0.00&quot;    &quot;;&quot; -&quot;00&quot;    &quot;;&quot; &quot;@&quot; &quot;"/>
    <numFmt numFmtId="184" formatCode="#,##0.000_ ;[Red]\-#,##0.000\ "/>
    <numFmt numFmtId="185" formatCode="_-* #,##0.00\ [$€-1]_-;\-* #,##0.00\ [$€-1]_-;_-* &quot;-&quot;??\ [$€-1]_-"/>
    <numFmt numFmtId="186" formatCode="[$-41B]General"/>
  </numFmts>
  <fonts count="1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rgb="FFFF0000"/>
      <name val="Arial CE"/>
      <family val="2"/>
      <charset val="238"/>
    </font>
    <font>
      <sz val="10"/>
      <color rgb="FF16365C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9C0006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rgb="FF0000FF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48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b/>
      <sz val="10"/>
      <color indexed="57"/>
      <name val="Calibri"/>
      <family val="2"/>
      <charset val="238"/>
      <scheme val="minor"/>
    </font>
    <font>
      <b/>
      <i/>
      <sz val="10"/>
      <color indexed="48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Times New Roman"/>
      <family val="1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</font>
    <font>
      <sz val="11"/>
      <color rgb="FF0061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 Narrow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8.5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0"/>
      <charset val="238"/>
    </font>
    <font>
      <b/>
      <sz val="18"/>
      <color indexed="62"/>
      <name val="Cambria"/>
      <family val="2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rgb="FFC00000"/>
      <name val="Calibri"/>
      <family val="2"/>
      <scheme val="minor"/>
    </font>
  </fonts>
  <fills count="1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F76E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rgb="FFFCD5B4"/>
        <bgColor rgb="FFFCD5B4"/>
      </patternFill>
    </fill>
    <fill>
      <patternFill patternType="solid">
        <fgColor rgb="FFB7DEE8"/>
        <bgColor rgb="FFB7DEE8"/>
      </patternFill>
    </fill>
    <fill>
      <patternFill patternType="solid">
        <fgColor rgb="FFFFC7CE"/>
        <bgColor rgb="FFFFC7CE"/>
      </patternFill>
    </fill>
    <fill>
      <patternFill patternType="solid">
        <fgColor rgb="FF92D050"/>
        <bgColor rgb="FF92D050"/>
      </patternFill>
    </fill>
    <fill>
      <patternFill patternType="solid">
        <fgColor indexed="55"/>
      </patternFill>
    </fill>
    <fill>
      <patternFill patternType="solid">
        <fgColor rgb="FFFF99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</fills>
  <borders count="22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88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169" fontId="8" fillId="26" borderId="20"/>
    <xf numFmtId="0" fontId="7" fillId="0" borderId="41">
      <alignment horizontal="left" indent="1"/>
    </xf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9" fontId="28" fillId="50" borderId="68" applyAlignment="0" applyProtection="0"/>
    <xf numFmtId="0" fontId="32" fillId="0" borderId="0"/>
    <xf numFmtId="0" fontId="11" fillId="0" borderId="0"/>
    <xf numFmtId="169" fontId="7" fillId="0" borderId="0"/>
    <xf numFmtId="44" fontId="4" fillId="0" borderId="0" applyFont="0" applyFill="0" applyBorder="0" applyAlignment="0" applyProtection="0"/>
    <xf numFmtId="0" fontId="7" fillId="0" borderId="41">
      <alignment horizontal="left" indent="1"/>
    </xf>
    <xf numFmtId="0" fontId="4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4" fillId="0" borderId="0"/>
    <xf numFmtId="0" fontId="33" fillId="0" borderId="0"/>
    <xf numFmtId="0" fontId="11" fillId="0" borderId="0"/>
    <xf numFmtId="0" fontId="11" fillId="0" borderId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58" borderId="0" applyNumberFormat="0" applyBorder="0" applyAlignment="0" applyProtection="0"/>
    <xf numFmtId="0" fontId="33" fillId="61" borderId="0" applyNumberFormat="0" applyBorder="0" applyAlignment="0" applyProtection="0"/>
    <xf numFmtId="0" fontId="33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72" borderId="0" applyNumberFormat="0" applyBorder="0" applyAlignment="0" applyProtection="0"/>
    <xf numFmtId="0" fontId="35" fillId="56" borderId="0" applyNumberFormat="0" applyBorder="0" applyAlignment="0" applyProtection="0"/>
    <xf numFmtId="0" fontId="36" fillId="73" borderId="81" applyNumberFormat="0" applyAlignment="0" applyProtection="0"/>
    <xf numFmtId="0" fontId="37" fillId="0" borderId="0" applyNumberFormat="0" applyFill="0" applyBorder="0" applyAlignment="0" applyProtection="0"/>
    <xf numFmtId="10" fontId="38" fillId="0" borderId="0" applyFill="0" applyBorder="0" applyAlignment="0" applyProtection="0"/>
    <xf numFmtId="0" fontId="39" fillId="74" borderId="0" applyNumberFormat="0" applyFont="0" applyBorder="0" applyAlignment="0" applyProtection="0"/>
    <xf numFmtId="10" fontId="38" fillId="0" borderId="0" applyFill="0" applyBorder="0" applyAlignment="0" applyProtection="0"/>
    <xf numFmtId="0" fontId="39" fillId="74" borderId="0" applyNumberFormat="0" applyFont="0" applyBorder="0" applyAlignment="0" applyProtection="0"/>
    <xf numFmtId="10" fontId="38" fillId="0" borderId="0" applyFill="0" applyBorder="0" applyAlignment="0" applyProtection="0"/>
    <xf numFmtId="0" fontId="39" fillId="74" borderId="0" applyNumberFormat="0" applyFont="0" applyBorder="0" applyAlignment="0" applyProtection="0"/>
    <xf numFmtId="10" fontId="38" fillId="0" borderId="0" applyFill="0" applyBorder="0" applyAlignment="0" applyProtection="0"/>
    <xf numFmtId="0" fontId="39" fillId="74" borderId="0" applyNumberFormat="0" applyBorder="0" applyAlignment="0" applyProtection="0"/>
    <xf numFmtId="10" fontId="38" fillId="0" borderId="0" applyFill="0" applyBorder="0" applyAlignment="0" applyProtection="0"/>
    <xf numFmtId="0" fontId="39" fillId="74" borderId="0" applyNumberFormat="0" applyBorder="0" applyAlignment="0" applyProtection="0"/>
    <xf numFmtId="0" fontId="40" fillId="75" borderId="0" applyNumberFormat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76" borderId="0" applyNumberFormat="0" applyBorder="0" applyAlignment="0" applyProtection="0"/>
    <xf numFmtId="0" fontId="39" fillId="74" borderId="0" applyNumberFormat="0" applyFont="0" applyBorder="0" applyAlignment="0" applyProtection="0"/>
    <xf numFmtId="0" fontId="39" fillId="74" borderId="0" applyNumberFormat="0" applyFont="0" applyBorder="0" applyAlignment="0" applyProtection="0"/>
    <xf numFmtId="0" fontId="39" fillId="77" borderId="0" applyNumberFormat="0" applyFont="0" applyBorder="0" applyAlignment="0" applyProtection="0"/>
    <xf numFmtId="0" fontId="39" fillId="74" borderId="0" applyNumberFormat="0" applyFont="0" applyBorder="0" applyAlignment="0" applyProtection="0"/>
    <xf numFmtId="176" fontId="6" fillId="0" borderId="0" applyFont="0" applyFill="0" applyBorder="0" applyAlignment="0" applyProtection="0"/>
    <xf numFmtId="176" fontId="32" fillId="0" borderId="0" applyFont="0" applyFill="0" applyBorder="0" applyAlignment="0" applyProtection="0"/>
    <xf numFmtId="183" fontId="39" fillId="0" borderId="0" applyFont="0" applyFill="0" applyBorder="0" applyAlignment="0" applyProtection="0"/>
    <xf numFmtId="169" fontId="7" fillId="0" borderId="73">
      <alignment horizontal="right" indent="1"/>
    </xf>
    <xf numFmtId="0" fontId="42" fillId="0" borderId="0" applyNumberFormat="0" applyFill="0" applyBorder="0" applyAlignment="0" applyProtection="0"/>
    <xf numFmtId="0" fontId="43" fillId="57" borderId="0" applyNumberFormat="0" applyBorder="0" applyAlignment="0" applyProtection="0"/>
    <xf numFmtId="0" fontId="44" fillId="0" borderId="82" applyNumberFormat="0" applyFill="0" applyAlignment="0" applyProtection="0"/>
    <xf numFmtId="0" fontId="45" fillId="0" borderId="83" applyNumberFormat="0" applyFill="0" applyAlignment="0" applyProtection="0"/>
    <xf numFmtId="0" fontId="46" fillId="0" borderId="84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3">
      <alignment horizontal="center" vertical="center"/>
    </xf>
    <xf numFmtId="0" fontId="47" fillId="0" borderId="0" applyNumberFormat="0" applyFill="0" applyBorder="0" applyAlignment="0" applyProtection="0"/>
    <xf numFmtId="0" fontId="48" fillId="78" borderId="85" applyNumberFormat="0" applyAlignment="0" applyProtection="0"/>
    <xf numFmtId="0" fontId="49" fillId="60" borderId="81" applyNumberFormat="0" applyAlignment="0" applyProtection="0"/>
    <xf numFmtId="0" fontId="32" fillId="30" borderId="73"/>
    <xf numFmtId="0" fontId="32" fillId="79" borderId="74"/>
    <xf numFmtId="0" fontId="50" fillId="0" borderId="86" applyNumberFormat="0" applyFill="0" applyAlignment="0" applyProtection="0"/>
    <xf numFmtId="178" fontId="32" fillId="0" borderId="0" applyFont="0" applyFill="0" applyBorder="0" applyAlignment="0" applyProtection="0"/>
    <xf numFmtId="0" fontId="51" fillId="80" borderId="0" applyNumberFormat="0" applyBorder="0" applyAlignment="0" applyProtection="0"/>
    <xf numFmtId="0" fontId="11" fillId="0" borderId="0"/>
    <xf numFmtId="0" fontId="3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6" fillId="0" borderId="0"/>
    <xf numFmtId="0" fontId="33" fillId="81" borderId="87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8" applyNumberFormat="0" applyFill="0" applyAlignment="0" applyProtection="0"/>
    <xf numFmtId="0" fontId="55" fillId="0" borderId="89" applyNumberFormat="0" applyProtection="0">
      <alignment horizontal="left" indent="1"/>
    </xf>
    <xf numFmtId="0" fontId="9" fillId="24" borderId="41">
      <alignment horizontal="left" indent="1"/>
    </xf>
    <xf numFmtId="0" fontId="5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55" fillId="0" borderId="0"/>
    <xf numFmtId="0" fontId="4" fillId="0" borderId="0"/>
    <xf numFmtId="0" fontId="2" fillId="2" borderId="0" applyNumberFormat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/>
    <xf numFmtId="169" fontId="7" fillId="0" borderId="125">
      <alignment horizontal="right" indent="1"/>
    </xf>
    <xf numFmtId="0" fontId="36" fillId="73" borderId="127" applyNumberFormat="0" applyAlignment="0" applyProtection="0"/>
    <xf numFmtId="0" fontId="54" fillId="0" borderId="129" applyNumberFormat="0" applyFill="0" applyAlignment="0" applyProtection="0"/>
    <xf numFmtId="0" fontId="33" fillId="81" borderId="128" applyNumberFormat="0" applyFont="0" applyAlignment="0" applyProtection="0"/>
    <xf numFmtId="0" fontId="36" fillId="73" borderId="122" applyNumberFormat="0" applyAlignment="0" applyProtection="0"/>
    <xf numFmtId="0" fontId="32" fillId="79" borderId="126"/>
    <xf numFmtId="0" fontId="32" fillId="30" borderId="125"/>
    <xf numFmtId="0" fontId="49" fillId="60" borderId="127" applyNumberFormat="0" applyAlignment="0" applyProtection="0"/>
    <xf numFmtId="169" fontId="7" fillId="0" borderId="120">
      <alignment horizontal="right" indent="1"/>
    </xf>
    <xf numFmtId="0" fontId="49" fillId="60" borderId="122" applyNumberFormat="0" applyAlignment="0" applyProtection="0"/>
    <xf numFmtId="0" fontId="32" fillId="30" borderId="120"/>
    <xf numFmtId="0" fontId="32" fillId="79" borderId="121"/>
    <xf numFmtId="0" fontId="33" fillId="81" borderId="123" applyNumberFormat="0" applyFont="0" applyAlignment="0" applyProtection="0"/>
    <xf numFmtId="0" fontId="54" fillId="0" borderId="124" applyNumberFormat="0" applyFill="0" applyAlignment="0" applyProtection="0"/>
    <xf numFmtId="169" fontId="7" fillId="0" borderId="147">
      <alignment horizontal="right" indent="1"/>
    </xf>
    <xf numFmtId="0" fontId="36" fillId="73" borderId="150" applyNumberFormat="0" applyAlignment="0" applyProtection="0"/>
    <xf numFmtId="0" fontId="54" fillId="0" borderId="152" applyNumberFormat="0" applyFill="0" applyAlignment="0" applyProtection="0"/>
    <xf numFmtId="0" fontId="33" fillId="81" borderId="151" applyNumberFormat="0" applyFont="0" applyAlignment="0" applyProtection="0"/>
    <xf numFmtId="0" fontId="36" fillId="73" borderId="136" applyNumberFormat="0" applyAlignment="0" applyProtection="0"/>
    <xf numFmtId="0" fontId="32" fillId="79" borderId="148"/>
    <xf numFmtId="0" fontId="32" fillId="30" borderId="147"/>
    <xf numFmtId="0" fontId="49" fillId="60" borderId="150" applyNumberFormat="0" applyAlignment="0" applyProtection="0"/>
    <xf numFmtId="169" fontId="7" fillId="0" borderId="134">
      <alignment horizontal="right" indent="1"/>
    </xf>
    <xf numFmtId="0" fontId="49" fillId="60" borderId="136" applyNumberFormat="0" applyAlignment="0" applyProtection="0"/>
    <xf numFmtId="0" fontId="32" fillId="30" borderId="134"/>
    <xf numFmtId="0" fontId="32" fillId="79" borderId="135"/>
    <xf numFmtId="0" fontId="33" fillId="81" borderId="137" applyNumberFormat="0" applyFont="0" applyAlignment="0" applyProtection="0"/>
    <xf numFmtId="0" fontId="54" fillId="0" borderId="138" applyNumberFormat="0" applyFill="0" applyAlignment="0" applyProtection="0"/>
    <xf numFmtId="169" fontId="7" fillId="0" borderId="142">
      <alignment horizontal="right" indent="1"/>
    </xf>
    <xf numFmtId="0" fontId="36" fillId="73" borderId="144" applyNumberFormat="0" applyAlignment="0" applyProtection="0"/>
    <xf numFmtId="0" fontId="54" fillId="0" borderId="146" applyNumberFormat="0" applyFill="0" applyAlignment="0" applyProtection="0"/>
    <xf numFmtId="0" fontId="33" fillId="81" borderId="145" applyNumberFormat="0" applyFont="0" applyAlignment="0" applyProtection="0"/>
    <xf numFmtId="0" fontId="36" fillId="73" borderId="139" applyNumberFormat="0" applyAlignment="0" applyProtection="0"/>
    <xf numFmtId="0" fontId="32" fillId="79" borderId="143"/>
    <xf numFmtId="0" fontId="32" fillId="30" borderId="142"/>
    <xf numFmtId="0" fontId="49" fillId="60" borderId="144" applyNumberFormat="0" applyAlignment="0" applyProtection="0"/>
    <xf numFmtId="169" fontId="7" fillId="0" borderId="134">
      <alignment horizontal="right" indent="1"/>
    </xf>
    <xf numFmtId="0" fontId="49" fillId="60" borderId="139" applyNumberFormat="0" applyAlignment="0" applyProtection="0"/>
    <xf numFmtId="0" fontId="32" fillId="30" borderId="134"/>
    <xf numFmtId="0" fontId="32" fillId="79" borderId="135"/>
    <xf numFmtId="0" fontId="33" fillId="81" borderId="140" applyNumberFormat="0" applyFont="0" applyAlignment="0" applyProtection="0"/>
    <xf numFmtId="0" fontId="54" fillId="0" borderId="141" applyNumberFormat="0" applyFill="0" applyAlignment="0" applyProtection="0"/>
    <xf numFmtId="169" fontId="7" fillId="0" borderId="156">
      <alignment horizontal="right" indent="1"/>
    </xf>
    <xf numFmtId="0" fontId="36" fillId="73" borderId="158" applyNumberFormat="0" applyAlignment="0" applyProtection="0"/>
    <xf numFmtId="0" fontId="54" fillId="0" borderId="160" applyNumberFormat="0" applyFill="0" applyAlignment="0" applyProtection="0"/>
    <xf numFmtId="0" fontId="33" fillId="81" borderId="159" applyNumberFormat="0" applyFont="0" applyAlignment="0" applyProtection="0"/>
    <xf numFmtId="0" fontId="36" fillId="73" borderId="153" applyNumberFormat="0" applyAlignment="0" applyProtection="0"/>
    <xf numFmtId="0" fontId="32" fillId="79" borderId="157"/>
    <xf numFmtId="0" fontId="32" fillId="30" borderId="156"/>
    <xf numFmtId="0" fontId="49" fillId="60" borderId="158" applyNumberFormat="0" applyAlignment="0" applyProtection="0"/>
    <xf numFmtId="169" fontId="7" fillId="0" borderId="147">
      <alignment horizontal="right" indent="1"/>
    </xf>
    <xf numFmtId="0" fontId="49" fillId="60" borderId="153" applyNumberFormat="0" applyAlignment="0" applyProtection="0"/>
    <xf numFmtId="0" fontId="32" fillId="30" borderId="147"/>
    <xf numFmtId="0" fontId="32" fillId="79" borderId="148"/>
    <xf numFmtId="0" fontId="33" fillId="81" borderId="154" applyNumberFormat="0" applyFont="0" applyAlignment="0" applyProtection="0"/>
    <xf numFmtId="0" fontId="54" fillId="0" borderId="155" applyNumberFormat="0" applyFill="0" applyAlignment="0" applyProtection="0"/>
    <xf numFmtId="0" fontId="34" fillId="65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49" fillId="60" borderId="196" applyNumberFormat="0" applyAlignment="0" applyProtection="0"/>
    <xf numFmtId="178" fontId="10" fillId="0" borderId="0" applyFont="0" applyFill="0" applyBorder="0" applyAlignment="0" applyProtection="0"/>
    <xf numFmtId="0" fontId="10" fillId="0" borderId="0"/>
    <xf numFmtId="169" fontId="7" fillId="0" borderId="161">
      <alignment horizontal="right" indent="1"/>
    </xf>
    <xf numFmtId="9" fontId="10" fillId="0" borderId="0" applyFont="0" applyFill="0" applyBorder="0" applyAlignment="0" applyProtection="0"/>
    <xf numFmtId="0" fontId="54" fillId="0" borderId="198" applyNumberFormat="0" applyFill="0" applyAlignment="0" applyProtection="0"/>
    <xf numFmtId="0" fontId="5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30" borderId="161"/>
    <xf numFmtId="0" fontId="10" fillId="79" borderId="162"/>
    <xf numFmtId="0" fontId="10" fillId="0" borderId="3">
      <alignment horizontal="center" vertical="center"/>
    </xf>
    <xf numFmtId="176" fontId="10" fillId="0" borderId="0" applyFont="0" applyFill="0" applyBorder="0" applyAlignment="0" applyProtection="0"/>
    <xf numFmtId="0" fontId="10" fillId="0" borderId="0"/>
    <xf numFmtId="0" fontId="101" fillId="2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" fillId="116" borderId="200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1" fillId="121" borderId="200" applyNumberFormat="0" applyProtection="0">
      <alignment horizontal="left" vertical="top" indent="1"/>
    </xf>
    <xf numFmtId="0" fontId="36" fillId="73" borderId="81" applyNumberFormat="0" applyAlignment="0" applyProtection="0"/>
    <xf numFmtId="169" fontId="7" fillId="0" borderId="199">
      <alignment horizontal="right" indent="1"/>
    </xf>
    <xf numFmtId="0" fontId="10" fillId="0" borderId="3">
      <alignment horizontal="center" vertical="center"/>
    </xf>
    <xf numFmtId="0" fontId="49" fillId="60" borderId="81" applyNumberFormat="0" applyAlignment="0" applyProtection="0"/>
    <xf numFmtId="0" fontId="10" fillId="30" borderId="161"/>
    <xf numFmtId="0" fontId="10" fillId="79" borderId="162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3" fillId="81" borderId="87" applyNumberFormat="0" applyFont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198" applyNumberFormat="0" applyFill="0" applyAlignment="0" applyProtection="0"/>
    <xf numFmtId="169" fontId="8" fillId="26" borderId="20"/>
    <xf numFmtId="169" fontId="7" fillId="0" borderId="199">
      <alignment horizontal="right" indent="1"/>
    </xf>
    <xf numFmtId="0" fontId="33" fillId="0" borderId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6" fillId="73" borderId="81" applyNumberFormat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9" fillId="60" borderId="81" applyNumberFormat="0" applyAlignment="0" applyProtection="0"/>
    <xf numFmtId="0" fontId="33" fillId="0" borderId="0"/>
    <xf numFmtId="0" fontId="33" fillId="0" borderId="0"/>
    <xf numFmtId="0" fontId="33" fillId="0" borderId="0"/>
    <xf numFmtId="0" fontId="52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98" fillId="0" borderId="0"/>
    <xf numFmtId="0" fontId="6" fillId="81" borderId="87" applyNumberFormat="0" applyFont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" fontId="104" fillId="80" borderId="200" applyNumberFormat="0" applyProtection="0">
      <alignment vertical="center"/>
    </xf>
    <xf numFmtId="4" fontId="105" fillId="23" borderId="200" applyNumberFormat="0" applyProtection="0">
      <alignment vertical="center"/>
    </xf>
    <xf numFmtId="4" fontId="104" fillId="23" borderId="200" applyNumberFormat="0" applyProtection="0">
      <alignment horizontal="left" vertical="center" indent="1"/>
    </xf>
    <xf numFmtId="0" fontId="104" fillId="23" borderId="200" applyNumberFormat="0" applyProtection="0">
      <alignment horizontal="left" vertical="top" indent="1"/>
    </xf>
    <xf numFmtId="4" fontId="106" fillId="56" borderId="200" applyNumberFormat="0" applyProtection="0">
      <alignment horizontal="right" vertical="center"/>
    </xf>
    <xf numFmtId="4" fontId="106" fillId="62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72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4" fillId="119" borderId="201" applyNumberFormat="0" applyProtection="0">
      <alignment horizontal="left" vertical="center" indent="1"/>
    </xf>
    <xf numFmtId="4" fontId="106" fillId="120" borderId="0" applyNumberFormat="0" applyProtection="0">
      <alignment horizontal="left" vertical="center" indent="1"/>
    </xf>
    <xf numFmtId="4" fontId="107" fillId="121" borderId="0" applyNumberFormat="0" applyProtection="0">
      <alignment horizontal="left" vertical="center" indent="1"/>
    </xf>
    <xf numFmtId="4" fontId="106" fillId="122" borderId="200" applyNumberFormat="0" applyProtection="0">
      <alignment horizontal="right" vertical="center"/>
    </xf>
    <xf numFmtId="4" fontId="108" fillId="120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0" fontId="11" fillId="121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0" fontId="11" fillId="116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1" fillId="25" borderId="200" applyNumberFormat="0" applyProtection="0">
      <alignment horizontal="left" vertical="top" indent="1"/>
    </xf>
    <xf numFmtId="4" fontId="104" fillId="116" borderId="0" applyNumberFormat="0" applyProtection="0">
      <alignment horizontal="left" vertical="center" indent="1"/>
    </xf>
    <xf numFmtId="4" fontId="106" fillId="1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6" fillId="123" borderId="200" applyNumberFormat="0" applyProtection="0">
      <alignment horizontal="left" vertical="center" indent="1"/>
    </xf>
    <xf numFmtId="0" fontId="106" fillId="123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4" fontId="109" fillId="120" borderId="200" applyNumberFormat="0" applyProtection="0">
      <alignment horizontal="right" vertical="center"/>
    </xf>
    <xf numFmtId="4" fontId="106" fillId="122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4" fontId="110" fillId="124" borderId="0" applyNumberFormat="0" applyProtection="0">
      <alignment horizontal="left" vertical="center" indent="1"/>
    </xf>
    <xf numFmtId="4" fontId="111" fillId="120" borderId="200" applyNumberFormat="0" applyProtection="0">
      <alignment horizontal="right" vertical="center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0" fontId="54" fillId="0" borderId="198" applyNumberFormat="0" applyFill="0" applyAlignment="0" applyProtection="0"/>
    <xf numFmtId="0" fontId="54" fillId="0" borderId="198" applyNumberFormat="0" applyFill="0" applyAlignment="0" applyProtection="0"/>
    <xf numFmtId="4" fontId="106" fillId="62" borderId="200" applyNumberFormat="0" applyProtection="0">
      <alignment horizontal="right" vertical="center"/>
    </xf>
    <xf numFmtId="0" fontId="54" fillId="0" borderId="198" applyNumberFormat="0" applyFill="0" applyAlignment="0" applyProtection="0"/>
    <xf numFmtId="4" fontId="106" fillId="64" borderId="200" applyNumberFormat="0" applyProtection="0">
      <alignment horizontal="right" vertical="center"/>
    </xf>
    <xf numFmtId="0" fontId="10" fillId="30" borderId="199"/>
    <xf numFmtId="4" fontId="106" fillId="62" borderId="200" applyNumberFormat="0" applyProtection="0">
      <alignment horizontal="right" vertical="center"/>
    </xf>
    <xf numFmtId="0" fontId="10" fillId="30" borderId="199"/>
    <xf numFmtId="4" fontId="104" fillId="80" borderId="200" applyNumberFormat="0" applyProtection="0">
      <alignment vertical="center"/>
    </xf>
    <xf numFmtId="169" fontId="7" fillId="0" borderId="199">
      <alignment horizontal="right" indent="1"/>
    </xf>
    <xf numFmtId="4" fontId="106" fillId="120" borderId="200" applyNumberFormat="0" applyProtection="0">
      <alignment horizontal="right" vertical="center"/>
    </xf>
    <xf numFmtId="0" fontId="54" fillId="0" borderId="198" applyNumberFormat="0" applyFill="0" applyAlignment="0" applyProtection="0"/>
    <xf numFmtId="0" fontId="6" fillId="81" borderId="87" applyNumberFormat="0" applyFont="0" applyAlignment="0" applyProtection="0"/>
    <xf numFmtId="9" fontId="10" fillId="0" borderId="0" applyFont="0" applyFill="0" applyBorder="0" applyAlignment="0" applyProtection="0"/>
    <xf numFmtId="0" fontId="10" fillId="30" borderId="199"/>
    <xf numFmtId="4" fontId="106" fillId="68" borderId="200" applyNumberFormat="0" applyProtection="0">
      <alignment horizontal="right" vertical="center"/>
    </xf>
    <xf numFmtId="4" fontId="106" fillId="62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72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0" fontId="10" fillId="30" borderId="199"/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0" fontId="106" fillId="116" borderId="200" applyNumberFormat="0" applyProtection="0">
      <alignment horizontal="left" vertical="top" indent="1"/>
    </xf>
    <xf numFmtId="9" fontId="10" fillId="0" borderId="0" applyFont="0" applyFill="0" applyBorder="0" applyAlignment="0" applyProtection="0"/>
    <xf numFmtId="0" fontId="49" fillId="60" borderId="81" applyNumberFormat="0" applyAlignment="0" applyProtection="0"/>
    <xf numFmtId="4" fontId="109" fillId="120" borderId="200" applyNumberFormat="0" applyProtection="0">
      <alignment horizontal="right" vertical="center"/>
    </xf>
    <xf numFmtId="9" fontId="10" fillId="0" borderId="0" applyFont="0" applyFill="0" applyBorder="0" applyAlignment="0" applyProtection="0"/>
    <xf numFmtId="0" fontId="33" fillId="81" borderId="87" applyNumberFormat="0" applyFont="0" applyAlignment="0" applyProtection="0"/>
    <xf numFmtId="0" fontId="11" fillId="25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top" indent="1"/>
    </xf>
    <xf numFmtId="9" fontId="10" fillId="0" borderId="0" applyFont="0" applyFill="0" applyBorder="0" applyAlignment="0" applyProtection="0"/>
    <xf numFmtId="4" fontId="104" fillId="80" borderId="200" applyNumberFormat="0" applyProtection="0">
      <alignment vertical="center"/>
    </xf>
    <xf numFmtId="4" fontId="106" fillId="56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0" fontId="49" fillId="60" borderId="81" applyNumberFormat="0" applyAlignment="0" applyProtection="0"/>
    <xf numFmtId="4" fontId="106" fillId="123" borderId="200" applyNumberFormat="0" applyProtection="0">
      <alignment vertical="center"/>
    </xf>
    <xf numFmtId="0" fontId="106" fillId="123" borderId="200" applyNumberFormat="0" applyProtection="0">
      <alignment horizontal="left" vertical="top" indent="1"/>
    </xf>
    <xf numFmtId="0" fontId="54" fillId="0" borderId="198" applyNumberFormat="0" applyFill="0" applyAlignment="0" applyProtection="0"/>
    <xf numFmtId="169" fontId="7" fillId="0" borderId="199">
      <alignment horizontal="right" indent="1"/>
    </xf>
    <xf numFmtId="4" fontId="104" fillId="23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0" fontId="36" fillId="73" borderId="81" applyNumberFormat="0" applyAlignment="0" applyProtection="0"/>
    <xf numFmtId="4" fontId="106" fillId="118" borderId="200" applyNumberFormat="0" applyProtection="0">
      <alignment horizontal="right" vertical="center"/>
    </xf>
    <xf numFmtId="169" fontId="7" fillId="0" borderId="199">
      <alignment horizontal="right" indent="1"/>
    </xf>
    <xf numFmtId="4" fontId="111" fillId="120" borderId="200" applyNumberFormat="0" applyProtection="0">
      <alignment horizontal="right" vertical="center"/>
    </xf>
    <xf numFmtId="4" fontId="105" fillId="23" borderId="200" applyNumberFormat="0" applyProtection="0">
      <alignment vertical="center"/>
    </xf>
    <xf numFmtId="9" fontId="10" fillId="0" borderId="0" applyFont="0" applyFill="0" applyBorder="0" applyAlignment="0" applyProtection="0"/>
    <xf numFmtId="0" fontId="33" fillId="81" borderId="87" applyNumberFormat="0" applyFont="0" applyAlignment="0" applyProtection="0"/>
    <xf numFmtId="169" fontId="7" fillId="0" borderId="199">
      <alignment horizontal="right" indent="1"/>
    </xf>
    <xf numFmtId="4" fontId="106" fillId="56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6" fillId="123" borderId="200" applyNumberFormat="0" applyProtection="0">
      <alignment horizontal="left" vertical="center" indent="1"/>
    </xf>
    <xf numFmtId="4" fontId="105" fillId="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9" fillId="120" borderId="200" applyNumberFormat="0" applyProtection="0">
      <alignment horizontal="right" vertical="center"/>
    </xf>
    <xf numFmtId="4" fontId="104" fillId="23" borderId="200" applyNumberFormat="0" applyProtection="0">
      <alignment horizontal="left" vertical="center" indent="1"/>
    </xf>
    <xf numFmtId="0" fontId="36" fillId="73" borderId="81" applyNumberFormat="0" applyAlignment="0" applyProtection="0"/>
    <xf numFmtId="0" fontId="49" fillId="60" borderId="81" applyNumberFormat="0" applyAlignment="0" applyProtection="0"/>
    <xf numFmtId="0" fontId="11" fillId="116" borderId="200" applyNumberFormat="0" applyProtection="0">
      <alignment horizontal="left" vertical="center" indent="1"/>
    </xf>
    <xf numFmtId="4" fontId="106" fillId="63" borderId="200" applyNumberFormat="0" applyProtection="0">
      <alignment horizontal="right" vertical="center"/>
    </xf>
    <xf numFmtId="169" fontId="7" fillId="0" borderId="199">
      <alignment horizontal="right" indent="1"/>
    </xf>
    <xf numFmtId="4" fontId="106" fillId="72" borderId="200" applyNumberFormat="0" applyProtection="0">
      <alignment horizontal="right" vertical="center"/>
    </xf>
    <xf numFmtId="0" fontId="36" fillId="73" borderId="81" applyNumberFormat="0" applyAlignment="0" applyProtection="0"/>
    <xf numFmtId="169" fontId="7" fillId="0" borderId="199">
      <alignment horizontal="right" indent="1"/>
    </xf>
    <xf numFmtId="0" fontId="6" fillId="81" borderId="87" applyNumberFormat="0" applyFont="0" applyAlignment="0" applyProtection="0"/>
    <xf numFmtId="0" fontId="103" fillId="73" borderId="197" applyNumberFormat="0" applyAlignment="0" applyProtection="0"/>
    <xf numFmtId="4" fontId="106" fillId="123" borderId="200" applyNumberFormat="0" applyProtection="0">
      <alignment horizontal="left" vertical="center" indent="1"/>
    </xf>
    <xf numFmtId="4" fontId="109" fillId="123" borderId="200" applyNumberFormat="0" applyProtection="0">
      <alignment vertical="center"/>
    </xf>
    <xf numFmtId="0" fontId="11" fillId="37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4" fontId="104" fillId="80" borderId="200" applyNumberFormat="0" applyProtection="0">
      <alignment vertical="center"/>
    </xf>
    <xf numFmtId="4" fontId="105" fillId="23" borderId="200" applyNumberFormat="0" applyProtection="0">
      <alignment vertical="center"/>
    </xf>
    <xf numFmtId="4" fontId="104" fillId="23" borderId="200" applyNumberFormat="0" applyProtection="0">
      <alignment horizontal="left" vertical="center" indent="1"/>
    </xf>
    <xf numFmtId="0" fontId="104" fillId="23" borderId="200" applyNumberFormat="0" applyProtection="0">
      <alignment horizontal="left" vertical="top" indent="1"/>
    </xf>
    <xf numFmtId="4" fontId="106" fillId="56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0" fontId="11" fillId="121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4" fontId="106" fillId="122" borderId="200" applyNumberFormat="0" applyProtection="0">
      <alignment horizontal="left" vertical="center" indent="1"/>
    </xf>
    <xf numFmtId="4" fontId="111" fillId="120" borderId="200" applyNumberFormat="0" applyProtection="0">
      <alignment horizontal="right" vertical="center"/>
    </xf>
    <xf numFmtId="0" fontId="103" fillId="73" borderId="197" applyNumberFormat="0" applyAlignment="0" applyProtection="0"/>
    <xf numFmtId="0" fontId="49" fillId="60" borderId="81" applyNumberFormat="0" applyAlignment="0" applyProtection="0"/>
    <xf numFmtId="0" fontId="54" fillId="0" borderId="198" applyNumberFormat="0" applyFill="0" applyAlignment="0" applyProtection="0"/>
    <xf numFmtId="0" fontId="104" fillId="23" borderId="200" applyNumberFormat="0" applyProtection="0">
      <alignment horizontal="left" vertical="top" indent="1"/>
    </xf>
    <xf numFmtId="4" fontId="104" fillId="80" borderId="200" applyNumberFormat="0" applyProtection="0">
      <alignment vertical="center"/>
    </xf>
    <xf numFmtId="4" fontId="105" fillId="23" borderId="200" applyNumberFormat="0" applyProtection="0">
      <alignment vertical="center"/>
    </xf>
    <xf numFmtId="4" fontId="104" fillId="23" borderId="200" applyNumberFormat="0" applyProtection="0">
      <alignment horizontal="left" vertical="center" indent="1"/>
    </xf>
    <xf numFmtId="0" fontId="104" fillId="23" borderId="200" applyNumberFormat="0" applyProtection="0">
      <alignment horizontal="left" vertical="top" indent="1"/>
    </xf>
    <xf numFmtId="4" fontId="106" fillId="56" borderId="200" applyNumberFormat="0" applyProtection="0">
      <alignment horizontal="right" vertical="center"/>
    </xf>
    <xf numFmtId="4" fontId="106" fillId="62" borderId="200" applyNumberFormat="0" applyProtection="0">
      <alignment horizontal="right" vertical="center"/>
    </xf>
    <xf numFmtId="4" fontId="106" fillId="70" borderId="200" applyNumberFormat="0" applyProtection="0">
      <alignment horizontal="right" vertical="center"/>
    </xf>
    <xf numFmtId="4" fontId="106" fillId="64" borderId="200" applyNumberFormat="0" applyProtection="0">
      <alignment horizontal="right" vertical="center"/>
    </xf>
    <xf numFmtId="4" fontId="106" fillId="68" borderId="200" applyNumberFormat="0" applyProtection="0">
      <alignment horizontal="right" vertical="center"/>
    </xf>
    <xf numFmtId="4" fontId="106" fillId="72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0" fontId="11" fillId="121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121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0" fontId="11" fillId="116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1" fillId="25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4" fontId="106" fillId="1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6" fillId="123" borderId="200" applyNumberFormat="0" applyProtection="0">
      <alignment horizontal="left" vertical="center" indent="1"/>
    </xf>
    <xf numFmtId="0" fontId="106" fillId="123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4" fontId="109" fillId="120" borderId="200" applyNumberFormat="0" applyProtection="0">
      <alignment horizontal="right" vertical="center"/>
    </xf>
    <xf numFmtId="4" fontId="106" fillId="122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4" fontId="106" fillId="123" borderId="200" applyNumberFormat="0" applyProtection="0">
      <alignment vertical="center"/>
    </xf>
    <xf numFmtId="4" fontId="111" fillId="120" borderId="200" applyNumberFormat="0" applyProtection="0">
      <alignment horizontal="right" vertical="center"/>
    </xf>
    <xf numFmtId="0" fontId="106" fillId="123" borderId="200" applyNumberFormat="0" applyProtection="0">
      <alignment horizontal="left" vertical="top" indent="1"/>
    </xf>
    <xf numFmtId="4" fontId="106" fillId="122" borderId="200" applyNumberFormat="0" applyProtection="0">
      <alignment horizontal="left" vertical="center" indent="1"/>
    </xf>
    <xf numFmtId="0" fontId="54" fillId="0" borderId="198" applyNumberFormat="0" applyFill="0" applyAlignment="0" applyProtection="0"/>
    <xf numFmtId="0" fontId="54" fillId="0" borderId="198" applyNumberFormat="0" applyFill="0" applyAlignment="0" applyProtection="0"/>
    <xf numFmtId="4" fontId="106" fillId="72" borderId="200" applyNumberFormat="0" applyProtection="0">
      <alignment horizontal="right" vertical="center"/>
    </xf>
    <xf numFmtId="169" fontId="7" fillId="0" borderId="199">
      <alignment horizontal="right" indent="1"/>
    </xf>
    <xf numFmtId="0" fontId="36" fillId="73" borderId="81" applyNumberFormat="0" applyAlignment="0" applyProtection="0"/>
    <xf numFmtId="0" fontId="104" fillId="23" borderId="200" applyNumberFormat="0" applyProtection="0">
      <alignment horizontal="left" vertical="top" indent="1"/>
    </xf>
    <xf numFmtId="4" fontId="106" fillId="70" borderId="200" applyNumberFormat="0" applyProtection="0">
      <alignment horizontal="right" vertical="center"/>
    </xf>
    <xf numFmtId="4" fontId="106" fillId="71" borderId="200" applyNumberFormat="0" applyProtection="0">
      <alignment horizontal="right" vertical="center"/>
    </xf>
    <xf numFmtId="4" fontId="106" fillId="118" borderId="200" applyNumberFormat="0" applyProtection="0">
      <alignment horizontal="right" vertical="center"/>
    </xf>
    <xf numFmtId="4" fontId="106" fillId="63" borderId="200" applyNumberFormat="0" applyProtection="0">
      <alignment horizontal="right" vertical="center"/>
    </xf>
    <xf numFmtId="4" fontId="106" fillId="122" borderId="200" applyNumberFormat="0" applyProtection="0">
      <alignment horizontal="right" vertical="center"/>
    </xf>
    <xf numFmtId="0" fontId="11" fillId="121" borderId="200" applyNumberFormat="0" applyProtection="0">
      <alignment horizontal="left" vertical="center" indent="1"/>
    </xf>
    <xf numFmtId="0" fontId="11" fillId="121" borderId="200" applyNumberFormat="0" applyProtection="0">
      <alignment horizontal="left" vertical="top" indent="1"/>
    </xf>
    <xf numFmtId="0" fontId="11" fillId="116" borderId="200" applyNumberFormat="0" applyProtection="0">
      <alignment horizontal="left" vertical="center" indent="1"/>
    </xf>
    <xf numFmtId="0" fontId="11" fillId="116" borderId="200" applyNumberFormat="0" applyProtection="0">
      <alignment horizontal="left" vertical="top" indent="1"/>
    </xf>
    <xf numFmtId="0" fontId="11" fillId="37" borderId="200" applyNumberFormat="0" applyProtection="0">
      <alignment horizontal="left" vertical="center" indent="1"/>
    </xf>
    <xf numFmtId="0" fontId="11" fillId="37" borderId="200" applyNumberFormat="0" applyProtection="0">
      <alignment horizontal="left" vertical="top" indent="1"/>
    </xf>
    <xf numFmtId="0" fontId="11" fillId="25" borderId="200" applyNumberFormat="0" applyProtection="0">
      <alignment horizontal="left" vertical="center" indent="1"/>
    </xf>
    <xf numFmtId="0" fontId="11" fillId="25" borderId="200" applyNumberFormat="0" applyProtection="0">
      <alignment horizontal="left" vertical="top" indent="1"/>
    </xf>
    <xf numFmtId="4" fontId="106" fillId="123" borderId="200" applyNumberFormat="0" applyProtection="0">
      <alignment vertical="center"/>
    </xf>
    <xf numFmtId="4" fontId="109" fillId="123" borderId="200" applyNumberFormat="0" applyProtection="0">
      <alignment vertical="center"/>
    </xf>
    <xf numFmtId="4" fontId="106" fillId="123" borderId="200" applyNumberFormat="0" applyProtection="0">
      <alignment horizontal="left" vertical="center" indent="1"/>
    </xf>
    <xf numFmtId="0" fontId="106" fillId="123" borderId="200" applyNumberFormat="0" applyProtection="0">
      <alignment horizontal="left" vertical="top" indent="1"/>
    </xf>
    <xf numFmtId="4" fontId="106" fillId="120" borderId="200" applyNumberFormat="0" applyProtection="0">
      <alignment horizontal="right" vertical="center"/>
    </xf>
    <xf numFmtId="4" fontId="109" fillId="120" borderId="200" applyNumberFormat="0" applyProtection="0">
      <alignment horizontal="right" vertical="center"/>
    </xf>
    <xf numFmtId="4" fontId="106" fillId="122" borderId="200" applyNumberFormat="0" applyProtection="0">
      <alignment horizontal="left" vertical="center" indent="1"/>
    </xf>
    <xf numFmtId="0" fontId="106" fillId="116" borderId="200" applyNumberFormat="0" applyProtection="0">
      <alignment horizontal="left" vertical="top" indent="1"/>
    </xf>
    <xf numFmtId="4" fontId="111" fillId="120" borderId="200" applyNumberFormat="0" applyProtection="0">
      <alignment horizontal="right" vertical="center"/>
    </xf>
    <xf numFmtId="167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" fillId="0" borderId="0"/>
    <xf numFmtId="167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2" fillId="0" borderId="0"/>
    <xf numFmtId="185" fontId="1" fillId="0" borderId="0"/>
    <xf numFmtId="0" fontId="6" fillId="0" borderId="0"/>
    <xf numFmtId="4" fontId="113" fillId="117" borderId="203" applyNumberFormat="0" applyProtection="0">
      <alignment horizontal="left" vertical="center" indent="1"/>
    </xf>
    <xf numFmtId="0" fontId="114" fillId="125" borderId="0" applyNumberFormat="0" applyBorder="0" applyAlignment="0" applyProtection="0"/>
    <xf numFmtId="0" fontId="114" fillId="126" borderId="0" applyNumberFormat="0" applyBorder="0" applyAlignment="0" applyProtection="0"/>
    <xf numFmtId="0" fontId="115" fillId="127" borderId="0" applyNumberFormat="0" applyBorder="0" applyAlignment="0" applyProtection="0"/>
    <xf numFmtId="0" fontId="114" fillId="128" borderId="0" applyNumberFormat="0" applyBorder="0" applyAlignment="0" applyProtection="0"/>
    <xf numFmtId="0" fontId="114" fillId="129" borderId="0" applyNumberFormat="0" applyBorder="0" applyAlignment="0" applyProtection="0"/>
    <xf numFmtId="0" fontId="115" fillId="130" borderId="0" applyNumberFormat="0" applyBorder="0" applyAlignment="0" applyProtection="0"/>
    <xf numFmtId="0" fontId="114" fillId="131" borderId="0" applyNumberFormat="0" applyBorder="0" applyAlignment="0" applyProtection="0"/>
    <xf numFmtId="0" fontId="114" fillId="132" borderId="0" applyNumberFormat="0" applyBorder="0" applyAlignment="0" applyProtection="0"/>
    <xf numFmtId="0" fontId="115" fillId="133" borderId="0" applyNumberFormat="0" applyBorder="0" applyAlignment="0" applyProtection="0"/>
    <xf numFmtId="0" fontId="114" fillId="128" borderId="0" applyNumberFormat="0" applyBorder="0" applyAlignment="0" applyProtection="0"/>
    <xf numFmtId="0" fontId="114" fillId="134" borderId="0" applyNumberFormat="0" applyBorder="0" applyAlignment="0" applyProtection="0"/>
    <xf numFmtId="0" fontId="115" fillId="129" borderId="0" applyNumberFormat="0" applyBorder="0" applyAlignment="0" applyProtection="0"/>
    <xf numFmtId="0" fontId="114" fillId="135" borderId="0" applyNumberFormat="0" applyBorder="0" applyAlignment="0" applyProtection="0"/>
    <xf numFmtId="0" fontId="114" fillId="136" borderId="0" applyNumberFormat="0" applyBorder="0" applyAlignment="0" applyProtection="0"/>
    <xf numFmtId="0" fontId="115" fillId="127" borderId="0" applyNumberFormat="0" applyBorder="0" applyAlignment="0" applyProtection="0"/>
    <xf numFmtId="0" fontId="114" fillId="137" borderId="0" applyNumberFormat="0" applyBorder="0" applyAlignment="0" applyProtection="0"/>
    <xf numFmtId="0" fontId="114" fillId="138" borderId="0" applyNumberFormat="0" applyBorder="0" applyAlignment="0" applyProtection="0"/>
    <xf numFmtId="0" fontId="115" fillId="139" borderId="0" applyNumberFormat="0" applyBorder="0" applyAlignment="0" applyProtection="0"/>
    <xf numFmtId="0" fontId="116" fillId="140" borderId="0" applyNumberFormat="0" applyBorder="0" applyAlignment="0" applyProtection="0"/>
    <xf numFmtId="0" fontId="116" fillId="141" borderId="0" applyNumberFormat="0" applyBorder="0" applyAlignment="0" applyProtection="0"/>
    <xf numFmtId="0" fontId="116" fillId="142" borderId="0" applyNumberFormat="0" applyBorder="0" applyAlignment="0" applyProtection="0"/>
    <xf numFmtId="185" fontId="11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99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0" borderId="0"/>
    <xf numFmtId="0" fontId="11" fillId="0" borderId="0"/>
    <xf numFmtId="0" fontId="100" fillId="0" borderId="0"/>
    <xf numFmtId="0" fontId="100" fillId="0" borderId="0"/>
    <xf numFmtId="0" fontId="10" fillId="0" borderId="0"/>
    <xf numFmtId="0" fontId="11" fillId="0" borderId="0"/>
    <xf numFmtId="0" fontId="11" fillId="0" borderId="0"/>
    <xf numFmtId="0" fontId="118" fillId="0" borderId="0"/>
    <xf numFmtId="0" fontId="100" fillId="0" borderId="0"/>
    <xf numFmtId="0" fontId="4" fillId="0" borderId="0"/>
    <xf numFmtId="0" fontId="100" fillId="0" borderId="0"/>
    <xf numFmtId="0" fontId="11" fillId="0" borderId="0"/>
    <xf numFmtId="4" fontId="119" fillId="23" borderId="203" applyNumberFormat="0" applyProtection="0">
      <alignment vertical="center"/>
    </xf>
    <xf numFmtId="4" fontId="120" fillId="23" borderId="203" applyNumberFormat="0" applyProtection="0">
      <alignment vertical="center"/>
    </xf>
    <xf numFmtId="4" fontId="121" fillId="123" borderId="203" applyNumberFormat="0" applyProtection="0">
      <alignment horizontal="left" vertical="center" indent="1"/>
    </xf>
    <xf numFmtId="4" fontId="113" fillId="56" borderId="203" applyNumberFormat="0" applyProtection="0">
      <alignment horizontal="right" vertical="center"/>
    </xf>
    <xf numFmtId="4" fontId="113" fillId="143" borderId="203" applyNumberFormat="0" applyProtection="0">
      <alignment horizontal="right" vertical="center"/>
    </xf>
    <xf numFmtId="4" fontId="113" fillId="64" borderId="203" applyNumberFormat="0" applyProtection="0">
      <alignment horizontal="right" vertical="center"/>
    </xf>
    <xf numFmtId="4" fontId="113" fillId="68" borderId="203" applyNumberFormat="0" applyProtection="0">
      <alignment horizontal="right" vertical="center"/>
    </xf>
    <xf numFmtId="4" fontId="113" fillId="72" borderId="203" applyNumberFormat="0" applyProtection="0">
      <alignment horizontal="right" vertical="center"/>
    </xf>
    <xf numFmtId="4" fontId="113" fillId="71" borderId="203" applyNumberFormat="0" applyProtection="0">
      <alignment horizontal="right" vertical="center"/>
    </xf>
    <xf numFmtId="4" fontId="113" fillId="118" borderId="203" applyNumberFormat="0" applyProtection="0">
      <alignment horizontal="right" vertical="center"/>
    </xf>
    <xf numFmtId="4" fontId="113" fillId="63" borderId="203" applyNumberFormat="0" applyProtection="0">
      <alignment horizontal="right" vertical="center"/>
    </xf>
    <xf numFmtId="4" fontId="113" fillId="119" borderId="202" applyNumberFormat="0" applyProtection="0">
      <alignment horizontal="left" vertical="center" indent="1"/>
    </xf>
    <xf numFmtId="4" fontId="113" fillId="54" borderId="203" applyNumberFormat="0" applyProtection="0">
      <alignment horizontal="left" vertical="center" indent="1"/>
    </xf>
    <xf numFmtId="4" fontId="113" fillId="54" borderId="203" applyNumberFormat="0" applyProtection="0">
      <alignment horizontal="left" vertical="center" indent="1"/>
    </xf>
    <xf numFmtId="4" fontId="122" fillId="144" borderId="202" applyNumberFormat="0" applyProtection="0">
      <alignment horizontal="left" vertical="center" indent="1"/>
    </xf>
    <xf numFmtId="4" fontId="113" fillId="122" borderId="203" applyNumberFormat="0" applyProtection="0">
      <alignment horizontal="right" vertical="center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20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4" fontId="108" fillId="116" borderId="0" applyNumberFormat="0" applyProtection="0">
      <alignment horizontal="left" vertical="center" indent="1"/>
    </xf>
    <xf numFmtId="0" fontId="113" fillId="73" borderId="203" applyNumberFormat="0" applyProtection="0">
      <alignment horizontal="left" vertical="center" indent="1"/>
    </xf>
    <xf numFmtId="0" fontId="99" fillId="144" borderId="200" applyNumberFormat="0" applyProtection="0">
      <alignment horizontal="left" vertical="top" indent="1"/>
    </xf>
    <xf numFmtId="0" fontId="99" fillId="144" borderId="200" applyNumberFormat="0" applyProtection="0">
      <alignment horizontal="left" vertical="top" indent="1"/>
    </xf>
    <xf numFmtId="0" fontId="113" fillId="145" borderId="203" applyNumberFormat="0" applyProtection="0">
      <alignment horizontal="left" vertical="center" indent="1"/>
    </xf>
    <xf numFmtId="0" fontId="99" fillId="122" borderId="200" applyNumberFormat="0" applyProtection="0">
      <alignment horizontal="left" vertical="top" indent="1"/>
    </xf>
    <xf numFmtId="0" fontId="99" fillId="122" borderId="200" applyNumberFormat="0" applyProtection="0">
      <alignment horizontal="left" vertical="top" indent="1"/>
    </xf>
    <xf numFmtId="0" fontId="113" fillId="61" borderId="203" applyNumberFormat="0" applyProtection="0">
      <alignment horizontal="left" vertical="center" indent="1"/>
    </xf>
    <xf numFmtId="0" fontId="99" fillId="61" borderId="200" applyNumberFormat="0" applyProtection="0">
      <alignment horizontal="left" vertical="top" indent="1"/>
    </xf>
    <xf numFmtId="0" fontId="99" fillId="61" borderId="200" applyNumberFormat="0" applyProtection="0">
      <alignment horizontal="left" vertical="top" indent="1"/>
    </xf>
    <xf numFmtId="0" fontId="113" fillId="120" borderId="203" applyNumberFormat="0" applyProtection="0">
      <alignment horizontal="left" vertical="center" indent="1"/>
    </xf>
    <xf numFmtId="0" fontId="99" fillId="120" borderId="200" applyNumberFormat="0" applyProtection="0">
      <alignment horizontal="left" vertical="top" indent="1"/>
    </xf>
    <xf numFmtId="0" fontId="99" fillId="120" borderId="200" applyNumberFormat="0" applyProtection="0">
      <alignment horizontal="left" vertical="top" indent="1"/>
    </xf>
    <xf numFmtId="4" fontId="121" fillId="146" borderId="203" applyNumberFormat="0" applyProtection="0">
      <alignment horizontal="left" vertical="center" indent="1"/>
    </xf>
    <xf numFmtId="4" fontId="121" fillId="146" borderId="203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05"/>
    <xf numFmtId="4" fontId="113" fillId="0" borderId="203" applyNumberFormat="0" applyProtection="0">
      <alignment horizontal="right" vertical="center"/>
    </xf>
    <xf numFmtId="4" fontId="120" fillId="54" borderId="203" applyNumberFormat="0" applyProtection="0">
      <alignment horizontal="right" vertical="center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4" fontId="110" fillId="124" borderId="0" applyNumberFormat="0" applyProtection="0">
      <alignment horizontal="left" vertical="center" indent="1"/>
    </xf>
    <xf numFmtId="0" fontId="123" fillId="0" borderId="199"/>
    <xf numFmtId="0" fontId="124" fillId="0" borderId="0" applyNumberFormat="0" applyFill="0" applyBorder="0" applyAlignment="0" applyProtection="0"/>
    <xf numFmtId="0" fontId="4" fillId="0" borderId="0"/>
    <xf numFmtId="186" fontId="29" fillId="0" borderId="0"/>
    <xf numFmtId="0" fontId="4" fillId="0" borderId="0"/>
    <xf numFmtId="0" fontId="7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125" fillId="63" borderId="0" applyNumberFormat="0" applyBorder="0" applyAlignment="0" applyProtection="0"/>
    <xf numFmtId="0" fontId="125" fillId="10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6" borderId="0" applyNumberFormat="0" applyBorder="0" applyAlignment="0" applyProtection="0"/>
    <xf numFmtId="0" fontId="125" fillId="107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8" borderId="0" applyNumberFormat="0" applyBorder="0" applyAlignment="0" applyProtection="0"/>
    <xf numFmtId="0" fontId="125" fillId="114" borderId="0" applyNumberFormat="0" applyBorder="0" applyAlignment="0" applyProtection="0"/>
    <xf numFmtId="0" fontId="125" fillId="68" borderId="0" applyNumberFormat="0" applyBorder="0" applyAlignment="0" applyProtection="0"/>
    <xf numFmtId="0" fontId="125" fillId="68" borderId="0" applyNumberFormat="0" applyBorder="0" applyAlignment="0" applyProtection="0"/>
    <xf numFmtId="0" fontId="33" fillId="0" borderId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94" borderId="191" applyNumberFormat="0" applyFont="0" applyAlignment="0" applyProtection="0"/>
    <xf numFmtId="0" fontId="4" fillId="0" borderId="0"/>
    <xf numFmtId="167" fontId="4" fillId="0" borderId="0" applyFont="0" applyFill="0" applyBorder="0" applyAlignment="0" applyProtection="0"/>
    <xf numFmtId="0" fontId="95" fillId="91" borderId="187" applyNumberFormat="0" applyAlignment="0" applyProtection="0"/>
    <xf numFmtId="0" fontId="11" fillId="37" borderId="213" applyNumberFormat="0" applyProtection="0">
      <alignment horizontal="left" vertical="top" indent="1"/>
    </xf>
    <xf numFmtId="4" fontId="106" fillId="118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0" fontId="10" fillId="30" borderId="212"/>
    <xf numFmtId="0" fontId="54" fillId="0" borderId="211" applyNumberFormat="0" applyFill="0" applyAlignment="0" applyProtection="0"/>
    <xf numFmtId="4" fontId="104" fillId="80" borderId="213" applyNumberFormat="0" applyProtection="0">
      <alignment vertical="center"/>
    </xf>
    <xf numFmtId="0" fontId="10" fillId="30" borderId="212"/>
    <xf numFmtId="4" fontId="106" fillId="62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3" borderId="213" applyNumberFormat="0" applyProtection="0">
      <alignment horizontal="left" vertical="center" indent="1"/>
    </xf>
    <xf numFmtId="4" fontId="104" fillId="119" borderId="214" applyNumberFormat="0" applyProtection="0">
      <alignment horizontal="left" vertical="center" indent="1"/>
    </xf>
    <xf numFmtId="4" fontId="106" fillId="63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5" fillId="23" borderId="213" applyNumberFormat="0" applyProtection="0">
      <alignment vertical="center"/>
    </xf>
    <xf numFmtId="0" fontId="36" fillId="73" borderId="208" applyNumberFormat="0" applyAlignment="0" applyProtection="0"/>
    <xf numFmtId="0" fontId="46" fillId="0" borderId="84" applyNumberFormat="0" applyFill="0" applyAlignment="0" applyProtection="0"/>
    <xf numFmtId="0" fontId="49" fillId="60" borderId="208" applyNumberFormat="0" applyAlignment="0" applyProtection="0"/>
    <xf numFmtId="0" fontId="4" fillId="0" borderId="0"/>
    <xf numFmtId="0" fontId="4" fillId="0" borderId="0"/>
    <xf numFmtId="169" fontId="7" fillId="0" borderId="207">
      <alignment horizontal="right" indent="1"/>
    </xf>
    <xf numFmtId="169" fontId="8" fillId="26" borderId="20"/>
    <xf numFmtId="0" fontId="33" fillId="81" borderId="209" applyNumberFormat="0" applyFont="0" applyAlignment="0" applyProtection="0"/>
    <xf numFmtId="9" fontId="10" fillId="0" borderId="0" applyFont="0" applyFill="0" applyBorder="0" applyAlignment="0" applyProtection="0"/>
    <xf numFmtId="0" fontId="54" fillId="0" borderId="211" applyNumberFormat="0" applyFill="0" applyAlignment="0" applyProtection="0"/>
    <xf numFmtId="0" fontId="4" fillId="4" borderId="0" applyNumberFormat="0" applyBorder="0" applyAlignment="0" applyProtection="0"/>
    <xf numFmtId="0" fontId="10" fillId="30" borderId="207"/>
    <xf numFmtId="0" fontId="10" fillId="79" borderId="162"/>
    <xf numFmtId="0" fontId="10" fillId="0" borderId="206">
      <alignment horizontal="center" vertical="center"/>
    </xf>
    <xf numFmtId="0" fontId="9" fillId="24" borderId="41">
      <alignment horizontal="left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9" fontId="7" fillId="0" borderId="212">
      <alignment horizontal="right" indent="1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116" borderId="21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1" fillId="121" borderId="213" applyNumberFormat="0" applyProtection="0">
      <alignment horizontal="left" vertical="top" indent="1"/>
    </xf>
    <xf numFmtId="0" fontId="36" fillId="73" borderId="208" applyNumberFormat="0" applyAlignment="0" applyProtection="0"/>
    <xf numFmtId="169" fontId="7" fillId="0" borderId="212">
      <alignment horizontal="right" indent="1"/>
    </xf>
    <xf numFmtId="0" fontId="10" fillId="0" borderId="206">
      <alignment horizontal="center" vertical="center"/>
    </xf>
    <xf numFmtId="0" fontId="49" fillId="60" borderId="208" applyNumberFormat="0" applyAlignment="0" applyProtection="0"/>
    <xf numFmtId="0" fontId="10" fillId="30" borderId="207"/>
    <xf numFmtId="0" fontId="10" fillId="79" borderId="16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2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33" fillId="81" borderId="20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211" applyNumberFormat="0" applyFill="0" applyAlignment="0" applyProtection="0"/>
    <xf numFmtId="169" fontId="8" fillId="26" borderId="20"/>
    <xf numFmtId="169" fontId="7" fillId="0" borderId="212">
      <alignment horizontal="right" indent="1"/>
    </xf>
    <xf numFmtId="0" fontId="11" fillId="37" borderId="213" applyNumberFormat="0" applyProtection="0">
      <alignment horizontal="left" vertical="center" indent="1"/>
    </xf>
    <xf numFmtId="0" fontId="10" fillId="30" borderId="212"/>
    <xf numFmtId="4" fontId="106" fillId="72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0" fontId="6" fillId="81" borderId="209" applyNumberFormat="0" applyFont="0" applyAlignment="0" applyProtection="0"/>
    <xf numFmtId="4" fontId="106" fillId="120" borderId="213" applyNumberFormat="0" applyProtection="0">
      <alignment horizontal="right" vertical="center"/>
    </xf>
    <xf numFmtId="169" fontId="7" fillId="0" borderId="212">
      <alignment horizontal="right" indent="1"/>
    </xf>
    <xf numFmtId="0" fontId="10" fillId="30" borderId="212"/>
    <xf numFmtId="4" fontId="106" fillId="62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11" fillId="120" borderId="213" applyNumberFormat="0" applyProtection="0">
      <alignment horizontal="right" vertical="center"/>
    </xf>
    <xf numFmtId="0" fontId="106" fillId="116" borderId="213" applyNumberFormat="0" applyProtection="0">
      <alignment horizontal="left" vertical="top" indent="1"/>
    </xf>
    <xf numFmtId="4" fontId="106" fillId="122" borderId="213" applyNumberFormat="0" applyProtection="0">
      <alignment horizontal="left" vertical="center" indent="1"/>
    </xf>
    <xf numFmtId="4" fontId="106" fillId="120" borderId="213" applyNumberFormat="0" applyProtection="0">
      <alignment horizontal="right" vertical="center"/>
    </xf>
    <xf numFmtId="0" fontId="106" fillId="123" borderId="213" applyNumberFormat="0" applyProtection="0">
      <alignment horizontal="left" vertical="top" indent="1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vertical="center"/>
    </xf>
    <xf numFmtId="0" fontId="36" fillId="73" borderId="208" applyNumberFormat="0" applyAlignment="0" applyProtection="0"/>
    <xf numFmtId="0" fontId="49" fillId="60" borderId="208" applyNumberFormat="0" applyAlignment="0" applyProtection="0"/>
    <xf numFmtId="0" fontId="49" fillId="60" borderId="208" applyNumberFormat="0" applyAlignment="0" applyProtection="0"/>
    <xf numFmtId="0" fontId="11" fillId="116" borderId="213" applyNumberFormat="0" applyProtection="0">
      <alignment horizontal="left" vertical="center" indent="1"/>
    </xf>
    <xf numFmtId="0" fontId="6" fillId="81" borderId="209" applyNumberFormat="0" applyFont="0" applyAlignment="0" applyProtection="0"/>
    <xf numFmtId="0" fontId="103" fillId="73" borderId="210" applyNumberFormat="0" applyAlignment="0" applyProtection="0"/>
    <xf numFmtId="0" fontId="10" fillId="30" borderId="212"/>
    <xf numFmtId="0" fontId="10" fillId="79" borderId="162"/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4" fillId="119" borderId="214" applyNumberFormat="0" applyProtection="0">
      <alignment horizontal="left" vertical="center" indent="1"/>
    </xf>
    <xf numFmtId="4" fontId="106" fillId="122" borderId="213" applyNumberFormat="0" applyProtection="0">
      <alignment horizontal="right" vertical="center"/>
    </xf>
    <xf numFmtId="169" fontId="7" fillId="0" borderId="212">
      <alignment horizontal="right" indent="1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11" fillId="120" borderId="213" applyNumberFormat="0" applyProtection="0">
      <alignment horizontal="right" vertical="center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06" fillId="62" borderId="213" applyNumberFormat="0" applyProtection="0">
      <alignment horizontal="right" vertical="center"/>
    </xf>
    <xf numFmtId="0" fontId="54" fillId="0" borderId="211" applyNumberFormat="0" applyFill="0" applyAlignment="0" applyProtection="0"/>
    <xf numFmtId="4" fontId="106" fillId="64" borderId="213" applyNumberFormat="0" applyProtection="0">
      <alignment horizontal="right" vertical="center"/>
    </xf>
    <xf numFmtId="0" fontId="10" fillId="30" borderId="212"/>
    <xf numFmtId="4" fontId="106" fillId="62" borderId="213" applyNumberFormat="0" applyProtection="0">
      <alignment horizontal="right" vertical="center"/>
    </xf>
    <xf numFmtId="0" fontId="10" fillId="30" borderId="212"/>
    <xf numFmtId="4" fontId="104" fillId="80" borderId="213" applyNumberFormat="0" applyProtection="0">
      <alignment vertical="center"/>
    </xf>
    <xf numFmtId="169" fontId="7" fillId="0" borderId="212">
      <alignment horizontal="right" indent="1"/>
    </xf>
    <xf numFmtId="4" fontId="106" fillId="120" borderId="213" applyNumberFormat="0" applyProtection="0">
      <alignment horizontal="right" vertical="center"/>
    </xf>
    <xf numFmtId="0" fontId="54" fillId="0" borderId="211" applyNumberFormat="0" applyFill="0" applyAlignment="0" applyProtection="0"/>
    <xf numFmtId="0" fontId="6" fillId="81" borderId="209" applyNumberFormat="0" applyFont="0" applyAlignment="0" applyProtection="0"/>
    <xf numFmtId="0" fontId="10" fillId="30" borderId="212"/>
    <xf numFmtId="4" fontId="106" fillId="68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0" fontId="10" fillId="30" borderId="212"/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0" fontId="106" fillId="116" borderId="213" applyNumberFormat="0" applyProtection="0">
      <alignment horizontal="left" vertical="top" indent="1"/>
    </xf>
    <xf numFmtId="0" fontId="49" fillId="60" borderId="208" applyNumberFormat="0" applyAlignment="0" applyProtection="0"/>
    <xf numFmtId="4" fontId="109" fillId="120" borderId="213" applyNumberFormat="0" applyProtection="0">
      <alignment horizontal="right" vertical="center"/>
    </xf>
    <xf numFmtId="0" fontId="33" fillId="81" borderId="209" applyNumberFormat="0" applyFont="0" applyAlignment="0" applyProtection="0"/>
    <xf numFmtId="0" fontId="11" fillId="25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0" fontId="49" fillId="60" borderId="208" applyNumberFormat="0" applyAlignment="0" applyProtection="0"/>
    <xf numFmtId="4" fontId="106" fillId="123" borderId="213" applyNumberFormat="0" applyProtection="0">
      <alignment vertical="center"/>
    </xf>
    <xf numFmtId="0" fontId="106" fillId="123" borderId="213" applyNumberFormat="0" applyProtection="0">
      <alignment horizontal="left" vertical="top" indent="1"/>
    </xf>
    <xf numFmtId="0" fontId="54" fillId="0" borderId="211" applyNumberFormat="0" applyFill="0" applyAlignment="0" applyProtection="0"/>
    <xf numFmtId="9" fontId="4" fillId="0" borderId="0" applyFont="0" applyFill="0" applyBorder="0" applyAlignment="0" applyProtection="0"/>
    <xf numFmtId="169" fontId="7" fillId="0" borderId="212">
      <alignment horizontal="right" indent="1"/>
    </xf>
    <xf numFmtId="4" fontId="104" fillId="23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0" fontId="36" fillId="73" borderId="208" applyNumberFormat="0" applyAlignment="0" applyProtection="0"/>
    <xf numFmtId="4" fontId="106" fillId="118" borderId="213" applyNumberFormat="0" applyProtection="0">
      <alignment horizontal="right" vertical="center"/>
    </xf>
    <xf numFmtId="169" fontId="7" fillId="0" borderId="212">
      <alignment horizontal="right" indent="1"/>
    </xf>
    <xf numFmtId="4" fontId="111" fillId="120" borderId="213" applyNumberFormat="0" applyProtection="0">
      <alignment horizontal="right" vertical="center"/>
    </xf>
    <xf numFmtId="4" fontId="105" fillId="23" borderId="213" applyNumberFormat="0" applyProtection="0">
      <alignment vertical="center"/>
    </xf>
    <xf numFmtId="0" fontId="54" fillId="0" borderId="211" applyNumberFormat="0" applyFill="0" applyAlignment="0" applyProtection="0"/>
    <xf numFmtId="0" fontId="33" fillId="81" borderId="209" applyNumberFormat="0" applyFont="0" applyAlignment="0" applyProtection="0"/>
    <xf numFmtId="169" fontId="7" fillId="0" borderId="212">
      <alignment horizontal="right" indent="1"/>
    </xf>
    <xf numFmtId="4" fontId="106" fillId="56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3" borderId="213" applyNumberFormat="0" applyProtection="0">
      <alignment horizontal="left" vertical="center" indent="1"/>
    </xf>
    <xf numFmtId="4" fontId="105" fillId="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9" fillId="120" borderId="213" applyNumberFormat="0" applyProtection="0">
      <alignment horizontal="right" vertical="center"/>
    </xf>
    <xf numFmtId="4" fontId="104" fillId="23" borderId="213" applyNumberFormat="0" applyProtection="0">
      <alignment horizontal="left" vertical="center" indent="1"/>
    </xf>
    <xf numFmtId="0" fontId="36" fillId="73" borderId="208" applyNumberFormat="0" applyAlignment="0" applyProtection="0"/>
    <xf numFmtId="0" fontId="49" fillId="60" borderId="208" applyNumberFormat="0" applyAlignment="0" applyProtection="0"/>
    <xf numFmtId="0" fontId="11" fillId="116" borderId="213" applyNumberFormat="0" applyProtection="0">
      <alignment horizontal="left" vertical="center" indent="1"/>
    </xf>
    <xf numFmtId="4" fontId="106" fillId="63" borderId="213" applyNumberFormat="0" applyProtection="0">
      <alignment horizontal="right" vertical="center"/>
    </xf>
    <xf numFmtId="169" fontId="7" fillId="0" borderId="212">
      <alignment horizontal="right" indent="1"/>
    </xf>
    <xf numFmtId="4" fontId="106" fillId="72" borderId="213" applyNumberFormat="0" applyProtection="0">
      <alignment horizontal="right" vertical="center"/>
    </xf>
    <xf numFmtId="0" fontId="36" fillId="73" borderId="208" applyNumberFormat="0" applyAlignment="0" applyProtection="0"/>
    <xf numFmtId="169" fontId="7" fillId="0" borderId="212">
      <alignment horizontal="right" indent="1"/>
    </xf>
    <xf numFmtId="0" fontId="6" fillId="81" borderId="209" applyNumberFormat="0" applyFont="0" applyAlignment="0" applyProtection="0"/>
    <xf numFmtId="0" fontId="103" fillId="73" borderId="210" applyNumberFormat="0" applyAlignment="0" applyProtection="0"/>
    <xf numFmtId="4" fontId="106" fillId="123" borderId="213" applyNumberFormat="0" applyProtection="0">
      <alignment horizontal="left" vertical="center" indent="1"/>
    </xf>
    <xf numFmtId="4" fontId="109" fillId="123" borderId="213" applyNumberFormat="0" applyProtection="0">
      <alignment vertical="center"/>
    </xf>
    <xf numFmtId="0" fontId="11" fillId="37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4" fontId="106" fillId="122" borderId="213" applyNumberFormat="0" applyProtection="0">
      <alignment horizontal="left" vertical="center" indent="1"/>
    </xf>
    <xf numFmtId="4" fontId="111" fillId="120" borderId="213" applyNumberFormat="0" applyProtection="0">
      <alignment horizontal="right" vertical="center"/>
    </xf>
    <xf numFmtId="0" fontId="103" fillId="73" borderId="210" applyNumberFormat="0" applyAlignment="0" applyProtection="0"/>
    <xf numFmtId="0" fontId="49" fillId="60" borderId="208" applyNumberFormat="0" applyAlignment="0" applyProtection="0"/>
    <xf numFmtId="0" fontId="54" fillId="0" borderId="211" applyNumberFormat="0" applyFill="0" applyAlignment="0" applyProtection="0"/>
    <xf numFmtId="0" fontId="104" fillId="23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11" fillId="120" borderId="213" applyNumberFormat="0" applyProtection="0">
      <alignment horizontal="right" vertical="center"/>
    </xf>
    <xf numFmtId="0" fontId="106" fillId="123" borderId="213" applyNumberFormat="0" applyProtection="0">
      <alignment horizontal="left" vertical="top" indent="1"/>
    </xf>
    <xf numFmtId="4" fontId="106" fillId="122" borderId="213" applyNumberFormat="0" applyProtection="0">
      <alignment horizontal="left" vertical="center" indent="1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06" fillId="72" borderId="213" applyNumberFormat="0" applyProtection="0">
      <alignment horizontal="right" vertical="center"/>
    </xf>
    <xf numFmtId="169" fontId="7" fillId="0" borderId="212">
      <alignment horizontal="right" indent="1"/>
    </xf>
    <xf numFmtId="0" fontId="36" fillId="73" borderId="208" applyNumberFormat="0" applyAlignment="0" applyProtection="0"/>
    <xf numFmtId="0" fontId="104" fillId="23" borderId="213" applyNumberFormat="0" applyProtection="0">
      <alignment horizontal="left" vertical="top" indent="1"/>
    </xf>
    <xf numFmtId="4" fontId="106" fillId="70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11" fillId="120" borderId="213" applyNumberFormat="0" applyProtection="0">
      <alignment horizontal="right" vertical="center"/>
    </xf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" fontId="113" fillId="117" borderId="216" applyNumberFormat="0" applyProtection="0">
      <alignment horizontal="left" vertical="center" indent="1"/>
    </xf>
    <xf numFmtId="4" fontId="106" fillId="68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56" borderId="213" applyNumberFormat="0" applyProtection="0">
      <alignment horizontal="right" vertical="center"/>
    </xf>
    <xf numFmtId="0" fontId="104" fillId="23" borderId="213" applyNumberFormat="0" applyProtection="0">
      <alignment horizontal="left" vertical="top" indent="1"/>
    </xf>
    <xf numFmtId="4" fontId="104" fillId="23" borderId="213" applyNumberFormat="0" applyProtection="0">
      <alignment horizontal="left" vertical="center" indent="1"/>
    </xf>
    <xf numFmtId="4" fontId="104" fillId="80" borderId="213" applyNumberFormat="0" applyProtection="0">
      <alignment vertical="center"/>
    </xf>
    <xf numFmtId="0" fontId="103" fillId="73" borderId="210" applyNumberFormat="0" applyAlignment="0" applyProtection="0"/>
    <xf numFmtId="0" fontId="6" fillId="81" borderId="209" applyNumberFormat="0" applyFont="0" applyAlignment="0" applyProtection="0"/>
    <xf numFmtId="0" fontId="36" fillId="73" borderId="208" applyNumberFormat="0" applyAlignment="0" applyProtection="0"/>
    <xf numFmtId="0" fontId="33" fillId="81" borderId="209" applyNumberFormat="0" applyFont="0" applyAlignment="0" applyProtection="0"/>
    <xf numFmtId="0" fontId="10" fillId="79" borderId="162"/>
    <xf numFmtId="0" fontId="10" fillId="30" borderId="212"/>
    <xf numFmtId="0" fontId="49" fillId="60" borderId="208" applyNumberFormat="0" applyAlignment="0" applyProtection="0"/>
    <xf numFmtId="169" fontId="7" fillId="0" borderId="212">
      <alignment horizontal="right" indent="1"/>
    </xf>
    <xf numFmtId="0" fontId="36" fillId="73" borderId="208" applyNumberFormat="0" applyAlignment="0" applyProtection="0"/>
    <xf numFmtId="0" fontId="11" fillId="121" borderId="213" applyNumberFormat="0" applyProtection="0">
      <alignment horizontal="left" vertical="top" indent="1"/>
    </xf>
    <xf numFmtId="0" fontId="4" fillId="0" borderId="0"/>
    <xf numFmtId="4" fontId="119" fillId="23" borderId="216" applyNumberFormat="0" applyProtection="0">
      <alignment vertical="center"/>
    </xf>
    <xf numFmtId="4" fontId="120" fillId="23" borderId="216" applyNumberFormat="0" applyProtection="0">
      <alignment vertical="center"/>
    </xf>
    <xf numFmtId="4" fontId="121" fillId="123" borderId="216" applyNumberFormat="0" applyProtection="0">
      <alignment horizontal="left" vertical="center" indent="1"/>
    </xf>
    <xf numFmtId="4" fontId="113" fillId="56" borderId="216" applyNumberFormat="0" applyProtection="0">
      <alignment horizontal="right" vertical="center"/>
    </xf>
    <xf numFmtId="4" fontId="113" fillId="143" borderId="216" applyNumberFormat="0" applyProtection="0">
      <alignment horizontal="right" vertical="center"/>
    </xf>
    <xf numFmtId="4" fontId="113" fillId="64" borderId="216" applyNumberFormat="0" applyProtection="0">
      <alignment horizontal="right" vertical="center"/>
    </xf>
    <xf numFmtId="4" fontId="113" fillId="68" borderId="216" applyNumberFormat="0" applyProtection="0">
      <alignment horizontal="right" vertical="center"/>
    </xf>
    <xf numFmtId="4" fontId="113" fillId="72" borderId="216" applyNumberFormat="0" applyProtection="0">
      <alignment horizontal="right" vertical="center"/>
    </xf>
    <xf numFmtId="4" fontId="113" fillId="71" borderId="216" applyNumberFormat="0" applyProtection="0">
      <alignment horizontal="right" vertical="center"/>
    </xf>
    <xf numFmtId="4" fontId="113" fillId="118" borderId="216" applyNumberFormat="0" applyProtection="0">
      <alignment horizontal="right" vertical="center"/>
    </xf>
    <xf numFmtId="4" fontId="113" fillId="63" borderId="216" applyNumberFormat="0" applyProtection="0">
      <alignment horizontal="right" vertical="center"/>
    </xf>
    <xf numFmtId="4" fontId="113" fillId="119" borderId="215" applyNumberFormat="0" applyProtection="0">
      <alignment horizontal="left" vertical="center" indent="1"/>
    </xf>
    <xf numFmtId="4" fontId="113" fillId="54" borderId="216" applyNumberFormat="0" applyProtection="0">
      <alignment horizontal="left" vertical="center" indent="1"/>
    </xf>
    <xf numFmtId="4" fontId="113" fillId="54" borderId="216" applyNumberFormat="0" applyProtection="0">
      <alignment horizontal="left" vertical="center" indent="1"/>
    </xf>
    <xf numFmtId="4" fontId="122" fillId="144" borderId="215" applyNumberFormat="0" applyProtection="0">
      <alignment horizontal="left" vertical="center" indent="1"/>
    </xf>
    <xf numFmtId="4" fontId="113" fillId="122" borderId="216" applyNumberFormat="0" applyProtection="0">
      <alignment horizontal="right" vertical="center"/>
    </xf>
    <xf numFmtId="0" fontId="49" fillId="60" borderId="208" applyNumberFormat="0" applyAlignment="0" applyProtection="0"/>
    <xf numFmtId="0" fontId="36" fillId="73" borderId="208" applyNumberFormat="0" applyAlignment="0" applyProtection="0"/>
    <xf numFmtId="0" fontId="113" fillId="73" borderId="216" applyNumberFormat="0" applyProtection="0">
      <alignment horizontal="left" vertical="center" indent="1"/>
    </xf>
    <xf numFmtId="0" fontId="99" fillId="144" borderId="213" applyNumberFormat="0" applyProtection="0">
      <alignment horizontal="left" vertical="top" indent="1"/>
    </xf>
    <xf numFmtId="0" fontId="99" fillId="144" borderId="213" applyNumberFormat="0" applyProtection="0">
      <alignment horizontal="left" vertical="top" indent="1"/>
    </xf>
    <xf numFmtId="0" fontId="113" fillId="145" borderId="216" applyNumberFormat="0" applyProtection="0">
      <alignment horizontal="left" vertical="center" indent="1"/>
    </xf>
    <xf numFmtId="0" fontId="99" fillId="122" borderId="213" applyNumberFormat="0" applyProtection="0">
      <alignment horizontal="left" vertical="top" indent="1"/>
    </xf>
    <xf numFmtId="0" fontId="99" fillId="122" borderId="213" applyNumberFormat="0" applyProtection="0">
      <alignment horizontal="left" vertical="top" indent="1"/>
    </xf>
    <xf numFmtId="0" fontId="113" fillId="61" borderId="216" applyNumberFormat="0" applyProtection="0">
      <alignment horizontal="left" vertical="center" indent="1"/>
    </xf>
    <xf numFmtId="0" fontId="99" fillId="61" borderId="213" applyNumberFormat="0" applyProtection="0">
      <alignment horizontal="left" vertical="top" indent="1"/>
    </xf>
    <xf numFmtId="0" fontId="99" fillId="61" borderId="213" applyNumberFormat="0" applyProtection="0">
      <alignment horizontal="left" vertical="top" indent="1"/>
    </xf>
    <xf numFmtId="0" fontId="113" fillId="120" borderId="216" applyNumberFormat="0" applyProtection="0">
      <alignment horizontal="left" vertical="center" indent="1"/>
    </xf>
    <xf numFmtId="0" fontId="99" fillId="120" borderId="213" applyNumberFormat="0" applyProtection="0">
      <alignment horizontal="left" vertical="top" indent="1"/>
    </xf>
    <xf numFmtId="0" fontId="99" fillId="120" borderId="213" applyNumberFormat="0" applyProtection="0">
      <alignment horizontal="left" vertical="top" indent="1"/>
    </xf>
    <xf numFmtId="4" fontId="121" fillId="146" borderId="216" applyNumberFormat="0" applyProtection="0">
      <alignment horizontal="left" vertical="center" indent="1"/>
    </xf>
    <xf numFmtId="4" fontId="121" fillId="146" borderId="216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17"/>
    <xf numFmtId="4" fontId="113" fillId="0" borderId="216" applyNumberFormat="0" applyProtection="0">
      <alignment horizontal="right" vertical="center"/>
    </xf>
    <xf numFmtId="4" fontId="120" fillId="54" borderId="216" applyNumberFormat="0" applyProtection="0">
      <alignment horizontal="right" vertical="center"/>
    </xf>
    <xf numFmtId="0" fontId="123" fillId="0" borderId="212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11" fillId="25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21" borderId="213" applyNumberFormat="0" applyProtection="0">
      <alignment horizontal="left" vertical="center" indent="1"/>
    </xf>
    <xf numFmtId="4" fontId="106" fillId="122" borderId="213" applyNumberFormat="0" applyProtection="0">
      <alignment horizontal="right" vertical="center"/>
    </xf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33" fillId="81" borderId="209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0" borderId="0"/>
    <xf numFmtId="167" fontId="4" fillId="0" borderId="0" applyFont="0" applyFill="0" applyBorder="0" applyAlignment="0" applyProtection="0"/>
    <xf numFmtId="0" fontId="11" fillId="25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0" fontId="106" fillId="116" borderId="213" applyNumberFormat="0" applyProtection="0">
      <alignment horizontal="left" vertical="top" indent="1"/>
    </xf>
    <xf numFmtId="0" fontId="49" fillId="60" borderId="208" applyNumberFormat="0" applyAlignment="0" applyProtection="0"/>
    <xf numFmtId="4" fontId="109" fillId="120" borderId="213" applyNumberFormat="0" applyProtection="0">
      <alignment horizontal="right" vertical="center"/>
    </xf>
    <xf numFmtId="0" fontId="33" fillId="81" borderId="209" applyNumberFormat="0" applyFont="0" applyAlignment="0" applyProtection="0"/>
    <xf numFmtId="0" fontId="11" fillId="25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0" fontId="49" fillId="60" borderId="208" applyNumberFormat="0" applyAlignment="0" applyProtection="0"/>
    <xf numFmtId="4" fontId="106" fillId="123" borderId="213" applyNumberFormat="0" applyProtection="0">
      <alignment vertical="center"/>
    </xf>
    <xf numFmtId="0" fontId="106" fillId="123" borderId="213" applyNumberFormat="0" applyProtection="0">
      <alignment horizontal="left" vertical="top" indent="1"/>
    </xf>
    <xf numFmtId="0" fontId="54" fillId="0" borderId="211" applyNumberFormat="0" applyFill="0" applyAlignment="0" applyProtection="0"/>
    <xf numFmtId="169" fontId="7" fillId="0" borderId="212">
      <alignment horizontal="right" indent="1"/>
    </xf>
    <xf numFmtId="4" fontId="104" fillId="23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0" fontId="36" fillId="73" borderId="208" applyNumberFormat="0" applyAlignment="0" applyProtection="0"/>
    <xf numFmtId="4" fontId="106" fillId="118" borderId="213" applyNumberFormat="0" applyProtection="0">
      <alignment horizontal="right" vertical="center"/>
    </xf>
    <xf numFmtId="169" fontId="7" fillId="0" borderId="212">
      <alignment horizontal="right" indent="1"/>
    </xf>
    <xf numFmtId="4" fontId="111" fillId="120" borderId="213" applyNumberFormat="0" applyProtection="0">
      <alignment horizontal="right" vertical="center"/>
    </xf>
    <xf numFmtId="4" fontId="105" fillId="23" borderId="213" applyNumberFormat="0" applyProtection="0">
      <alignment vertical="center"/>
    </xf>
    <xf numFmtId="0" fontId="33" fillId="81" borderId="209" applyNumberFormat="0" applyFont="0" applyAlignment="0" applyProtection="0"/>
    <xf numFmtId="169" fontId="7" fillId="0" borderId="212">
      <alignment horizontal="right" indent="1"/>
    </xf>
    <xf numFmtId="4" fontId="106" fillId="56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3" borderId="213" applyNumberFormat="0" applyProtection="0">
      <alignment horizontal="left" vertical="center" indent="1"/>
    </xf>
    <xf numFmtId="4" fontId="105" fillId="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9" fillId="120" borderId="213" applyNumberFormat="0" applyProtection="0">
      <alignment horizontal="right" vertical="center"/>
    </xf>
    <xf numFmtId="4" fontId="104" fillId="23" borderId="213" applyNumberFormat="0" applyProtection="0">
      <alignment horizontal="left" vertical="center" indent="1"/>
    </xf>
    <xf numFmtId="0" fontId="36" fillId="73" borderId="208" applyNumberFormat="0" applyAlignment="0" applyProtection="0"/>
    <xf numFmtId="0" fontId="49" fillId="60" borderId="208" applyNumberFormat="0" applyAlignment="0" applyProtection="0"/>
    <xf numFmtId="0" fontId="11" fillId="116" borderId="213" applyNumberFormat="0" applyProtection="0">
      <alignment horizontal="left" vertical="center" indent="1"/>
    </xf>
    <xf numFmtId="4" fontId="106" fillId="63" borderId="213" applyNumberFormat="0" applyProtection="0">
      <alignment horizontal="right" vertical="center"/>
    </xf>
    <xf numFmtId="169" fontId="7" fillId="0" borderId="212">
      <alignment horizontal="right" indent="1"/>
    </xf>
    <xf numFmtId="4" fontId="106" fillId="72" borderId="213" applyNumberFormat="0" applyProtection="0">
      <alignment horizontal="right" vertical="center"/>
    </xf>
    <xf numFmtId="0" fontId="36" fillId="73" borderId="208" applyNumberFormat="0" applyAlignment="0" applyProtection="0"/>
    <xf numFmtId="169" fontId="7" fillId="0" borderId="212">
      <alignment horizontal="right" indent="1"/>
    </xf>
    <xf numFmtId="0" fontId="6" fillId="81" borderId="209" applyNumberFormat="0" applyFont="0" applyAlignment="0" applyProtection="0"/>
    <xf numFmtId="0" fontId="103" fillId="73" borderId="210" applyNumberFormat="0" applyAlignment="0" applyProtection="0"/>
    <xf numFmtId="4" fontId="106" fillId="123" borderId="213" applyNumberFormat="0" applyProtection="0">
      <alignment horizontal="left" vertical="center" indent="1"/>
    </xf>
    <xf numFmtId="4" fontId="109" fillId="123" borderId="213" applyNumberFormat="0" applyProtection="0">
      <alignment vertical="center"/>
    </xf>
    <xf numFmtId="0" fontId="11" fillId="37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02" fillId="0" borderId="27" applyFont="0" applyFill="0" applyBorder="0" applyAlignment="0" applyProtection="0">
      <alignment horizontal="center" vertical="center" wrapText="1"/>
    </xf>
    <xf numFmtId="0" fontId="102" fillId="0" borderId="27" applyFont="0" applyBorder="0" applyAlignment="0">
      <alignment horizontal="center" vertical="center" wrapText="1"/>
    </xf>
    <xf numFmtId="4" fontId="106" fillId="122" borderId="213" applyNumberFormat="0" applyProtection="0">
      <alignment horizontal="left" vertical="center" indent="1"/>
    </xf>
    <xf numFmtId="4" fontId="111" fillId="120" borderId="213" applyNumberFormat="0" applyProtection="0">
      <alignment horizontal="right" vertical="center"/>
    </xf>
    <xf numFmtId="0" fontId="103" fillId="73" borderId="210" applyNumberFormat="0" applyAlignment="0" applyProtection="0"/>
    <xf numFmtId="0" fontId="49" fillId="60" borderId="208" applyNumberFormat="0" applyAlignment="0" applyProtection="0"/>
    <xf numFmtId="0" fontId="54" fillId="0" borderId="211" applyNumberFormat="0" applyFill="0" applyAlignment="0" applyProtection="0"/>
    <xf numFmtId="0" fontId="104" fillId="23" borderId="213" applyNumberFormat="0" applyProtection="0">
      <alignment horizontal="left" vertical="top" indent="1"/>
    </xf>
    <xf numFmtId="4" fontId="104" fillId="80" borderId="213" applyNumberFormat="0" applyProtection="0">
      <alignment vertical="center"/>
    </xf>
    <xf numFmtId="4" fontId="105" fillId="23" borderId="213" applyNumberFormat="0" applyProtection="0">
      <alignment vertical="center"/>
    </xf>
    <xf numFmtId="4" fontId="104" fillId="23" borderId="213" applyNumberFormat="0" applyProtection="0">
      <alignment horizontal="left" vertical="center" indent="1"/>
    </xf>
    <xf numFmtId="0" fontId="104" fillId="23" borderId="213" applyNumberFormat="0" applyProtection="0">
      <alignment horizontal="left" vertical="top" indent="1"/>
    </xf>
    <xf numFmtId="4" fontId="106" fillId="56" borderId="213" applyNumberFormat="0" applyProtection="0">
      <alignment horizontal="right" vertical="center"/>
    </xf>
    <xf numFmtId="4" fontId="106" fillId="62" borderId="213" applyNumberFormat="0" applyProtection="0">
      <alignment horizontal="right" vertical="center"/>
    </xf>
    <xf numFmtId="4" fontId="106" fillId="70" borderId="213" applyNumberFormat="0" applyProtection="0">
      <alignment horizontal="right" vertical="center"/>
    </xf>
    <xf numFmtId="4" fontId="106" fillId="64" borderId="213" applyNumberFormat="0" applyProtection="0">
      <alignment horizontal="right" vertical="center"/>
    </xf>
    <xf numFmtId="4" fontId="106" fillId="68" borderId="213" applyNumberFormat="0" applyProtection="0">
      <alignment horizontal="right" vertical="center"/>
    </xf>
    <xf numFmtId="4" fontId="106" fillId="72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11" fillId="120" borderId="213" applyNumberFormat="0" applyProtection="0">
      <alignment horizontal="right" vertical="center"/>
    </xf>
    <xf numFmtId="0" fontId="106" fillId="123" borderId="213" applyNumberFormat="0" applyProtection="0">
      <alignment horizontal="left" vertical="top" indent="1"/>
    </xf>
    <xf numFmtId="4" fontId="106" fillId="122" borderId="213" applyNumberFormat="0" applyProtection="0">
      <alignment horizontal="left" vertical="center" indent="1"/>
    </xf>
    <xf numFmtId="0" fontId="54" fillId="0" borderId="211" applyNumberFormat="0" applyFill="0" applyAlignment="0" applyProtection="0"/>
    <xf numFmtId="0" fontId="54" fillId="0" borderId="211" applyNumberFormat="0" applyFill="0" applyAlignment="0" applyProtection="0"/>
    <xf numFmtId="4" fontId="106" fillId="72" borderId="213" applyNumberFormat="0" applyProtection="0">
      <alignment horizontal="right" vertical="center"/>
    </xf>
    <xf numFmtId="169" fontId="7" fillId="0" borderId="212">
      <alignment horizontal="right" indent="1"/>
    </xf>
    <xf numFmtId="0" fontId="36" fillId="73" borderId="208" applyNumberFormat="0" applyAlignment="0" applyProtection="0"/>
    <xf numFmtId="0" fontId="104" fillId="23" borderId="213" applyNumberFormat="0" applyProtection="0">
      <alignment horizontal="left" vertical="top" indent="1"/>
    </xf>
    <xf numFmtId="4" fontId="106" fillId="70" borderId="213" applyNumberFormat="0" applyProtection="0">
      <alignment horizontal="right" vertical="center"/>
    </xf>
    <xf numFmtId="4" fontId="106" fillId="71" borderId="213" applyNumberFormat="0" applyProtection="0">
      <alignment horizontal="right" vertical="center"/>
    </xf>
    <xf numFmtId="4" fontId="106" fillId="118" borderId="213" applyNumberFormat="0" applyProtection="0">
      <alignment horizontal="right" vertical="center"/>
    </xf>
    <xf numFmtId="4" fontId="106" fillId="63" borderId="213" applyNumberFormat="0" applyProtection="0">
      <alignment horizontal="right" vertical="center"/>
    </xf>
    <xf numFmtId="4" fontId="106" fillId="122" borderId="213" applyNumberFormat="0" applyProtection="0">
      <alignment horizontal="right" vertical="center"/>
    </xf>
    <xf numFmtId="0" fontId="11" fillId="121" borderId="213" applyNumberFormat="0" applyProtection="0">
      <alignment horizontal="left" vertical="center" indent="1"/>
    </xf>
    <xf numFmtId="0" fontId="11" fillId="121" borderId="213" applyNumberFormat="0" applyProtection="0">
      <alignment horizontal="left" vertical="top" indent="1"/>
    </xf>
    <xf numFmtId="0" fontId="11" fillId="116" borderId="213" applyNumberFormat="0" applyProtection="0">
      <alignment horizontal="left" vertical="center" indent="1"/>
    </xf>
    <xf numFmtId="0" fontId="11" fillId="116" borderId="213" applyNumberFormat="0" applyProtection="0">
      <alignment horizontal="left" vertical="top" indent="1"/>
    </xf>
    <xf numFmtId="0" fontId="11" fillId="37" borderId="213" applyNumberFormat="0" applyProtection="0">
      <alignment horizontal="left" vertical="center" indent="1"/>
    </xf>
    <xf numFmtId="0" fontId="11" fillId="37" borderId="213" applyNumberFormat="0" applyProtection="0">
      <alignment horizontal="left" vertical="top" indent="1"/>
    </xf>
    <xf numFmtId="0" fontId="11" fillId="25" borderId="213" applyNumberFormat="0" applyProtection="0">
      <alignment horizontal="left" vertical="center" indent="1"/>
    </xf>
    <xf numFmtId="0" fontId="11" fillId="25" borderId="213" applyNumberFormat="0" applyProtection="0">
      <alignment horizontal="left" vertical="top" indent="1"/>
    </xf>
    <xf numFmtId="4" fontId="106" fillId="123" borderId="213" applyNumberFormat="0" applyProtection="0">
      <alignment vertical="center"/>
    </xf>
    <xf numFmtId="4" fontId="109" fillId="123" borderId="213" applyNumberFormat="0" applyProtection="0">
      <alignment vertical="center"/>
    </xf>
    <xf numFmtId="4" fontId="106" fillId="123" borderId="213" applyNumberFormat="0" applyProtection="0">
      <alignment horizontal="left" vertical="center" indent="1"/>
    </xf>
    <xf numFmtId="0" fontId="106" fillId="123" borderId="213" applyNumberFormat="0" applyProtection="0">
      <alignment horizontal="left" vertical="top" indent="1"/>
    </xf>
    <xf numFmtId="4" fontId="106" fillId="120" borderId="213" applyNumberFormat="0" applyProtection="0">
      <alignment horizontal="right" vertical="center"/>
    </xf>
    <xf numFmtId="4" fontId="109" fillId="120" borderId="213" applyNumberFormat="0" applyProtection="0">
      <alignment horizontal="right" vertical="center"/>
    </xf>
    <xf numFmtId="4" fontId="106" fillId="122" borderId="213" applyNumberFormat="0" applyProtection="0">
      <alignment horizontal="left" vertical="center" indent="1"/>
    </xf>
    <xf numFmtId="0" fontId="106" fillId="116" borderId="213" applyNumberFormat="0" applyProtection="0">
      <alignment horizontal="left" vertical="top" indent="1"/>
    </xf>
    <xf numFmtId="4" fontId="111" fillId="120" borderId="213" applyNumberFormat="0" applyProtection="0">
      <alignment horizontal="right" vertical="center"/>
    </xf>
    <xf numFmtId="4" fontId="113" fillId="117" borderId="219" applyNumberFormat="0" applyProtection="0">
      <alignment horizontal="left" vertical="center" indent="1"/>
    </xf>
    <xf numFmtId="4" fontId="119" fillId="23" borderId="219" applyNumberFormat="0" applyProtection="0">
      <alignment vertical="center"/>
    </xf>
    <xf numFmtId="4" fontId="120" fillId="23" borderId="219" applyNumberFormat="0" applyProtection="0">
      <alignment vertical="center"/>
    </xf>
    <xf numFmtId="4" fontId="121" fillId="123" borderId="219" applyNumberFormat="0" applyProtection="0">
      <alignment horizontal="left" vertical="center" indent="1"/>
    </xf>
    <xf numFmtId="4" fontId="113" fillId="56" borderId="219" applyNumberFormat="0" applyProtection="0">
      <alignment horizontal="right" vertical="center"/>
    </xf>
    <xf numFmtId="4" fontId="113" fillId="143" borderId="219" applyNumberFormat="0" applyProtection="0">
      <alignment horizontal="right" vertical="center"/>
    </xf>
    <xf numFmtId="4" fontId="113" fillId="64" borderId="219" applyNumberFormat="0" applyProtection="0">
      <alignment horizontal="right" vertical="center"/>
    </xf>
    <xf numFmtId="4" fontId="113" fillId="68" borderId="219" applyNumberFormat="0" applyProtection="0">
      <alignment horizontal="right" vertical="center"/>
    </xf>
    <xf numFmtId="4" fontId="113" fillId="72" borderId="219" applyNumberFormat="0" applyProtection="0">
      <alignment horizontal="right" vertical="center"/>
    </xf>
    <xf numFmtId="4" fontId="113" fillId="71" borderId="219" applyNumberFormat="0" applyProtection="0">
      <alignment horizontal="right" vertical="center"/>
    </xf>
    <xf numFmtId="4" fontId="113" fillId="118" borderId="219" applyNumberFormat="0" applyProtection="0">
      <alignment horizontal="right" vertical="center"/>
    </xf>
    <xf numFmtId="4" fontId="113" fillId="63" borderId="219" applyNumberFormat="0" applyProtection="0">
      <alignment horizontal="right" vertical="center"/>
    </xf>
    <xf numFmtId="4" fontId="113" fillId="119" borderId="218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22" fillId="144" borderId="218" applyNumberFormat="0" applyProtection="0">
      <alignment horizontal="left" vertical="center" indent="1"/>
    </xf>
    <xf numFmtId="4" fontId="113" fillId="122" borderId="219" applyNumberFormat="0" applyProtection="0">
      <alignment horizontal="right" vertical="center"/>
    </xf>
    <xf numFmtId="0" fontId="113" fillId="73" borderId="219" applyNumberFormat="0" applyProtection="0">
      <alignment horizontal="left" vertical="center" indent="1"/>
    </xf>
    <xf numFmtId="0" fontId="99" fillId="144" borderId="213" applyNumberFormat="0" applyProtection="0">
      <alignment horizontal="left" vertical="top" indent="1"/>
    </xf>
    <xf numFmtId="0" fontId="99" fillId="144" borderId="213" applyNumberFormat="0" applyProtection="0">
      <alignment horizontal="left" vertical="top" indent="1"/>
    </xf>
    <xf numFmtId="0" fontId="113" fillId="145" borderId="219" applyNumberFormat="0" applyProtection="0">
      <alignment horizontal="left" vertical="center" indent="1"/>
    </xf>
    <xf numFmtId="0" fontId="99" fillId="122" borderId="213" applyNumberFormat="0" applyProtection="0">
      <alignment horizontal="left" vertical="top" indent="1"/>
    </xf>
    <xf numFmtId="0" fontId="99" fillId="122" borderId="213" applyNumberFormat="0" applyProtection="0">
      <alignment horizontal="left" vertical="top" indent="1"/>
    </xf>
    <xf numFmtId="0" fontId="113" fillId="61" borderId="219" applyNumberFormat="0" applyProtection="0">
      <alignment horizontal="left" vertical="center" indent="1"/>
    </xf>
    <xf numFmtId="0" fontId="99" fillId="61" borderId="213" applyNumberFormat="0" applyProtection="0">
      <alignment horizontal="left" vertical="top" indent="1"/>
    </xf>
    <xf numFmtId="0" fontId="99" fillId="61" borderId="213" applyNumberFormat="0" applyProtection="0">
      <alignment horizontal="left" vertical="top" indent="1"/>
    </xf>
    <xf numFmtId="0" fontId="113" fillId="120" borderId="219" applyNumberFormat="0" applyProtection="0">
      <alignment horizontal="left" vertical="center" indent="1"/>
    </xf>
    <xf numFmtId="0" fontId="99" fillId="120" borderId="213" applyNumberFormat="0" applyProtection="0">
      <alignment horizontal="left" vertical="top" indent="1"/>
    </xf>
    <xf numFmtId="0" fontId="99" fillId="120" borderId="213" applyNumberFormat="0" applyProtection="0">
      <alignment horizontal="left" vertical="top" indent="1"/>
    </xf>
    <xf numFmtId="4" fontId="121" fillId="146" borderId="219" applyNumberFormat="0" applyProtection="0">
      <alignment horizontal="left" vertical="center" indent="1"/>
    </xf>
    <xf numFmtId="4" fontId="121" fillId="146" borderId="219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20"/>
    <xf numFmtId="4" fontId="113" fillId="0" borderId="219" applyNumberFormat="0" applyProtection="0">
      <alignment horizontal="right" vertical="center"/>
    </xf>
    <xf numFmtId="4" fontId="120" fillId="54" borderId="219" applyNumberFormat="0" applyProtection="0">
      <alignment horizontal="right" vertical="center"/>
    </xf>
    <xf numFmtId="0" fontId="123" fillId="0" borderId="207"/>
    <xf numFmtId="0" fontId="1" fillId="0" borderId="0"/>
    <xf numFmtId="0" fontId="126" fillId="0" borderId="0"/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4" fontId="106" fillId="70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4" fontId="111" fillId="120" borderId="225" applyNumberFormat="0" applyProtection="0">
      <alignment horizontal="right" vertical="center"/>
    </xf>
    <xf numFmtId="0" fontId="36" fillId="73" borderId="221" applyNumberFormat="0" applyAlignment="0" applyProtection="0"/>
    <xf numFmtId="169" fontId="7" fillId="0" borderId="212">
      <alignment horizontal="right" indent="1"/>
    </xf>
    <xf numFmtId="0" fontId="106" fillId="123" borderId="225" applyNumberFormat="0" applyProtection="0">
      <alignment horizontal="left" vertical="top" indent="1"/>
    </xf>
    <xf numFmtId="4" fontId="106" fillId="64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0" fontId="49" fillId="60" borderId="221" applyNumberFormat="0" applyAlignment="0" applyProtection="0"/>
    <xf numFmtId="0" fontId="6" fillId="81" borderId="222" applyNumberFormat="0" applyFont="0" applyAlignment="0" applyProtection="0"/>
    <xf numFmtId="0" fontId="54" fillId="0" borderId="224" applyNumberFormat="0" applyFill="0" applyAlignment="0" applyProtection="0"/>
    <xf numFmtId="4" fontId="106" fillId="120" borderId="225" applyNumberFormat="0" applyProtection="0">
      <alignment horizontal="right" vertical="center"/>
    </xf>
    <xf numFmtId="169" fontId="7" fillId="0" borderId="212">
      <alignment horizontal="right" indent="1"/>
    </xf>
    <xf numFmtId="4" fontId="104" fillId="80" borderId="225" applyNumberFormat="0" applyProtection="0">
      <alignment vertical="center"/>
    </xf>
    <xf numFmtId="0" fontId="10" fillId="30" borderId="212"/>
    <xf numFmtId="0" fontId="54" fillId="0" borderId="224" applyNumberFormat="0" applyFill="0" applyAlignment="0" applyProtection="0"/>
    <xf numFmtId="0" fontId="106" fillId="116" borderId="225" applyNumberFormat="0" applyProtection="0">
      <alignment horizontal="left" vertical="top" indent="1"/>
    </xf>
    <xf numFmtId="0" fontId="106" fillId="123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36" fillId="73" borderId="221" applyNumberFormat="0" applyAlignment="0" applyProtection="0"/>
    <xf numFmtId="0" fontId="11" fillId="116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0" fontId="49" fillId="60" borderId="221" applyNumberFormat="0" applyAlignment="0" applyProtection="0"/>
    <xf numFmtId="0" fontId="103" fillId="73" borderId="223" applyNumberFormat="0" applyAlignment="0" applyProtection="0"/>
    <xf numFmtId="0" fontId="4" fillId="0" borderId="0"/>
    <xf numFmtId="0" fontId="4" fillId="0" borderId="0"/>
    <xf numFmtId="169" fontId="7" fillId="0" borderId="161">
      <alignment horizontal="right" indent="1"/>
    </xf>
    <xf numFmtId="0" fontId="33" fillId="81" borderId="222" applyNumberFormat="0" applyFont="0" applyAlignment="0" applyProtection="0"/>
    <xf numFmtId="169" fontId="7" fillId="0" borderId="212">
      <alignment horizontal="right" indent="1"/>
    </xf>
    <xf numFmtId="0" fontId="54" fillId="0" borderId="224" applyNumberFormat="0" applyFill="0" applyAlignment="0" applyProtection="0"/>
    <xf numFmtId="4" fontId="104" fillId="119" borderId="214" applyNumberFormat="0" applyProtection="0">
      <alignment horizontal="left" vertical="center" indent="1"/>
    </xf>
    <xf numFmtId="0" fontId="11" fillId="116" borderId="225" applyNumberFormat="0" applyProtection="0">
      <alignment horizontal="left" vertical="center" indent="1"/>
    </xf>
    <xf numFmtId="0" fontId="4" fillId="4" borderId="0" applyNumberFormat="0" applyBorder="0" applyAlignment="0" applyProtection="0"/>
    <xf numFmtId="0" fontId="10" fillId="30" borderId="161"/>
    <xf numFmtId="0" fontId="10" fillId="79" borderId="162"/>
    <xf numFmtId="4" fontId="104" fillId="80" borderId="225" applyNumberFormat="0" applyProtection="0">
      <alignment vertical="center"/>
    </xf>
    <xf numFmtId="0" fontId="11" fillId="121" borderId="225" applyNumberFormat="0" applyProtection="0">
      <alignment horizontal="left" vertical="top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9" fillId="60" borderId="221" applyNumberFormat="0" applyAlignment="0" applyProtection="0"/>
    <xf numFmtId="0" fontId="6" fillId="81" borderId="222" applyNumberFormat="0" applyFont="0" applyAlignment="0" applyProtection="0"/>
    <xf numFmtId="0" fontId="4" fillId="0" borderId="0"/>
    <xf numFmtId="0" fontId="4" fillId="0" borderId="0"/>
    <xf numFmtId="4" fontId="106" fillId="63" borderId="225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116" borderId="225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1" fillId="121" borderId="225" applyNumberFormat="0" applyProtection="0">
      <alignment horizontal="left" vertical="top" indent="1"/>
    </xf>
    <xf numFmtId="0" fontId="36" fillId="73" borderId="221" applyNumberFormat="0" applyAlignment="0" applyProtection="0"/>
    <xf numFmtId="169" fontId="7" fillId="0" borderId="212">
      <alignment horizontal="right" indent="1"/>
    </xf>
    <xf numFmtId="0" fontId="49" fillId="60" borderId="221" applyNumberFormat="0" applyAlignment="0" applyProtection="0"/>
    <xf numFmtId="0" fontId="10" fillId="30" borderId="161"/>
    <xf numFmtId="0" fontId="10" fillId="79" borderId="16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81" borderId="222" applyNumberFormat="0" applyFont="0" applyAlignment="0" applyProtection="0"/>
    <xf numFmtId="0" fontId="36" fillId="73" borderId="22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224" applyNumberFormat="0" applyFill="0" applyAlignment="0" applyProtection="0"/>
    <xf numFmtId="169" fontId="7" fillId="0" borderId="212">
      <alignment horizontal="right" indent="1"/>
    </xf>
    <xf numFmtId="4" fontId="109" fillId="120" borderId="225" applyNumberFormat="0" applyProtection="0">
      <alignment horizontal="right"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169" fontId="7" fillId="0" borderId="212">
      <alignment horizontal="right" indent="1"/>
    </xf>
    <xf numFmtId="4" fontId="105" fillId="23" borderId="225" applyNumberFormat="0" applyProtection="0">
      <alignment vertical="center"/>
    </xf>
    <xf numFmtId="169" fontId="7" fillId="0" borderId="212">
      <alignment horizontal="right" indent="1"/>
    </xf>
    <xf numFmtId="4" fontId="106" fillId="118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0" fontId="10" fillId="0" borderId="206">
      <alignment horizontal="center" vertical="center"/>
    </xf>
    <xf numFmtId="0" fontId="54" fillId="0" borderId="224" applyNumberFormat="0" applyFill="0" applyAlignment="0" applyProtection="0"/>
    <xf numFmtId="4" fontId="106" fillId="123" borderId="225" applyNumberFormat="0" applyProtection="0">
      <alignment vertical="center"/>
    </xf>
    <xf numFmtId="0" fontId="49" fillId="60" borderId="221" applyNumberFormat="0" applyAlignment="0" applyProtection="0"/>
    <xf numFmtId="4" fontId="106" fillId="56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4" fillId="119" borderId="214" applyNumberFormat="0" applyProtection="0">
      <alignment horizontal="left" vertical="center" indent="1"/>
    </xf>
    <xf numFmtId="0" fontId="49" fillId="60" borderId="221" applyNumberFormat="0" applyAlignment="0" applyProtection="0"/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169" fontId="7" fillId="0" borderId="212">
      <alignment horizontal="right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11" fillId="120" borderId="225" applyNumberFormat="0" applyProtection="0">
      <alignment horizontal="right" vertical="center"/>
    </xf>
    <xf numFmtId="169" fontId="7" fillId="0" borderId="212">
      <alignment horizontal="right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6" fillId="64" borderId="225" applyNumberFormat="0" applyProtection="0">
      <alignment horizontal="right" vertical="center"/>
    </xf>
    <xf numFmtId="0" fontId="10" fillId="30" borderId="212"/>
    <xf numFmtId="4" fontId="106" fillId="62" borderId="225" applyNumberFormat="0" applyProtection="0">
      <alignment horizontal="right" vertical="center"/>
    </xf>
    <xf numFmtId="0" fontId="10" fillId="30" borderId="212"/>
    <xf numFmtId="4" fontId="104" fillId="80" borderId="225" applyNumberFormat="0" applyProtection="0">
      <alignment vertical="center"/>
    </xf>
    <xf numFmtId="169" fontId="7" fillId="0" borderId="212">
      <alignment horizontal="right" indent="1"/>
    </xf>
    <xf numFmtId="4" fontId="106" fillId="120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6" fillId="81" borderId="222" applyNumberFormat="0" applyFont="0" applyAlignment="0" applyProtection="0"/>
    <xf numFmtId="0" fontId="10" fillId="30" borderId="212"/>
    <xf numFmtId="4" fontId="106" fillId="68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0" fontId="10" fillId="30" borderId="212"/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49" fillId="60" borderId="221" applyNumberFormat="0" applyAlignment="0" applyProtection="0"/>
    <xf numFmtId="4" fontId="109" fillId="120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6" fillId="56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0" fontId="49" fillId="60" borderId="221" applyNumberFormat="0" applyAlignment="0" applyProtection="0"/>
    <xf numFmtId="4" fontId="106" fillId="123" borderId="225" applyNumberFormat="0" applyProtection="0">
      <alignment vertical="center"/>
    </xf>
    <xf numFmtId="0" fontId="106" fillId="123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9" fontId="4" fillId="0" borderId="0" applyFont="0" applyFill="0" applyBorder="0" applyAlignment="0" applyProtection="0"/>
    <xf numFmtId="169" fontId="7" fillId="0" borderId="212">
      <alignment horizontal="right" indent="1"/>
    </xf>
    <xf numFmtId="4" fontId="104" fillId="23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06" fillId="118" borderId="225" applyNumberFormat="0" applyProtection="0">
      <alignment horizontal="right" vertical="center"/>
    </xf>
    <xf numFmtId="169" fontId="7" fillId="0" borderId="212">
      <alignment horizontal="right" indent="1"/>
    </xf>
    <xf numFmtId="4" fontId="111" fillId="120" borderId="225" applyNumberFormat="0" applyProtection="0">
      <alignment horizontal="right" vertical="center"/>
    </xf>
    <xf numFmtId="4" fontId="105" fillId="23" borderId="225" applyNumberFormat="0" applyProtection="0">
      <alignment vertical="center"/>
    </xf>
    <xf numFmtId="0" fontId="33" fillId="81" borderId="222" applyNumberFormat="0" applyFont="0" applyAlignment="0" applyProtection="0"/>
    <xf numFmtId="169" fontId="7" fillId="0" borderId="212">
      <alignment horizontal="right" indent="1"/>
    </xf>
    <xf numFmtId="4" fontId="106" fillId="56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9" fillId="120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0" fontId="36" fillId="73" borderId="221" applyNumberFormat="0" applyAlignment="0" applyProtection="0"/>
    <xf numFmtId="0" fontId="49" fillId="60" borderId="221" applyNumberFormat="0" applyAlignment="0" applyProtection="0"/>
    <xf numFmtId="0" fontId="11" fillId="116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169" fontId="7" fillId="0" borderId="212">
      <alignment horizontal="right" indent="1"/>
    </xf>
    <xf numFmtId="4" fontId="106" fillId="72" borderId="225" applyNumberFormat="0" applyProtection="0">
      <alignment horizontal="right" vertical="center"/>
    </xf>
    <xf numFmtId="0" fontId="36" fillId="73" borderId="221" applyNumberFormat="0" applyAlignment="0" applyProtection="0"/>
    <xf numFmtId="169" fontId="7" fillId="0" borderId="212">
      <alignment horizontal="right" indent="1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0" fontId="11" fillId="37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169" fontId="7" fillId="0" borderId="212">
      <alignment horizontal="right" indent="1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103" fillId="73" borderId="223" applyNumberFormat="0" applyAlignment="0" applyProtection="0"/>
    <xf numFmtId="0" fontId="49" fillId="60" borderId="221" applyNumberFormat="0" applyAlignment="0" applyProtection="0"/>
    <xf numFmtId="0" fontId="54" fillId="0" borderId="224" applyNumberFormat="0" applyFill="0" applyAlignment="0" applyProtection="0"/>
    <xf numFmtId="0" fontId="104" fillId="23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72" borderId="225" applyNumberFormat="0" applyProtection="0">
      <alignment horizontal="right" vertical="center"/>
    </xf>
    <xf numFmtId="169" fontId="7" fillId="0" borderId="212">
      <alignment horizontal="right" indent="1"/>
    </xf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1" fillId="0" borderId="0"/>
    <xf numFmtId="0" fontId="10" fillId="30" borderId="212"/>
    <xf numFmtId="4" fontId="106" fillId="62" borderId="225" applyNumberFormat="0" applyProtection="0">
      <alignment horizontal="right" vertical="center"/>
    </xf>
    <xf numFmtId="0" fontId="10" fillId="30" borderId="212"/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4" fontId="109" fillId="120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vertical="center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36" fillId="73" borderId="221" applyNumberFormat="0" applyAlignment="0" applyProtection="0"/>
    <xf numFmtId="169" fontId="7" fillId="0" borderId="212">
      <alignment horizontal="right" indent="1"/>
    </xf>
    <xf numFmtId="0" fontId="54" fillId="0" borderId="224" applyNumberFormat="0" applyFill="0" applyAlignment="0" applyProtection="0"/>
    <xf numFmtId="0" fontId="4" fillId="0" borderId="0"/>
    <xf numFmtId="0" fontId="54" fillId="0" borderId="224" applyNumberFormat="0" applyFill="0" applyAlignment="0" applyProtection="0"/>
    <xf numFmtId="0" fontId="33" fillId="81" borderId="222" applyNumberFormat="0" applyFont="0" applyAlignment="0" applyProtection="0"/>
    <xf numFmtId="169" fontId="7" fillId="0" borderId="212">
      <alignment horizontal="right" indent="1"/>
    </xf>
    <xf numFmtId="0" fontId="49" fillId="60" borderId="221" applyNumberFormat="0" applyAlignment="0" applyProtection="0"/>
    <xf numFmtId="0" fontId="99" fillId="144" borderId="225" applyNumberFormat="0" applyProtection="0">
      <alignment horizontal="left" vertical="top" indent="1"/>
    </xf>
    <xf numFmtId="0" fontId="99" fillId="144" borderId="225" applyNumberFormat="0" applyProtection="0">
      <alignment horizontal="left" vertical="top" indent="1"/>
    </xf>
    <xf numFmtId="0" fontId="99" fillId="122" borderId="225" applyNumberFormat="0" applyProtection="0">
      <alignment horizontal="left" vertical="top" indent="1"/>
    </xf>
    <xf numFmtId="0" fontId="99" fillId="122" borderId="225" applyNumberFormat="0" applyProtection="0">
      <alignment horizontal="left" vertical="top" indent="1"/>
    </xf>
    <xf numFmtId="0" fontId="99" fillId="61" borderId="225" applyNumberFormat="0" applyProtection="0">
      <alignment horizontal="left" vertical="top" indent="1"/>
    </xf>
    <xf numFmtId="0" fontId="99" fillId="61" borderId="225" applyNumberFormat="0" applyProtection="0">
      <alignment horizontal="left" vertical="top" indent="1"/>
    </xf>
    <xf numFmtId="0" fontId="99" fillId="120" borderId="225" applyNumberFormat="0" applyProtection="0">
      <alignment horizontal="left" vertical="top" indent="1"/>
    </xf>
    <xf numFmtId="0" fontId="99" fillId="120" borderId="225" applyNumberFormat="0" applyProtection="0">
      <alignment horizontal="left" vertical="top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20"/>
    <xf numFmtId="169" fontId="7" fillId="0" borderId="212">
      <alignment horizontal="right" indent="1"/>
    </xf>
    <xf numFmtId="0" fontId="123" fillId="0" borderId="212"/>
    <xf numFmtId="0" fontId="4" fillId="0" borderId="0"/>
    <xf numFmtId="4" fontId="106" fillId="64" borderId="225" applyNumberFormat="0" applyProtection="0">
      <alignment horizontal="right" vertical="center"/>
    </xf>
    <xf numFmtId="0" fontId="33" fillId="81" borderId="222" applyNumberFormat="0" applyFont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5" borderId="0" applyNumberFormat="0" applyBorder="0" applyAlignment="0" applyProtection="0"/>
    <xf numFmtId="0" fontId="4" fillId="105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09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112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2" borderId="0" applyNumberFormat="0" applyBorder="0" applyAlignment="0" applyProtection="0"/>
    <xf numFmtId="0" fontId="4" fillId="10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0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0" fontId="4" fillId="113" borderId="0" applyNumberFormat="0" applyBorder="0" applyAlignment="0" applyProtection="0"/>
    <xf numFmtId="4" fontId="106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0" fillId="30" borderId="212"/>
    <xf numFmtId="4" fontId="106" fillId="11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0" fillId="30" borderId="212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94" borderId="191" applyNumberFormat="0" applyFont="0" applyAlignment="0" applyProtection="0"/>
    <xf numFmtId="0" fontId="4" fillId="0" borderId="0"/>
    <xf numFmtId="167" fontId="4" fillId="0" borderId="0" applyFont="0" applyFill="0" applyBorder="0" applyAlignment="0" applyProtection="0"/>
    <xf numFmtId="0" fontId="36" fillId="73" borderId="221" applyNumberFormat="0" applyAlignment="0" applyProtection="0"/>
    <xf numFmtId="0" fontId="49" fillId="60" borderId="221" applyNumberFormat="0" applyAlignment="0" applyProtection="0"/>
    <xf numFmtId="0" fontId="11" fillId="116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169" fontId="7" fillId="0" borderId="212">
      <alignment horizontal="right" indent="1"/>
    </xf>
    <xf numFmtId="4" fontId="106" fillId="72" borderId="225" applyNumberFormat="0" applyProtection="0">
      <alignment horizontal="right" vertical="center"/>
    </xf>
    <xf numFmtId="0" fontId="36" fillId="73" borderId="221" applyNumberFormat="0" applyAlignment="0" applyProtection="0"/>
    <xf numFmtId="169" fontId="7" fillId="0" borderId="212">
      <alignment horizontal="right" indent="1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0" fontId="11" fillId="37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103" fillId="73" borderId="223" applyNumberFormat="0" applyAlignment="0" applyProtection="0"/>
    <xf numFmtId="0" fontId="49" fillId="60" borderId="221" applyNumberFormat="0" applyAlignment="0" applyProtection="0"/>
    <xf numFmtId="0" fontId="54" fillId="0" borderId="224" applyNumberFormat="0" applyFill="0" applyAlignment="0" applyProtection="0"/>
    <xf numFmtId="0" fontId="104" fillId="23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72" borderId="225" applyNumberFormat="0" applyProtection="0">
      <alignment horizontal="right" vertical="center"/>
    </xf>
    <xf numFmtId="169" fontId="7" fillId="0" borderId="212">
      <alignment horizontal="right" indent="1"/>
    </xf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10" fillId="30" borderId="212"/>
    <xf numFmtId="4" fontId="113" fillId="117" borderId="219" applyNumberFormat="0" applyProtection="0">
      <alignment horizontal="left" vertical="center" indent="1"/>
    </xf>
    <xf numFmtId="0" fontId="10" fillId="30" borderId="212"/>
    <xf numFmtId="4" fontId="119" fillId="23" borderId="219" applyNumberFormat="0" applyProtection="0">
      <alignment vertical="center"/>
    </xf>
    <xf numFmtId="4" fontId="120" fillId="23" borderId="219" applyNumberFormat="0" applyProtection="0">
      <alignment vertical="center"/>
    </xf>
    <xf numFmtId="4" fontId="121" fillId="123" borderId="219" applyNumberFormat="0" applyProtection="0">
      <alignment horizontal="left" vertical="center" indent="1"/>
    </xf>
    <xf numFmtId="4" fontId="113" fillId="56" borderId="219" applyNumberFormat="0" applyProtection="0">
      <alignment horizontal="right" vertical="center"/>
    </xf>
    <xf numFmtId="4" fontId="113" fillId="143" borderId="219" applyNumberFormat="0" applyProtection="0">
      <alignment horizontal="right" vertical="center"/>
    </xf>
    <xf numFmtId="4" fontId="113" fillId="64" borderId="219" applyNumberFormat="0" applyProtection="0">
      <alignment horizontal="right" vertical="center"/>
    </xf>
    <xf numFmtId="4" fontId="113" fillId="68" borderId="219" applyNumberFormat="0" applyProtection="0">
      <alignment horizontal="right" vertical="center"/>
    </xf>
    <xf numFmtId="4" fontId="113" fillId="72" borderId="219" applyNumberFormat="0" applyProtection="0">
      <alignment horizontal="right" vertical="center"/>
    </xf>
    <xf numFmtId="4" fontId="113" fillId="71" borderId="219" applyNumberFormat="0" applyProtection="0">
      <alignment horizontal="right" vertical="center"/>
    </xf>
    <xf numFmtId="4" fontId="113" fillId="118" borderId="219" applyNumberFormat="0" applyProtection="0">
      <alignment horizontal="right" vertical="center"/>
    </xf>
    <xf numFmtId="4" fontId="113" fillId="63" borderId="219" applyNumberFormat="0" applyProtection="0">
      <alignment horizontal="right" vertical="center"/>
    </xf>
    <xf numFmtId="4" fontId="113" fillId="119" borderId="215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13" fillId="54" borderId="219" applyNumberFormat="0" applyProtection="0">
      <alignment horizontal="left" vertical="center" indent="1"/>
    </xf>
    <xf numFmtId="4" fontId="122" fillId="144" borderId="215" applyNumberFormat="0" applyProtection="0">
      <alignment horizontal="left" vertical="center" indent="1"/>
    </xf>
    <xf numFmtId="4" fontId="113" fillId="122" borderId="219" applyNumberFormat="0" applyProtection="0">
      <alignment horizontal="right" vertical="center"/>
    </xf>
    <xf numFmtId="0" fontId="113" fillId="73" borderId="219" applyNumberFormat="0" applyProtection="0">
      <alignment horizontal="left" vertical="center" indent="1"/>
    </xf>
    <xf numFmtId="0" fontId="99" fillId="144" borderId="225" applyNumberFormat="0" applyProtection="0">
      <alignment horizontal="left" vertical="top" indent="1"/>
    </xf>
    <xf numFmtId="0" fontId="99" fillId="144" borderId="225" applyNumberFormat="0" applyProtection="0">
      <alignment horizontal="left" vertical="top" indent="1"/>
    </xf>
    <xf numFmtId="0" fontId="113" fillId="145" borderId="219" applyNumberFormat="0" applyProtection="0">
      <alignment horizontal="left" vertical="center" indent="1"/>
    </xf>
    <xf numFmtId="0" fontId="99" fillId="122" borderId="225" applyNumberFormat="0" applyProtection="0">
      <alignment horizontal="left" vertical="top" indent="1"/>
    </xf>
    <xf numFmtId="0" fontId="99" fillId="122" borderId="225" applyNumberFormat="0" applyProtection="0">
      <alignment horizontal="left" vertical="top" indent="1"/>
    </xf>
    <xf numFmtId="0" fontId="113" fillId="61" borderId="219" applyNumberFormat="0" applyProtection="0">
      <alignment horizontal="left" vertical="center" indent="1"/>
    </xf>
    <xf numFmtId="0" fontId="99" fillId="61" borderId="225" applyNumberFormat="0" applyProtection="0">
      <alignment horizontal="left" vertical="top" indent="1"/>
    </xf>
    <xf numFmtId="0" fontId="99" fillId="61" borderId="225" applyNumberFormat="0" applyProtection="0">
      <alignment horizontal="left" vertical="top" indent="1"/>
    </xf>
    <xf numFmtId="0" fontId="113" fillId="120" borderId="219" applyNumberFormat="0" applyProtection="0">
      <alignment horizontal="left" vertical="center" indent="1"/>
    </xf>
    <xf numFmtId="0" fontId="99" fillId="120" borderId="225" applyNumberFormat="0" applyProtection="0">
      <alignment horizontal="left" vertical="top" indent="1"/>
    </xf>
    <xf numFmtId="0" fontId="99" fillId="120" borderId="225" applyNumberFormat="0" applyProtection="0">
      <alignment horizontal="left" vertical="top" indent="1"/>
    </xf>
    <xf numFmtId="4" fontId="121" fillId="146" borderId="219" applyNumberFormat="0" applyProtection="0">
      <alignment horizontal="left" vertical="center" indent="1"/>
    </xf>
    <xf numFmtId="4" fontId="121" fillId="146" borderId="219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121" fillId="21" borderId="220"/>
    <xf numFmtId="4" fontId="113" fillId="0" borderId="219" applyNumberFormat="0" applyProtection="0">
      <alignment horizontal="right" vertical="center"/>
    </xf>
    <xf numFmtId="4" fontId="120" fillId="54" borderId="219" applyNumberFormat="0" applyProtection="0">
      <alignment horizontal="right" vertical="center"/>
    </xf>
    <xf numFmtId="0" fontId="123" fillId="0" borderId="161"/>
    <xf numFmtId="169" fontId="7" fillId="0" borderId="212">
      <alignment horizontal="right" indent="1"/>
    </xf>
    <xf numFmtId="169" fontId="7" fillId="0" borderId="212">
      <alignment horizontal="right" indent="1"/>
    </xf>
    <xf numFmtId="169" fontId="7" fillId="0" borderId="212">
      <alignment horizontal="right" indent="1"/>
    </xf>
    <xf numFmtId="169" fontId="7" fillId="0" borderId="212">
      <alignment horizontal="right" indent="1"/>
    </xf>
    <xf numFmtId="0" fontId="10" fillId="0" borderId="206">
      <alignment horizontal="center" vertical="center"/>
    </xf>
    <xf numFmtId="0" fontId="10" fillId="30" borderId="212"/>
    <xf numFmtId="4" fontId="113" fillId="119" borderId="215" applyNumberFormat="0" applyProtection="0">
      <alignment horizontal="left" vertical="center" indent="1"/>
    </xf>
    <xf numFmtId="4" fontId="122" fillId="144" borderId="215" applyNumberFormat="0" applyProtection="0">
      <alignment horizontal="left" vertical="center" indent="1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99" fillId="147" borderId="204" applyNumberFormat="0">
      <protection locked="0"/>
    </xf>
    <xf numFmtId="0" fontId="4" fillId="0" borderId="0"/>
    <xf numFmtId="9" fontId="4" fillId="0" borderId="0" applyFont="0" applyFill="0" applyBorder="0" applyAlignment="0" applyProtection="0"/>
    <xf numFmtId="0" fontId="10" fillId="30" borderId="161"/>
    <xf numFmtId="0" fontId="106" fillId="123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0" fontId="11" fillId="25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0" fontId="49" fillId="60" borderId="221" applyNumberFormat="0" applyAlignment="0" applyProtection="0"/>
    <xf numFmtId="4" fontId="106" fillId="122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169" fontId="7" fillId="0" borderId="212">
      <alignment horizontal="right" indent="1"/>
    </xf>
    <xf numFmtId="4" fontId="111" fillId="120" borderId="225" applyNumberFormat="0" applyProtection="0">
      <alignment horizontal="right" vertical="center"/>
    </xf>
    <xf numFmtId="169" fontId="7" fillId="0" borderId="212">
      <alignment horizontal="right" indent="1"/>
    </xf>
    <xf numFmtId="4" fontId="106" fillId="118" borderId="225" applyNumberFormat="0" applyProtection="0">
      <alignment horizontal="right" vertical="center"/>
    </xf>
    <xf numFmtId="0" fontId="36" fillId="73" borderId="221" applyNumberFormat="0" applyAlignment="0" applyProtection="0"/>
    <xf numFmtId="0" fontId="106" fillId="116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6" fillId="81" borderId="222" applyNumberFormat="0" applyFont="0" applyAlignment="0" applyProtection="0"/>
    <xf numFmtId="0" fontId="106" fillId="123" borderId="225" applyNumberFormat="0" applyProtection="0">
      <alignment horizontal="left" vertical="top" indent="1"/>
    </xf>
    <xf numFmtId="0" fontId="106" fillId="116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0" fontId="11" fillId="37" borderId="225" applyNumberFormat="0" applyProtection="0">
      <alignment horizontal="left" vertical="top" indent="1"/>
    </xf>
    <xf numFmtId="0" fontId="4" fillId="0" borderId="0"/>
    <xf numFmtId="4" fontId="104" fillId="80" borderId="225" applyNumberFormat="0" applyProtection="0">
      <alignment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4" fillId="0" borderId="0"/>
    <xf numFmtId="4" fontId="109" fillId="123" borderId="225" applyNumberFormat="0" applyProtection="0">
      <alignment vertical="center"/>
    </xf>
    <xf numFmtId="0" fontId="106" fillId="116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36" fillId="73" borderId="221" applyNumberFormat="0" applyAlignment="0" applyProtection="0"/>
    <xf numFmtId="0" fontId="4" fillId="4" borderId="0" applyNumberFormat="0" applyBorder="0" applyAlignment="0" applyProtection="0"/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169" fontId="7" fillId="0" borderId="212">
      <alignment horizontal="right" indent="1"/>
    </xf>
    <xf numFmtId="4" fontId="106" fillId="72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6" fillId="81" borderId="222" applyNumberFormat="0" applyFont="0" applyAlignment="0" applyProtection="0"/>
    <xf numFmtId="0" fontId="4" fillId="0" borderId="0"/>
    <xf numFmtId="0" fontId="11" fillId="121" borderId="225" applyNumberFormat="0" applyProtection="0">
      <alignment horizontal="left" vertical="top" indent="1"/>
    </xf>
    <xf numFmtId="9" fontId="4" fillId="0" borderId="0" applyFont="0" applyFill="0" applyBorder="0" applyAlignment="0" applyProtection="0"/>
    <xf numFmtId="0" fontId="4" fillId="0" borderId="0"/>
    <xf numFmtId="0" fontId="54" fillId="0" borderId="224" applyNumberFormat="0" applyFill="0" applyAlignment="0" applyProtection="0"/>
    <xf numFmtId="0" fontId="10" fillId="30" borderId="212"/>
    <xf numFmtId="0" fontId="11" fillId="37" borderId="225" applyNumberFormat="0" applyProtection="0">
      <alignment horizontal="left" vertical="center" indent="1"/>
    </xf>
    <xf numFmtId="0" fontId="4" fillId="0" borderId="0"/>
    <xf numFmtId="0" fontId="4" fillId="0" borderId="0"/>
    <xf numFmtId="0" fontId="101" fillId="2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7" fillId="0" borderId="161">
      <alignment horizontal="right" indent="1"/>
    </xf>
    <xf numFmtId="0" fontId="103" fillId="73" borderId="223" applyNumberFormat="0" applyAlignment="0" applyProtection="0"/>
    <xf numFmtId="4" fontId="106" fillId="56" borderId="225" applyNumberFormat="0" applyProtection="0">
      <alignment horizontal="right" vertical="center"/>
    </xf>
    <xf numFmtId="0" fontId="10" fillId="30" borderId="21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6" fillId="120" borderId="22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6" fillId="122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05" fillId="23" borderId="225" applyNumberFormat="0" applyProtection="0">
      <alignment vertical="center"/>
    </xf>
    <xf numFmtId="169" fontId="7" fillId="0" borderId="212">
      <alignment horizontal="right" indent="1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0" fontId="104" fillId="23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0" fontId="103" fillId="73" borderId="223" applyNumberFormat="0" applyAlignment="0" applyProtection="0"/>
    <xf numFmtId="4" fontId="111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169" fontId="7" fillId="0" borderId="212">
      <alignment horizontal="right" indent="1"/>
    </xf>
    <xf numFmtId="0" fontId="49" fillId="60" borderId="221" applyNumberFormat="0" applyAlignment="0" applyProtection="0"/>
    <xf numFmtId="0" fontId="36" fillId="73" borderId="221" applyNumberFormat="0" applyAlignment="0" applyProtection="0"/>
    <xf numFmtId="4" fontId="104" fillId="23" borderId="225" applyNumberFormat="0" applyProtection="0">
      <alignment horizontal="left" vertical="center" indent="1"/>
    </xf>
    <xf numFmtId="4" fontId="109" fillId="120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6" fillId="6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0" fontId="10" fillId="30" borderId="212"/>
    <xf numFmtId="4" fontId="106" fillId="64" borderId="225" applyNumberFormat="0" applyProtection="0">
      <alignment horizontal="right" vertical="center"/>
    </xf>
    <xf numFmtId="0" fontId="10" fillId="30" borderId="212"/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6" fillId="62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49" fillId="60" borderId="221" applyNumberFormat="0" applyAlignment="0" applyProtection="0"/>
    <xf numFmtId="0" fontId="54" fillId="0" borderId="224" applyNumberFormat="0" applyFill="0" applyAlignment="0" applyProtection="0"/>
    <xf numFmtId="0" fontId="33" fillId="81" borderId="222" applyNumberFormat="0" applyFont="0" applyAlignment="0" applyProtection="0"/>
    <xf numFmtId="0" fontId="10" fillId="0" borderId="206">
      <alignment horizontal="center" vertical="center"/>
    </xf>
    <xf numFmtId="0" fontId="11" fillId="116" borderId="225" applyNumberFormat="0" applyProtection="0">
      <alignment horizontal="left" vertical="center" indent="1"/>
    </xf>
    <xf numFmtId="0" fontId="10" fillId="30" borderId="161"/>
    <xf numFmtId="0" fontId="54" fillId="0" borderId="224" applyNumberFormat="0" applyFill="0" applyAlignment="0" applyProtection="0"/>
    <xf numFmtId="0" fontId="33" fillId="81" borderId="222" applyNumberFormat="0" applyFont="0" applyAlignment="0" applyProtection="0"/>
    <xf numFmtId="4" fontId="109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0" fontId="33" fillId="81" borderId="222" applyNumberFormat="0" applyFont="0" applyAlignment="0" applyProtection="0"/>
    <xf numFmtId="4" fontId="106" fillId="123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04" fillId="119" borderId="214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6" fillId="64" borderId="225" applyNumberFormat="0" applyProtection="0">
      <alignment horizontal="right" vertical="center"/>
    </xf>
    <xf numFmtId="9" fontId="4" fillId="0" borderId="0" applyFont="0" applyFill="0" applyBorder="0" applyAlignment="0" applyProtection="0"/>
    <xf numFmtId="4" fontId="105" fillId="23" borderId="225" applyNumberFormat="0" applyProtection="0">
      <alignment vertical="center"/>
    </xf>
    <xf numFmtId="0" fontId="11" fillId="37" borderId="225" applyNumberFormat="0" applyProtection="0">
      <alignment horizontal="left" vertical="center" indent="1"/>
    </xf>
    <xf numFmtId="169" fontId="7" fillId="0" borderId="161">
      <alignment horizontal="right" indent="1"/>
    </xf>
    <xf numFmtId="169" fontId="7" fillId="0" borderId="212">
      <alignment horizontal="right" indent="1"/>
    </xf>
    <xf numFmtId="4" fontId="106" fillId="63" borderId="225" applyNumberFormat="0" applyProtection="0">
      <alignment horizontal="right" vertical="center"/>
    </xf>
    <xf numFmtId="0" fontId="49" fillId="60" borderId="221" applyNumberFormat="0" applyAlignment="0" applyProtection="0"/>
    <xf numFmtId="0" fontId="6" fillId="81" borderId="222" applyNumberFormat="0" applyFont="0" applyAlignment="0" applyProtection="0"/>
    <xf numFmtId="4" fontId="109" fillId="123" borderId="225" applyNumberFormat="0" applyProtection="0">
      <alignment vertical="center"/>
    </xf>
    <xf numFmtId="4" fontId="104" fillId="80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04" fillId="23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4" fontId="104" fillId="23" borderId="225" applyNumberFormat="0" applyProtection="0">
      <alignment horizontal="left" vertical="center" indent="1"/>
    </xf>
    <xf numFmtId="0" fontId="103" fillId="73" borderId="223" applyNumberFormat="0" applyAlignment="0" applyProtection="0"/>
    <xf numFmtId="0" fontId="36" fillId="73" borderId="221" applyNumberFormat="0" applyAlignment="0" applyProtection="0"/>
    <xf numFmtId="0" fontId="10" fillId="30" borderId="161"/>
    <xf numFmtId="0" fontId="10" fillId="79" borderId="162"/>
    <xf numFmtId="0" fontId="36" fillId="73" borderId="221" applyNumberFormat="0" applyAlignment="0" applyProtection="0"/>
    <xf numFmtId="0" fontId="10" fillId="0" borderId="206">
      <alignment horizontal="center" vertical="center"/>
    </xf>
    <xf numFmtId="0" fontId="33" fillId="81" borderId="222" applyNumberFormat="0" applyFont="0" applyAlignment="0" applyProtection="0"/>
    <xf numFmtId="4" fontId="106" fillId="70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169" fontId="8" fillId="26" borderId="20"/>
    <xf numFmtId="0" fontId="49" fillId="60" borderId="221" applyNumberFormat="0" applyAlignment="0" applyProtection="0"/>
    <xf numFmtId="0" fontId="10" fillId="79" borderId="162"/>
    <xf numFmtId="169" fontId="7" fillId="0" borderId="212">
      <alignment horizontal="right" indent="1"/>
    </xf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11" fillId="25" borderId="225" applyNumberFormat="0" applyProtection="0">
      <alignment horizontal="left" vertical="top" indent="1"/>
    </xf>
    <xf numFmtId="0" fontId="4" fillId="0" borderId="0"/>
    <xf numFmtId="4" fontId="106" fillId="118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0" fontId="33" fillId="0" borderId="0"/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72" borderId="225" applyNumberFormat="0" applyProtection="0">
      <alignment horizontal="right" vertical="center"/>
    </xf>
    <xf numFmtId="169" fontId="7" fillId="0" borderId="212">
      <alignment horizontal="right" indent="1"/>
    </xf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129" fillId="0" borderId="184" applyNumberFormat="0" applyFill="0" applyAlignment="0" applyProtection="0"/>
    <xf numFmtId="0" fontId="130" fillId="0" borderId="185" applyNumberFormat="0" applyFill="0" applyAlignment="0" applyProtection="0"/>
    <xf numFmtId="0" fontId="131" fillId="0" borderId="186" applyNumberFormat="0" applyFill="0" applyAlignment="0" applyProtection="0"/>
    <xf numFmtId="0" fontId="131" fillId="0" borderId="0" applyNumberFormat="0" applyFill="0" applyBorder="0" applyAlignment="0" applyProtection="0"/>
    <xf numFmtId="0" fontId="96" fillId="90" borderId="0" applyNumberFormat="0" applyBorder="0" applyAlignment="0" applyProtection="0"/>
    <xf numFmtId="0" fontId="132" fillId="3" borderId="0" applyNumberFormat="0" applyBorder="0" applyAlignment="0" applyProtection="0"/>
    <xf numFmtId="0" fontId="133" fillId="92" borderId="188" applyNumberFormat="0" applyAlignment="0" applyProtection="0"/>
    <xf numFmtId="0" fontId="134" fillId="92" borderId="187" applyNumberFormat="0" applyAlignment="0" applyProtection="0"/>
    <xf numFmtId="0" fontId="135" fillId="0" borderId="189" applyNumberFormat="0" applyFill="0" applyAlignment="0" applyProtection="0"/>
    <xf numFmtId="0" fontId="127" fillId="93" borderId="190" applyNumberFormat="0" applyAlignment="0" applyProtection="0"/>
    <xf numFmtId="0" fontId="136" fillId="0" borderId="0" applyNumberFormat="0" applyFill="0" applyBorder="0" applyAlignment="0" applyProtection="0"/>
    <xf numFmtId="0" fontId="125" fillId="95" borderId="0" applyNumberFormat="0" applyBorder="0" applyAlignment="0" applyProtection="0"/>
    <xf numFmtId="0" fontId="125" fillId="98" borderId="0" applyNumberFormat="0" applyBorder="0" applyAlignment="0" applyProtection="0"/>
    <xf numFmtId="0" fontId="125" fillId="101" borderId="0" applyNumberFormat="0" applyBorder="0" applyAlignment="0" applyProtection="0"/>
    <xf numFmtId="0" fontId="125" fillId="104" borderId="0" applyNumberFormat="0" applyBorder="0" applyAlignment="0" applyProtection="0"/>
    <xf numFmtId="0" fontId="125" fillId="108" borderId="0" applyNumberFormat="0" applyBorder="0" applyAlignment="0" applyProtection="0"/>
    <xf numFmtId="0" fontId="125" fillId="111" borderId="0" applyNumberFormat="0" applyBorder="0" applyAlignment="0" applyProtection="0"/>
    <xf numFmtId="4" fontId="106" fillId="72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4" fontId="104" fillId="80" borderId="225" applyNumberFormat="0" applyProtection="0">
      <alignment vertical="center"/>
    </xf>
    <xf numFmtId="9" fontId="33" fillId="0" borderId="0" applyFont="0" applyFill="0" applyBorder="0" applyAlignment="0" applyProtection="0"/>
    <xf numFmtId="0" fontId="1" fillId="0" borderId="0"/>
    <xf numFmtId="0" fontId="54" fillId="0" borderId="224" applyNumberFormat="0" applyFill="0" applyAlignment="0" applyProtection="0"/>
    <xf numFmtId="0" fontId="103" fillId="73" borderId="223" applyNumberFormat="0" applyAlignment="0" applyProtection="0"/>
    <xf numFmtId="0" fontId="6" fillId="81" borderId="222" applyNumberFormat="0" applyFont="0" applyAlignment="0" applyProtection="0"/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0" fontId="103" fillId="73" borderId="223" applyNumberFormat="0" applyAlignment="0" applyProtection="0"/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64" borderId="225" applyNumberFormat="0" applyProtection="0">
      <alignment horizontal="right" vertical="center"/>
    </xf>
    <xf numFmtId="0" fontId="11" fillId="37" borderId="225" applyNumberFormat="0" applyProtection="0">
      <alignment horizontal="left" vertical="center" indent="1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4" fontId="109" fillId="12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36" fillId="73" borderId="221" applyNumberFormat="0" applyAlignment="0" applyProtection="0"/>
    <xf numFmtId="4" fontId="106" fillId="64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9" fontId="33" fillId="0" borderId="0" applyFont="0" applyFill="0" applyBorder="0" applyAlignment="0" applyProtection="0"/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12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104" fillId="23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62" borderId="225" applyNumberFormat="0" applyProtection="0">
      <alignment horizontal="right" vertical="center"/>
    </xf>
    <xf numFmtId="0" fontId="4" fillId="0" borderId="0"/>
    <xf numFmtId="0" fontId="11" fillId="0" borderId="0"/>
    <xf numFmtId="0" fontId="137" fillId="0" borderId="0" applyNumberFormat="0" applyFill="0" applyBorder="0" applyAlignment="0" applyProtection="0"/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38" fillId="91" borderId="187" applyNumberFormat="0" applyAlignment="0" applyProtection="0"/>
    <xf numFmtId="0" fontId="103" fillId="73" borderId="223" applyNumberFormat="0" applyAlignment="0" applyProtection="0"/>
    <xf numFmtId="0" fontId="106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4" fontId="106" fillId="7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4" fontId="106" fillId="123" borderId="225" applyNumberFormat="0" applyProtection="0">
      <alignment horizontal="left" vertical="center" indent="1"/>
    </xf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4" fontId="109" fillId="123" borderId="225" applyNumberFormat="0" applyProtection="0">
      <alignment vertical="center"/>
    </xf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4" fontId="106" fillId="123" borderId="225" applyNumberFormat="0" applyProtection="0">
      <alignment vertical="center"/>
    </xf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4" fontId="109" fillId="120" borderId="225" applyNumberFormat="0" applyProtection="0">
      <alignment horizontal="right" vertical="center"/>
    </xf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11" fillId="25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0" fontId="11" fillId="37" borderId="225" applyNumberFormat="0" applyProtection="0">
      <alignment horizontal="left" vertical="top" indent="1"/>
    </xf>
    <xf numFmtId="0" fontId="4" fillId="0" borderId="0"/>
    <xf numFmtId="0" fontId="4" fillId="94" borderId="191" applyNumberFormat="0" applyFont="0" applyAlignment="0" applyProtection="0"/>
    <xf numFmtId="0" fontId="33" fillId="0" borderId="0"/>
    <xf numFmtId="0" fontId="49" fillId="60" borderId="221" applyNumberFormat="0" applyAlignment="0" applyProtection="0"/>
    <xf numFmtId="4" fontId="109" fillId="120" borderId="225" applyNumberFormat="0" applyProtection="0">
      <alignment horizontal="right" vertical="center"/>
    </xf>
    <xf numFmtId="0" fontId="4" fillId="0" borderId="0"/>
    <xf numFmtId="0" fontId="11" fillId="0" borderId="0"/>
    <xf numFmtId="4" fontId="106" fillId="122" borderId="225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28" fillId="0" borderId="0" applyNumberFormat="0" applyFill="0" applyBorder="0" applyAlignment="0" applyProtection="0"/>
    <xf numFmtId="0" fontId="4" fillId="94" borderId="191" applyNumberFormat="0" applyFont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4" fontId="109" fillId="120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vertical="center"/>
    </xf>
    <xf numFmtId="4" fontId="109" fillId="120" borderId="225" applyNumberFormat="0" applyProtection="0">
      <alignment horizontal="right" vertical="center"/>
    </xf>
    <xf numFmtId="0" fontId="11" fillId="25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120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5" fillId="23" borderId="225" applyNumberFormat="0" applyProtection="0">
      <alignment vertical="center"/>
    </xf>
    <xf numFmtId="4" fontId="104" fillId="80" borderId="225" applyNumberFormat="0" applyProtection="0">
      <alignment vertical="center"/>
    </xf>
    <xf numFmtId="0" fontId="11" fillId="116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71" borderId="225" applyNumberFormat="0" applyProtection="0">
      <alignment horizontal="right" vertical="center"/>
    </xf>
    <xf numFmtId="9" fontId="33" fillId="0" borderId="0" applyFont="0" applyFill="0" applyBorder="0" applyAlignment="0" applyProtection="0"/>
    <xf numFmtId="0" fontId="103" fillId="73" borderId="223" applyNumberFormat="0" applyAlignment="0" applyProtection="0"/>
    <xf numFmtId="0" fontId="6" fillId="81" borderId="222" applyNumberFormat="0" applyFont="0" applyAlignment="0" applyProtection="0"/>
    <xf numFmtId="4" fontId="106" fillId="72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68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4" fontId="105" fillId="23" borderId="225" applyNumberFormat="0" applyProtection="0">
      <alignment vertical="center"/>
    </xf>
    <xf numFmtId="0" fontId="36" fillId="73" borderId="221" applyNumberFormat="0" applyAlignment="0" applyProtection="0"/>
    <xf numFmtId="0" fontId="49" fillId="60" borderId="221" applyNumberFormat="0" applyAlignment="0" applyProtection="0"/>
    <xf numFmtId="0" fontId="49" fillId="60" borderId="221" applyNumberFormat="0" applyAlignment="0" applyProtection="0"/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9" fontId="33" fillId="0" borderId="0" applyFont="0" applyFill="0" applyBorder="0" applyAlignment="0" applyProtection="0"/>
    <xf numFmtId="4" fontId="106" fillId="118" borderId="225" applyNumberFormat="0" applyProtection="0">
      <alignment horizontal="right" vertical="center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36" fillId="73" borderId="221" applyNumberFormat="0" applyAlignment="0" applyProtection="0"/>
    <xf numFmtId="0" fontId="11" fillId="37" borderId="225" applyNumberFormat="0" applyProtection="0">
      <alignment horizontal="left" vertical="center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20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03" fillId="73" borderId="223" applyNumberFormat="0" applyAlignment="0" applyProtection="0"/>
    <xf numFmtId="9" fontId="33" fillId="0" borderId="0" applyFont="0" applyFill="0" applyBorder="0" applyAlignment="0" applyProtection="0"/>
    <xf numFmtId="4" fontId="109" fillId="12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4" fontId="104" fillId="80" borderId="225" applyNumberFormat="0" applyProtection="0">
      <alignment vertical="center"/>
    </xf>
    <xf numFmtId="4" fontId="105" fillId="23" borderId="225" applyNumberFormat="0" applyProtection="0">
      <alignment vertical="center"/>
    </xf>
    <xf numFmtId="4" fontId="104" fillId="23" borderId="225" applyNumberFormat="0" applyProtection="0">
      <alignment horizontal="left" vertical="center" indent="1"/>
    </xf>
    <xf numFmtId="0" fontId="104" fillId="23" borderId="225" applyNumberFormat="0" applyProtection="0">
      <alignment horizontal="left" vertical="top" indent="1"/>
    </xf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0" fontId="11" fillId="116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top" indent="1"/>
    </xf>
    <xf numFmtId="0" fontId="11" fillId="25" borderId="225" applyNumberFormat="0" applyProtection="0">
      <alignment horizontal="left" vertical="center" indent="1"/>
    </xf>
    <xf numFmtId="0" fontId="11" fillId="25" borderId="225" applyNumberFormat="0" applyProtection="0">
      <alignment horizontal="left" vertical="top" indent="1"/>
    </xf>
    <xf numFmtId="4" fontId="109" fillId="120" borderId="225" applyNumberFormat="0" applyProtection="0">
      <alignment horizontal="right" vertical="center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0" fontId="36" fillId="73" borderId="221" applyNumberFormat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123" borderId="225" applyNumberFormat="0" applyProtection="0">
      <alignment vertical="center"/>
    </xf>
    <xf numFmtId="0" fontId="4" fillId="0" borderId="0"/>
    <xf numFmtId="4" fontId="106" fillId="71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4" fontId="105" fillId="23" borderId="225" applyNumberFormat="0" applyProtection="0">
      <alignment vertical="center"/>
    </xf>
    <xf numFmtId="4" fontId="104" fillId="80" borderId="225" applyNumberFormat="0" applyProtection="0">
      <alignment vertical="center"/>
    </xf>
    <xf numFmtId="0" fontId="104" fillId="23" borderId="225" applyNumberFormat="0" applyProtection="0">
      <alignment horizontal="left" vertical="top" indent="1"/>
    </xf>
    <xf numFmtId="4" fontId="106" fillId="122" borderId="225" applyNumberFormat="0" applyProtection="0">
      <alignment horizontal="left" vertical="center" indent="1"/>
    </xf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4" fontId="106" fillId="64" borderId="225" applyNumberFormat="0" applyProtection="0">
      <alignment horizontal="right" vertical="center"/>
    </xf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4" fontId="106" fillId="70" borderId="225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4" fontId="106" fillId="62" borderId="225" applyNumberFormat="0" applyProtection="0">
      <alignment horizontal="right" vertical="center"/>
    </xf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4" fontId="106" fillId="56" borderId="225" applyNumberFormat="0" applyProtection="0">
      <alignment horizontal="right" vertical="center"/>
    </xf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104" fillId="23" borderId="225" applyNumberFormat="0" applyProtection="0">
      <alignment horizontal="left" vertical="top" indent="1"/>
    </xf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4" fontId="104" fillId="23" borderId="225" applyNumberFormat="0" applyProtection="0">
      <alignment horizontal="left" vertical="center" indent="1"/>
    </xf>
    <xf numFmtId="0" fontId="4" fillId="0" borderId="0"/>
    <xf numFmtId="0" fontId="4" fillId="94" borderId="191" applyNumberFormat="0" applyFont="0" applyAlignment="0" applyProtection="0"/>
    <xf numFmtId="4" fontId="106" fillId="70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4" fillId="0" borderId="0"/>
    <xf numFmtId="0" fontId="103" fillId="73" borderId="223" applyNumberFormat="0" applyAlignment="0" applyProtection="0"/>
    <xf numFmtId="0" fontId="11" fillId="25" borderId="225" applyNumberFormat="0" applyProtection="0">
      <alignment horizontal="left" vertical="top" indent="1"/>
    </xf>
    <xf numFmtId="4" fontId="106" fillId="62" borderId="225" applyNumberFormat="0" applyProtection="0">
      <alignment horizontal="right" vertical="center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94" borderId="191" applyNumberFormat="0" applyFont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4" borderId="0" applyNumberFormat="0" applyBorder="0" applyAlignment="0" applyProtection="0"/>
    <xf numFmtId="0" fontId="4" fillId="102" borderId="0" applyNumberFormat="0" applyBorder="0" applyAlignment="0" applyProtection="0"/>
    <xf numFmtId="0" fontId="4" fillId="105" borderId="0" applyNumberFormat="0" applyBorder="0" applyAlignment="0" applyProtection="0"/>
    <xf numFmtId="0" fontId="4" fillId="106" borderId="0" applyNumberFormat="0" applyBorder="0" applyAlignment="0" applyProtection="0"/>
    <xf numFmtId="0" fontId="4" fillId="109" borderId="0" applyNumberFormat="0" applyBorder="0" applyAlignment="0" applyProtection="0"/>
    <xf numFmtId="0" fontId="4" fillId="110" borderId="0" applyNumberFormat="0" applyBorder="0" applyAlignment="0" applyProtection="0"/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0" fontId="4" fillId="0" borderId="0"/>
    <xf numFmtId="0" fontId="11" fillId="116" borderId="225" applyNumberFormat="0" applyProtection="0">
      <alignment horizontal="left" vertical="top" indent="1"/>
    </xf>
    <xf numFmtId="4" fontId="106" fillId="70" borderId="225" applyNumberFormat="0" applyProtection="0">
      <alignment horizontal="right" vertical="center"/>
    </xf>
    <xf numFmtId="0" fontId="103" fillId="73" borderId="223" applyNumberFormat="0" applyAlignment="0" applyProtection="0"/>
    <xf numFmtId="0" fontId="36" fillId="73" borderId="221" applyNumberFormat="0" applyAlignment="0" applyProtection="0"/>
    <xf numFmtId="0" fontId="6" fillId="81" borderId="222" applyNumberFormat="0" applyFont="0" applyAlignment="0" applyProtection="0"/>
    <xf numFmtId="4" fontId="104" fillId="23" borderId="225" applyNumberFormat="0" applyProtection="0">
      <alignment horizontal="left" vertical="center" indent="1"/>
    </xf>
    <xf numFmtId="4" fontId="106" fillId="122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06" fillId="123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4" fontId="106" fillId="123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0" fontId="49" fillId="60" borderId="221" applyNumberFormat="0" applyAlignment="0" applyProtection="0"/>
    <xf numFmtId="4" fontId="106" fillId="122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center" indent="1"/>
    </xf>
    <xf numFmtId="0" fontId="49" fillId="60" borderId="221" applyNumberFormat="0" applyAlignment="0" applyProtection="0"/>
    <xf numFmtId="0" fontId="11" fillId="37" borderId="225" applyNumberFormat="0" applyProtection="0">
      <alignment horizontal="left" vertical="top" indent="1"/>
    </xf>
    <xf numFmtId="0" fontId="104" fillId="23" borderId="225" applyNumberFormat="0" applyProtection="0">
      <alignment horizontal="left" vertical="top" indent="1"/>
    </xf>
    <xf numFmtId="0" fontId="103" fillId="73" borderId="223" applyNumberFormat="0" applyAlignment="0" applyProtection="0"/>
    <xf numFmtId="4" fontId="104" fillId="80" borderId="225" applyNumberFormat="0" applyProtection="0">
      <alignment vertical="center"/>
    </xf>
    <xf numFmtId="0" fontId="11" fillId="25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11" fillId="25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11" fillId="25" borderId="225" applyNumberFormat="0" applyProtection="0">
      <alignment horizontal="left" vertical="top" indent="1"/>
    </xf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9" fillId="120" borderId="225" applyNumberFormat="0" applyProtection="0">
      <alignment horizontal="right" vertical="center"/>
    </xf>
    <xf numFmtId="4" fontId="106" fillId="122" borderId="225" applyNumberFormat="0" applyProtection="0">
      <alignment horizontal="left" vertical="center" indent="1"/>
    </xf>
    <xf numFmtId="0" fontId="106" fillId="116" borderId="225" applyNumberFormat="0" applyProtection="0">
      <alignment horizontal="left" vertical="top" indent="1"/>
    </xf>
    <xf numFmtId="4" fontId="111" fillId="120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11" fillId="121" borderId="225" applyNumberFormat="0" applyProtection="0">
      <alignment horizontal="left" vertical="center" indent="1"/>
    </xf>
    <xf numFmtId="0" fontId="36" fillId="73" borderId="221" applyNumberFormat="0" applyAlignment="0" applyProtection="0"/>
    <xf numFmtId="4" fontId="106" fillId="118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03" fillId="73" borderId="223" applyNumberFormat="0" applyAlignment="0" applyProtection="0"/>
    <xf numFmtId="0" fontId="49" fillId="60" borderId="221" applyNumberFormat="0" applyAlignment="0" applyProtection="0"/>
    <xf numFmtId="4" fontId="104" fillId="80" borderId="225" applyNumberFormat="0" applyProtection="0">
      <alignment vertical="center"/>
    </xf>
    <xf numFmtId="4" fontId="106" fillId="63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top" indent="1"/>
    </xf>
    <xf numFmtId="0" fontId="6" fillId="81" borderId="222" applyNumberFormat="0" applyFont="0" applyAlignment="0" applyProtection="0"/>
    <xf numFmtId="4" fontId="106" fillId="70" borderId="225" applyNumberFormat="0" applyProtection="0">
      <alignment horizontal="right" vertical="center"/>
    </xf>
    <xf numFmtId="0" fontId="11" fillId="121" borderId="225" applyNumberFormat="0" applyProtection="0">
      <alignment horizontal="left" vertical="center" indent="1"/>
    </xf>
    <xf numFmtId="0" fontId="11" fillId="116" borderId="225" applyNumberFormat="0" applyProtection="0">
      <alignment horizontal="left" vertical="top" indent="1"/>
    </xf>
    <xf numFmtId="4" fontId="106" fillId="120" borderId="225" applyNumberFormat="0" applyProtection="0">
      <alignment horizontal="right" vertical="center"/>
    </xf>
    <xf numFmtId="4" fontId="104" fillId="80" borderId="225" applyNumberFormat="0" applyProtection="0">
      <alignment vertical="center"/>
    </xf>
    <xf numFmtId="0" fontId="106" fillId="123" borderId="225" applyNumberFormat="0" applyProtection="0">
      <alignment horizontal="left" vertical="top" indent="1"/>
    </xf>
    <xf numFmtId="4" fontId="106" fillId="122" borderId="225" applyNumberFormat="0" applyProtection="0">
      <alignment horizontal="right" vertical="center"/>
    </xf>
    <xf numFmtId="4" fontId="106" fillId="72" borderId="225" applyNumberFormat="0" applyProtection="0">
      <alignment horizontal="right" vertical="center"/>
    </xf>
    <xf numFmtId="4" fontId="106" fillId="68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top" indent="1"/>
    </xf>
    <xf numFmtId="4" fontId="106" fillId="72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4" fontId="106" fillId="118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6" fillId="123" borderId="225" applyNumberFormat="0" applyProtection="0">
      <alignment vertical="center"/>
    </xf>
    <xf numFmtId="4" fontId="109" fillId="123" borderId="225" applyNumberFormat="0" applyProtection="0">
      <alignment vertical="center"/>
    </xf>
    <xf numFmtId="4" fontId="106" fillId="122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0" fontId="36" fillId="73" borderId="221" applyNumberFormat="0" applyAlignment="0" applyProtection="0"/>
    <xf numFmtId="4" fontId="105" fillId="23" borderId="225" applyNumberFormat="0" applyProtection="0">
      <alignment vertical="center"/>
    </xf>
    <xf numFmtId="4" fontId="106" fillId="123" borderId="225" applyNumberFormat="0" applyProtection="0">
      <alignment vertical="center"/>
    </xf>
    <xf numFmtId="0" fontId="11" fillId="116" borderId="225" applyNumberFormat="0" applyProtection="0">
      <alignment horizontal="left" vertical="top" indent="1"/>
    </xf>
    <xf numFmtId="0" fontId="1" fillId="0" borderId="0"/>
    <xf numFmtId="0" fontId="36" fillId="73" borderId="221" applyNumberFormat="0" applyAlignment="0" applyProtection="0"/>
    <xf numFmtId="0" fontId="104" fillId="23" borderId="225" applyNumberFormat="0" applyProtection="0">
      <alignment horizontal="left" vertical="top" indent="1"/>
    </xf>
    <xf numFmtId="4" fontId="106" fillId="68" borderId="225" applyNumberFormat="0" applyProtection="0">
      <alignment horizontal="right" vertical="center"/>
    </xf>
    <xf numFmtId="0" fontId="11" fillId="37" borderId="225" applyNumberFormat="0" applyProtection="0">
      <alignment horizontal="left" vertical="center" indent="1"/>
    </xf>
    <xf numFmtId="4" fontId="106" fillId="123" borderId="225" applyNumberFormat="0" applyProtection="0">
      <alignment horizontal="left" vertical="center" indent="1"/>
    </xf>
    <xf numFmtId="0" fontId="54" fillId="0" borderId="224" applyNumberFormat="0" applyFill="0" applyAlignment="0" applyProtection="0"/>
    <xf numFmtId="4" fontId="106" fillId="70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4" fontId="106" fillId="122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0" fontId="36" fillId="73" borderId="221" applyNumberFormat="0" applyAlignment="0" applyProtection="0"/>
    <xf numFmtId="4" fontId="105" fillId="23" borderId="225" applyNumberFormat="0" applyProtection="0">
      <alignment vertical="center"/>
    </xf>
    <xf numFmtId="0" fontId="49" fillId="60" borderId="221" applyNumberFormat="0" applyAlignment="0" applyProtection="0"/>
    <xf numFmtId="4" fontId="106" fillId="56" borderId="225" applyNumberFormat="0" applyProtection="0">
      <alignment horizontal="right" vertical="center"/>
    </xf>
    <xf numFmtId="4" fontId="106" fillId="62" borderId="225" applyNumberFormat="0" applyProtection="0">
      <alignment horizontal="right" vertical="center"/>
    </xf>
    <xf numFmtId="4" fontId="106" fillId="71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4" fontId="104" fillId="80" borderId="225" applyNumberFormat="0" applyProtection="0">
      <alignment vertical="center"/>
    </xf>
    <xf numFmtId="0" fontId="6" fillId="81" borderId="222" applyNumberFormat="0" applyFont="0" applyAlignment="0" applyProtection="0"/>
    <xf numFmtId="0" fontId="106" fillId="116" borderId="225" applyNumberFormat="0" applyProtection="0">
      <alignment horizontal="left" vertical="top" indent="1"/>
    </xf>
    <xf numFmtId="0" fontId="36" fillId="73" borderId="221" applyNumberFormat="0" applyAlignment="0" applyProtection="0"/>
    <xf numFmtId="0" fontId="11" fillId="116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4" fontId="104" fillId="23" borderId="225" applyNumberFormat="0" applyProtection="0">
      <alignment horizontal="left" vertical="center" indent="1"/>
    </xf>
    <xf numFmtId="0" fontId="106" fillId="123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11" fillId="121" borderId="225" applyNumberFormat="0" applyProtection="0">
      <alignment horizontal="left" vertical="center" indent="1"/>
    </xf>
    <xf numFmtId="4" fontId="106" fillId="72" borderId="225" applyNumberFormat="0" applyProtection="0">
      <alignment horizontal="right" vertical="center"/>
    </xf>
    <xf numFmtId="4" fontId="106" fillId="56" borderId="225" applyNumberFormat="0" applyProtection="0">
      <alignment horizontal="right" vertical="center"/>
    </xf>
    <xf numFmtId="0" fontId="49" fillId="60" borderId="221" applyNumberFormat="0" applyAlignment="0" applyProtection="0"/>
    <xf numFmtId="0" fontId="11" fillId="37" borderId="225" applyNumberFormat="0" applyProtection="0">
      <alignment horizontal="left" vertical="top" indent="1"/>
    </xf>
    <xf numFmtId="4" fontId="105" fillId="23" borderId="225" applyNumberFormat="0" applyProtection="0">
      <alignment vertical="center"/>
    </xf>
    <xf numFmtId="4" fontId="109" fillId="120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4" fillId="23" borderId="225" applyNumberFormat="0" applyProtection="0">
      <alignment horizontal="left" vertical="center" indent="1"/>
    </xf>
    <xf numFmtId="4" fontId="106" fillId="70" borderId="225" applyNumberFormat="0" applyProtection="0">
      <alignment horizontal="right" vertical="center"/>
    </xf>
    <xf numFmtId="4" fontId="106" fillId="64" borderId="225" applyNumberFormat="0" applyProtection="0">
      <alignment horizontal="right" vertical="center"/>
    </xf>
    <xf numFmtId="0" fontId="104" fillId="23" borderId="225" applyNumberFormat="0" applyProtection="0">
      <alignment horizontal="left" vertical="top" indent="1"/>
    </xf>
    <xf numFmtId="4" fontId="106" fillId="71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6" fillId="71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4" fontId="111" fillId="12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0" fontId="11" fillId="116" borderId="225" applyNumberFormat="0" applyProtection="0">
      <alignment horizontal="left" vertical="center" indent="1"/>
    </xf>
    <xf numFmtId="4" fontId="109" fillId="123" borderId="225" applyNumberFormat="0" applyProtection="0">
      <alignment vertical="center"/>
    </xf>
    <xf numFmtId="4" fontId="106" fillId="123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4" fontId="106" fillId="122" borderId="225" applyNumberFormat="0" applyProtection="0">
      <alignment horizontal="right" vertical="center"/>
    </xf>
    <xf numFmtId="0" fontId="103" fillId="73" borderId="223" applyNumberFormat="0" applyAlignment="0" applyProtection="0"/>
    <xf numFmtId="4" fontId="106" fillId="122" borderId="225" applyNumberFormat="0" applyProtection="0">
      <alignment horizontal="left" vertical="center" indent="1"/>
    </xf>
    <xf numFmtId="0" fontId="6" fillId="81" borderId="222" applyNumberFormat="0" applyFont="0" applyAlignment="0" applyProtection="0"/>
    <xf numFmtId="0" fontId="54" fillId="0" borderId="224" applyNumberFormat="0" applyFill="0" applyAlignment="0" applyProtection="0"/>
    <xf numFmtId="4" fontId="104" fillId="80" borderId="225" applyNumberFormat="0" applyProtection="0">
      <alignment vertical="center"/>
    </xf>
    <xf numFmtId="4" fontId="106" fillId="62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4" fontId="104" fillId="80" borderId="225" applyNumberFormat="0" applyProtection="0">
      <alignment vertical="center"/>
    </xf>
    <xf numFmtId="4" fontId="106" fillId="120" borderId="225" applyNumberFormat="0" applyProtection="0">
      <alignment horizontal="right" vertical="center"/>
    </xf>
    <xf numFmtId="4" fontId="109" fillId="123" borderId="225" applyNumberFormat="0" applyProtection="0">
      <alignment vertical="center"/>
    </xf>
    <xf numFmtId="4" fontId="111" fillId="120" borderId="225" applyNumberFormat="0" applyProtection="0">
      <alignment horizontal="right" vertical="center"/>
    </xf>
    <xf numFmtId="4" fontId="105" fillId="23" borderId="225" applyNumberFormat="0" applyProtection="0">
      <alignment vertical="center"/>
    </xf>
    <xf numFmtId="4" fontId="106" fillId="123" borderId="225" applyNumberFormat="0" applyProtection="0">
      <alignment vertical="center"/>
    </xf>
    <xf numFmtId="0" fontId="54" fillId="0" borderId="224" applyNumberFormat="0" applyFill="0" applyAlignment="0" applyProtection="0"/>
    <xf numFmtId="0" fontId="103" fillId="73" borderId="223" applyNumberFormat="0" applyAlignment="0" applyProtection="0"/>
    <xf numFmtId="0" fontId="11" fillId="121" borderId="225" applyNumberFormat="0" applyProtection="0">
      <alignment horizontal="left" vertical="top" indent="1"/>
    </xf>
    <xf numFmtId="4" fontId="105" fillId="23" borderId="225" applyNumberFormat="0" applyProtection="0">
      <alignment vertical="center"/>
    </xf>
    <xf numFmtId="0" fontId="104" fillId="23" borderId="225" applyNumberFormat="0" applyProtection="0">
      <alignment horizontal="left" vertical="top" indent="1"/>
    </xf>
    <xf numFmtId="9" fontId="33" fillId="0" borderId="0" applyFont="0" applyFill="0" applyBorder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06" fillId="122" borderId="225" applyNumberFormat="0" applyProtection="0">
      <alignment horizontal="left" vertical="center" indent="1"/>
    </xf>
    <xf numFmtId="4" fontId="104" fillId="23" borderId="225" applyNumberFormat="0" applyProtection="0">
      <alignment horizontal="left" vertical="center" indent="1"/>
    </xf>
    <xf numFmtId="0" fontId="6" fillId="81" borderId="222" applyNumberFormat="0" applyFont="0" applyAlignment="0" applyProtection="0"/>
    <xf numFmtId="0" fontId="106" fillId="116" borderId="225" applyNumberFormat="0" applyProtection="0">
      <alignment horizontal="left" vertical="top" indent="1"/>
    </xf>
    <xf numFmtId="4" fontId="105" fillId="23" borderId="225" applyNumberFormat="0" applyProtection="0">
      <alignment vertical="center"/>
    </xf>
    <xf numFmtId="0" fontId="11" fillId="121" borderId="225" applyNumberFormat="0" applyProtection="0">
      <alignment horizontal="left" vertical="top" indent="1"/>
    </xf>
    <xf numFmtId="4" fontId="104" fillId="23" borderId="225" applyNumberFormat="0" applyProtection="0">
      <alignment horizontal="left" vertical="center" indent="1"/>
    </xf>
    <xf numFmtId="4" fontId="106" fillId="123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49" fillId="60" borderId="221" applyNumberFormat="0" applyAlignment="0" applyProtection="0"/>
    <xf numFmtId="4" fontId="106" fillId="122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118" borderId="225" applyNumberFormat="0" applyProtection="0">
      <alignment horizontal="right" vertical="center"/>
    </xf>
    <xf numFmtId="0" fontId="11" fillId="25" borderId="225" applyNumberFormat="0" applyProtection="0">
      <alignment horizontal="left" vertical="center" indent="1"/>
    </xf>
    <xf numFmtId="0" fontId="11" fillId="121" borderId="225" applyNumberFormat="0" applyProtection="0">
      <alignment horizontal="left" vertical="center" indent="1"/>
    </xf>
    <xf numFmtId="0" fontId="11" fillId="37" borderId="225" applyNumberFormat="0" applyProtection="0">
      <alignment horizontal="left" vertical="center" indent="1"/>
    </xf>
    <xf numFmtId="0" fontId="49" fillId="60" borderId="221" applyNumberFormat="0" applyAlignment="0" applyProtection="0"/>
    <xf numFmtId="0" fontId="11" fillId="37" borderId="225" applyNumberFormat="0" applyProtection="0">
      <alignment horizontal="left" vertical="top" indent="1"/>
    </xf>
    <xf numFmtId="0" fontId="104" fillId="23" borderId="225" applyNumberFormat="0" applyProtection="0">
      <alignment horizontal="left" vertical="top" indent="1"/>
    </xf>
    <xf numFmtId="0" fontId="103" fillId="73" borderId="223" applyNumberFormat="0" applyAlignment="0" applyProtection="0"/>
    <xf numFmtId="4" fontId="104" fillId="80" borderId="225" applyNumberFormat="0" applyProtection="0">
      <alignment vertical="center"/>
    </xf>
    <xf numFmtId="0" fontId="11" fillId="25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4" fontId="106" fillId="63" borderId="225" applyNumberFormat="0" applyProtection="0">
      <alignment horizontal="right" vertical="center"/>
    </xf>
    <xf numFmtId="4" fontId="106" fillId="118" borderId="225" applyNumberFormat="0" applyProtection="0">
      <alignment horizontal="right" vertical="center"/>
    </xf>
    <xf numFmtId="0" fontId="6" fillId="81" borderId="222" applyNumberFormat="0" applyFont="0" applyAlignment="0" applyProtection="0"/>
    <xf numFmtId="0" fontId="11" fillId="25" borderId="225" applyNumberFormat="0" applyProtection="0">
      <alignment horizontal="left" vertical="top" indent="1"/>
    </xf>
    <xf numFmtId="0" fontId="11" fillId="37" borderId="225" applyNumberFormat="0" applyProtection="0">
      <alignment horizontal="left" vertical="top" indent="1"/>
    </xf>
    <xf numFmtId="0" fontId="49" fillId="60" borderId="221" applyNumberFormat="0" applyAlignment="0" applyProtection="0"/>
    <xf numFmtId="0" fontId="11" fillId="25" borderId="225" applyNumberFormat="0" applyProtection="0">
      <alignment horizontal="left" vertical="center" indent="1"/>
    </xf>
    <xf numFmtId="4" fontId="106" fillId="56" borderId="225" applyNumberFormat="0" applyProtection="0">
      <alignment horizontal="right" vertical="center"/>
    </xf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0" fontId="106" fillId="116" borderId="225" applyNumberFormat="0" applyProtection="0">
      <alignment horizontal="left" vertical="top" indent="1"/>
    </xf>
    <xf numFmtId="0" fontId="54" fillId="0" borderId="224" applyNumberFormat="0" applyFill="0" applyAlignment="0" applyProtection="0"/>
    <xf numFmtId="4" fontId="111" fillId="120" borderId="225" applyNumberFormat="0" applyProtection="0">
      <alignment horizontal="right" vertical="center"/>
    </xf>
    <xf numFmtId="4" fontId="106" fillId="63" borderId="225" applyNumberFormat="0" applyProtection="0">
      <alignment horizontal="right" vertical="center"/>
    </xf>
    <xf numFmtId="0" fontId="54" fillId="0" borderId="224" applyNumberFormat="0" applyFill="0" applyAlignment="0" applyProtection="0"/>
  </cellStyleXfs>
  <cellXfs count="1511">
    <xf numFmtId="0" fontId="0" fillId="0" borderId="0" xfId="0"/>
    <xf numFmtId="0" fontId="4" fillId="0" borderId="0" xfId="5"/>
    <xf numFmtId="0" fontId="4" fillId="0" borderId="0" xfId="0" applyFont="1"/>
    <xf numFmtId="0" fontId="4" fillId="8" borderId="0" xfId="5" applyFill="1"/>
    <xf numFmtId="166" fontId="4" fillId="8" borderId="0" xfId="5" applyNumberFormat="1" applyFill="1" applyAlignment="1">
      <alignment horizontal="center"/>
    </xf>
    <xf numFmtId="0" fontId="13" fillId="0" borderId="0" xfId="8" applyFont="1"/>
    <xf numFmtId="0" fontId="4" fillId="17" borderId="17" xfId="0" applyFont="1" applyFill="1" applyBorder="1" applyAlignment="1">
      <alignment horizontal="center"/>
    </xf>
    <xf numFmtId="0" fontId="4" fillId="17" borderId="0" xfId="0" applyFont="1" applyFill="1" applyAlignment="1">
      <alignment horizontal="center" vertical="center"/>
    </xf>
    <xf numFmtId="0" fontId="4" fillId="17" borderId="0" xfId="0" applyFont="1" applyFill="1"/>
    <xf numFmtId="0" fontId="4" fillId="18" borderId="0" xfId="0" applyFont="1" applyFill="1" applyAlignment="1">
      <alignment horizontal="center"/>
    </xf>
    <xf numFmtId="169" fontId="4" fillId="0" borderId="0" xfId="0" applyNumberFormat="1" applyFont="1" applyAlignment="1">
      <alignment horizontal="center"/>
    </xf>
    <xf numFmtId="0" fontId="16" fillId="18" borderId="34" xfId="8" applyFont="1" applyFill="1" applyBorder="1" applyAlignment="1">
      <alignment horizontal="center" vertical="center" wrapText="1"/>
    </xf>
    <xf numFmtId="0" fontId="13" fillId="0" borderId="0" xfId="8" applyFont="1" applyAlignment="1">
      <alignment wrapText="1"/>
    </xf>
    <xf numFmtId="169" fontId="4" fillId="0" borderId="0" xfId="0" applyNumberFormat="1" applyFont="1"/>
    <xf numFmtId="169" fontId="4" fillId="0" borderId="10" xfId="0" applyNumberFormat="1" applyFont="1" applyBorder="1"/>
    <xf numFmtId="169" fontId="4" fillId="0" borderId="1" xfId="0" applyNumberFormat="1" applyFont="1" applyBorder="1"/>
    <xf numFmtId="10" fontId="4" fillId="0" borderId="0" xfId="3" applyNumberFormat="1" applyFont="1" applyFill="1" applyBorder="1"/>
    <xf numFmtId="0" fontId="16" fillId="0" borderId="0" xfId="8" applyFont="1"/>
    <xf numFmtId="170" fontId="16" fillId="16" borderId="10" xfId="8" applyNumberFormat="1" applyFont="1" applyFill="1" applyBorder="1"/>
    <xf numFmtId="0" fontId="16" fillId="0" borderId="10" xfId="0" applyFont="1" applyBorder="1"/>
    <xf numFmtId="169" fontId="4" fillId="7" borderId="20" xfId="0" applyNumberFormat="1" applyFont="1" applyFill="1" applyBorder="1"/>
    <xf numFmtId="0" fontId="4" fillId="0" borderId="49" xfId="0" applyFont="1" applyBorder="1"/>
    <xf numFmtId="0" fontId="4" fillId="16" borderId="49" xfId="0" applyFont="1" applyFill="1" applyBorder="1"/>
    <xf numFmtId="169" fontId="4" fillId="0" borderId="5" xfId="0" applyNumberFormat="1" applyFont="1" applyBorder="1"/>
    <xf numFmtId="169" fontId="4" fillId="7" borderId="39" xfId="0" applyNumberFormat="1" applyFont="1" applyFill="1" applyBorder="1"/>
    <xf numFmtId="169" fontId="4" fillId="7" borderId="40" xfId="0" applyNumberFormat="1" applyFont="1" applyFill="1" applyBorder="1"/>
    <xf numFmtId="3" fontId="4" fillId="16" borderId="49" xfId="0" applyNumberFormat="1" applyFont="1" applyFill="1" applyBorder="1"/>
    <xf numFmtId="0" fontId="4" fillId="7" borderId="41" xfId="0" applyFont="1" applyFill="1" applyBorder="1"/>
    <xf numFmtId="169" fontId="4" fillId="7" borderId="41" xfId="0" applyNumberFormat="1" applyFont="1" applyFill="1" applyBorder="1"/>
    <xf numFmtId="0" fontId="16" fillId="22" borderId="19" xfId="8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8" applyFont="1" applyBorder="1" applyAlignment="1">
      <alignment horizontal="center" vertical="center" wrapText="1"/>
    </xf>
    <xf numFmtId="0" fontId="16" fillId="0" borderId="36" xfId="8" applyFont="1" applyBorder="1" applyAlignment="1">
      <alignment horizontal="center" vertical="center" wrapText="1"/>
    </xf>
    <xf numFmtId="0" fontId="16" fillId="0" borderId="37" xfId="8" applyFont="1" applyBorder="1" applyAlignment="1">
      <alignment horizontal="center" vertical="center" wrapText="1"/>
    </xf>
    <xf numFmtId="0" fontId="16" fillId="0" borderId="38" xfId="8" applyFont="1" applyBorder="1" applyAlignment="1">
      <alignment horizontal="center" vertical="center" wrapText="1"/>
    </xf>
    <xf numFmtId="0" fontId="16" fillId="17" borderId="3" xfId="8" applyFont="1" applyFill="1" applyBorder="1" applyAlignment="1">
      <alignment horizontal="center" vertical="center" wrapText="1"/>
    </xf>
    <xf numFmtId="0" fontId="16" fillId="20" borderId="33" xfId="8" applyFont="1" applyFill="1" applyBorder="1" applyAlignment="1">
      <alignment horizontal="center" vertical="center" wrapText="1"/>
    </xf>
    <xf numFmtId="3" fontId="16" fillId="0" borderId="42" xfId="8" applyNumberFormat="1" applyFont="1" applyBorder="1"/>
    <xf numFmtId="3" fontId="16" fillId="0" borderId="46" xfId="8" applyNumberFormat="1" applyFont="1" applyBorder="1"/>
    <xf numFmtId="172" fontId="16" fillId="0" borderId="20" xfId="3" applyNumberFormat="1" applyFont="1" applyBorder="1" applyAlignment="1">
      <alignment horizontal="center"/>
    </xf>
    <xf numFmtId="172" fontId="16" fillId="0" borderId="40" xfId="3" applyNumberFormat="1" applyFont="1" applyBorder="1" applyAlignment="1">
      <alignment horizontal="center"/>
    </xf>
    <xf numFmtId="0" fontId="0" fillId="0" borderId="19" xfId="0" applyFont="1" applyBorder="1"/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21" borderId="3" xfId="0" applyFont="1" applyFill="1" applyBorder="1" applyAlignment="1">
      <alignment horizontal="center" vertical="center" wrapText="1"/>
    </xf>
    <xf numFmtId="0" fontId="23" fillId="21" borderId="33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59" xfId="0" applyFont="1" applyBorder="1"/>
    <xf numFmtId="0" fontId="16" fillId="0" borderId="5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7" borderId="0" xfId="0" applyFont="1" applyFill="1"/>
    <xf numFmtId="4" fontId="16" fillId="7" borderId="0" xfId="0" applyNumberFormat="1" applyFont="1" applyFill="1"/>
    <xf numFmtId="170" fontId="16" fillId="7" borderId="0" xfId="0" applyNumberFormat="1" applyFont="1" applyFill="1"/>
    <xf numFmtId="4" fontId="16" fillId="0" borderId="0" xfId="0" applyNumberFormat="1" applyFont="1"/>
    <xf numFmtId="170" fontId="16" fillId="0" borderId="0" xfId="0" applyNumberFormat="1" applyFont="1"/>
    <xf numFmtId="3" fontId="16" fillId="13" borderId="27" xfId="0" applyNumberFormat="1" applyFont="1" applyFill="1" applyBorder="1"/>
    <xf numFmtId="4" fontId="16" fillId="0" borderId="27" xfId="0" applyNumberFormat="1" applyFont="1" applyBorder="1"/>
    <xf numFmtId="177" fontId="16" fillId="0" borderId="0" xfId="1" applyNumberFormat="1" applyFont="1" applyBorder="1"/>
    <xf numFmtId="0" fontId="16" fillId="0" borderId="0" xfId="0" applyFont="1" applyAlignment="1">
      <alignment vertical="center" wrapText="1"/>
    </xf>
    <xf numFmtId="0" fontId="26" fillId="0" borderId="0" xfId="12" applyFont="1" applyAlignment="1" applyProtection="1">
      <alignment vertical="center"/>
    </xf>
    <xf numFmtId="0" fontId="16" fillId="11" borderId="26" xfId="0" applyFont="1" applyFill="1" applyBorder="1"/>
    <xf numFmtId="3" fontId="16" fillId="11" borderId="27" xfId="0" applyNumberFormat="1" applyFont="1" applyFill="1" applyBorder="1"/>
    <xf numFmtId="0" fontId="16" fillId="11" borderId="28" xfId="0" applyFont="1" applyFill="1" applyBorder="1"/>
    <xf numFmtId="166" fontId="16" fillId="11" borderId="27" xfId="0" applyNumberFormat="1" applyFont="1" applyFill="1" applyBorder="1"/>
    <xf numFmtId="4" fontId="16" fillId="11" borderId="27" xfId="0" applyNumberFormat="1" applyFont="1" applyFill="1" applyBorder="1"/>
    <xf numFmtId="0" fontId="4" fillId="7" borderId="52" xfId="0" applyFont="1" applyFill="1" applyBorder="1"/>
    <xf numFmtId="169" fontId="16" fillId="7" borderId="15" xfId="0" applyNumberFormat="1" applyFont="1" applyFill="1" applyBorder="1"/>
    <xf numFmtId="169" fontId="16" fillId="7" borderId="17" xfId="0" applyNumberFormat="1" applyFont="1" applyFill="1" applyBorder="1"/>
    <xf numFmtId="169" fontId="16" fillId="7" borderId="18" xfId="0" applyNumberFormat="1" applyFont="1" applyFill="1" applyBorder="1"/>
    <xf numFmtId="169" fontId="16" fillId="7" borderId="52" xfId="0" applyNumberFormat="1" applyFont="1" applyFill="1" applyBorder="1"/>
    <xf numFmtId="169" fontId="16" fillId="13" borderId="19" xfId="0" applyNumberFormat="1" applyFont="1" applyFill="1" applyBorder="1"/>
    <xf numFmtId="169" fontId="16" fillId="13" borderId="2" xfId="0" applyNumberFormat="1" applyFont="1" applyFill="1" applyBorder="1"/>
    <xf numFmtId="169" fontId="16" fillId="13" borderId="3" xfId="0" applyNumberFormat="1" applyFont="1" applyFill="1" applyBorder="1"/>
    <xf numFmtId="169" fontId="16" fillId="13" borderId="33" xfId="0" applyNumberFormat="1" applyFont="1" applyFill="1" applyBorder="1"/>
    <xf numFmtId="169" fontId="16" fillId="21" borderId="2" xfId="0" applyNumberFormat="1" applyFont="1" applyFill="1" applyBorder="1"/>
    <xf numFmtId="169" fontId="16" fillId="21" borderId="3" xfId="0" applyNumberFormat="1" applyFont="1" applyFill="1" applyBorder="1"/>
    <xf numFmtId="169" fontId="16" fillId="21" borderId="33" xfId="0" applyNumberFormat="1" applyFont="1" applyFill="1" applyBorder="1"/>
    <xf numFmtId="166" fontId="16" fillId="0" borderId="48" xfId="8" applyNumberFormat="1" applyFont="1" applyBorder="1"/>
    <xf numFmtId="174" fontId="16" fillId="7" borderId="51" xfId="0" applyNumberFormat="1" applyFont="1" applyFill="1" applyBorder="1"/>
    <xf numFmtId="0" fontId="16" fillId="0" borderId="2" xfId="8" applyFont="1" applyBorder="1" applyAlignment="1">
      <alignment horizontal="center" vertical="center" wrapText="1"/>
    </xf>
    <xf numFmtId="0" fontId="16" fillId="0" borderId="33" xfId="8" applyFont="1" applyBorder="1" applyAlignment="1">
      <alignment horizontal="center" vertical="center" wrapText="1"/>
    </xf>
    <xf numFmtId="166" fontId="16" fillId="0" borderId="5" xfId="8" applyNumberFormat="1" applyFont="1" applyBorder="1" applyAlignment="1">
      <alignment horizontal="center"/>
    </xf>
    <xf numFmtId="3" fontId="16" fillId="20" borderId="1" xfId="8" applyNumberFormat="1" applyFont="1" applyFill="1" applyBorder="1"/>
    <xf numFmtId="174" fontId="16" fillId="7" borderId="12" xfId="0" applyNumberFormat="1" applyFont="1" applyFill="1" applyBorder="1"/>
    <xf numFmtId="169" fontId="16" fillId="7" borderId="14" xfId="0" applyNumberFormat="1" applyFont="1" applyFill="1" applyBorder="1"/>
    <xf numFmtId="0" fontId="17" fillId="24" borderId="49" xfId="0" applyFont="1" applyFill="1" applyBorder="1"/>
    <xf numFmtId="169" fontId="16" fillId="7" borderId="56" xfId="0" applyNumberFormat="1" applyFont="1" applyFill="1" applyBorder="1"/>
    <xf numFmtId="0" fontId="16" fillId="7" borderId="7" xfId="8" applyFont="1" applyFill="1" applyBorder="1"/>
    <xf numFmtId="170" fontId="16" fillId="7" borderId="8" xfId="8" applyNumberFormat="1" applyFont="1" applyFill="1" applyBorder="1"/>
    <xf numFmtId="3" fontId="16" fillId="7" borderId="62" xfId="8" applyNumberFormat="1" applyFont="1" applyFill="1" applyBorder="1"/>
    <xf numFmtId="3" fontId="16" fillId="7" borderId="6" xfId="8" applyNumberFormat="1" applyFont="1" applyFill="1" applyBorder="1"/>
    <xf numFmtId="0" fontId="16" fillId="0" borderId="5" xfId="8" applyFont="1" applyBorder="1"/>
    <xf numFmtId="169" fontId="16" fillId="7" borderId="12" xfId="0" applyNumberFormat="1" applyFont="1" applyFill="1" applyBorder="1"/>
    <xf numFmtId="170" fontId="16" fillId="7" borderId="13" xfId="8" applyNumberFormat="1" applyFont="1" applyFill="1" applyBorder="1"/>
    <xf numFmtId="169" fontId="16" fillId="7" borderId="13" xfId="0" applyNumberFormat="1" applyFont="1" applyFill="1" applyBorder="1"/>
    <xf numFmtId="166" fontId="16" fillId="11" borderId="19" xfId="8" applyNumberFormat="1" applyFont="1" applyFill="1" applyBorder="1"/>
    <xf numFmtId="166" fontId="16" fillId="11" borderId="27" xfId="8" applyNumberFormat="1" applyFont="1" applyFill="1" applyBorder="1" applyAlignment="1">
      <alignment horizontal="center"/>
    </xf>
    <xf numFmtId="166" fontId="16" fillId="11" borderId="57" xfId="8" applyNumberFormat="1" applyFont="1" applyFill="1" applyBorder="1"/>
    <xf numFmtId="3" fontId="16" fillId="11" borderId="30" xfId="8" applyNumberFormat="1" applyFont="1" applyFill="1" applyBorder="1"/>
    <xf numFmtId="3" fontId="16" fillId="11" borderId="19" xfId="8" applyNumberFormat="1" applyFont="1" applyFill="1" applyBorder="1"/>
    <xf numFmtId="0" fontId="16" fillId="0" borderId="19" xfId="8" applyFont="1" applyBorder="1" applyAlignment="1">
      <alignment horizontal="center"/>
    </xf>
    <xf numFmtId="0" fontId="16" fillId="0" borderId="23" xfId="8" applyFont="1" applyBorder="1" applyAlignment="1">
      <alignment horizontal="center"/>
    </xf>
    <xf numFmtId="0" fontId="16" fillId="0" borderId="24" xfId="8" applyFont="1" applyBorder="1" applyAlignment="1">
      <alignment horizontal="center"/>
    </xf>
    <xf numFmtId="3" fontId="16" fillId="0" borderId="0" xfId="0" applyNumberFormat="1" applyFont="1"/>
    <xf numFmtId="3" fontId="16" fillId="0" borderId="0" xfId="0" applyNumberFormat="1" applyFont="1" applyAlignment="1">
      <alignment horizontal="centerContinuous" wrapText="1"/>
    </xf>
    <xf numFmtId="170" fontId="16" fillId="7" borderId="45" xfId="0" applyNumberFormat="1" applyFont="1" applyFill="1" applyBorder="1"/>
    <xf numFmtId="3" fontId="16" fillId="7" borderId="0" xfId="0" applyNumberFormat="1" applyFont="1" applyFill="1"/>
    <xf numFmtId="3" fontId="21" fillId="0" borderId="38" xfId="0" applyNumberFormat="1" applyFont="1" applyBorder="1"/>
    <xf numFmtId="3" fontId="16" fillId="0" borderId="61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16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3" fontId="16" fillId="0" borderId="9" xfId="0" applyNumberFormat="1" applyFont="1" applyBorder="1" applyAlignment="1">
      <alignment horizontal="right"/>
    </xf>
    <xf numFmtId="170" fontId="16" fillId="35" borderId="50" xfId="0" applyNumberFormat="1" applyFont="1" applyFill="1" applyBorder="1" applyAlignment="1">
      <alignment horizontal="center" vertical="center"/>
    </xf>
    <xf numFmtId="170" fontId="16" fillId="35" borderId="48" xfId="0" applyNumberFormat="1" applyFont="1" applyFill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3" fontId="16" fillId="0" borderId="49" xfId="0" applyNumberFormat="1" applyFont="1" applyBorder="1"/>
    <xf numFmtId="3" fontId="16" fillId="32" borderId="1" xfId="0" applyNumberFormat="1" applyFont="1" applyFill="1" applyBorder="1"/>
    <xf numFmtId="3" fontId="16" fillId="36" borderId="12" xfId="0" applyNumberFormat="1" applyFont="1" applyFill="1" applyBorder="1" applyAlignment="1">
      <alignment horizontal="center" vertical="center"/>
    </xf>
    <xf numFmtId="3" fontId="16" fillId="36" borderId="27" xfId="0" applyNumberFormat="1" applyFont="1" applyFill="1" applyBorder="1" applyAlignment="1">
      <alignment horizontal="center" vertical="center"/>
    </xf>
    <xf numFmtId="169" fontId="16" fillId="0" borderId="0" xfId="0" applyNumberFormat="1" applyFont="1"/>
    <xf numFmtId="3" fontId="16" fillId="0" borderId="0" xfId="0" applyNumberFormat="1" applyFont="1" applyAlignment="1">
      <alignment horizontal="center" vertical="center"/>
    </xf>
    <xf numFmtId="3" fontId="16" fillId="32" borderId="18" xfId="0" applyNumberFormat="1" applyFont="1" applyFill="1" applyBorder="1"/>
    <xf numFmtId="3" fontId="21" fillId="0" borderId="0" xfId="0" applyNumberFormat="1" applyFont="1"/>
    <xf numFmtId="3" fontId="16" fillId="0" borderId="0" xfId="0" applyNumberFormat="1" applyFont="1" applyAlignment="1">
      <alignment horizontal="center"/>
    </xf>
    <xf numFmtId="3" fontId="16" fillId="0" borderId="29" xfId="0" applyNumberFormat="1" applyFont="1" applyBorder="1" applyAlignment="1">
      <alignment horizontal="left" wrapText="1"/>
    </xf>
    <xf numFmtId="3" fontId="16" fillId="0" borderId="48" xfId="0" applyNumberFormat="1" applyFont="1" applyBorder="1" applyAlignment="1">
      <alignment horizontal="left" wrapText="1"/>
    </xf>
    <xf numFmtId="3" fontId="16" fillId="6" borderId="53" xfId="0" applyNumberFormat="1" applyFont="1" applyFill="1" applyBorder="1" applyAlignment="1">
      <alignment horizontal="center" vertical="center"/>
    </xf>
    <xf numFmtId="3" fontId="16" fillId="37" borderId="57" xfId="0" applyNumberFormat="1" applyFont="1" applyFill="1" applyBorder="1" applyAlignment="1">
      <alignment horizontal="center" vertical="center"/>
    </xf>
    <xf numFmtId="3" fontId="21" fillId="0" borderId="48" xfId="0" applyNumberFormat="1" applyFont="1" applyBorder="1" applyAlignment="1">
      <alignment horizontal="left" wrapText="1"/>
    </xf>
    <xf numFmtId="3" fontId="16" fillId="0" borderId="51" xfId="0" applyNumberFormat="1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 wrapText="1"/>
    </xf>
    <xf numFmtId="3" fontId="16" fillId="9" borderId="39" xfId="0" applyNumberFormat="1" applyFont="1" applyFill="1" applyBorder="1" applyAlignment="1">
      <alignment horizontal="right"/>
    </xf>
    <xf numFmtId="3" fontId="16" fillId="35" borderId="5" xfId="0" applyNumberFormat="1" applyFont="1" applyFill="1" applyBorder="1"/>
    <xf numFmtId="3" fontId="21" fillId="12" borderId="5" xfId="0" applyNumberFormat="1" applyFont="1" applyFill="1" applyBorder="1"/>
    <xf numFmtId="3" fontId="16" fillId="35" borderId="15" xfId="0" applyNumberFormat="1" applyFont="1" applyFill="1" applyBorder="1"/>
    <xf numFmtId="3" fontId="16" fillId="0" borderId="43" xfId="0" applyNumberFormat="1" applyFont="1" applyBorder="1"/>
    <xf numFmtId="169" fontId="16" fillId="0" borderId="61" xfId="0" applyNumberFormat="1" applyFont="1" applyBorder="1"/>
    <xf numFmtId="3" fontId="16" fillId="36" borderId="57" xfId="0" applyNumberFormat="1" applyFont="1" applyFill="1" applyBorder="1"/>
    <xf numFmtId="172" fontId="16" fillId="25" borderId="45" xfId="3" applyNumberFormat="1" applyFont="1" applyFill="1" applyBorder="1" applyAlignment="1">
      <alignment horizontal="center"/>
    </xf>
    <xf numFmtId="172" fontId="16" fillId="0" borderId="42" xfId="3" applyNumberFormat="1" applyFont="1" applyBorder="1"/>
    <xf numFmtId="172" fontId="16" fillId="7" borderId="12" xfId="0" applyNumberFormat="1" applyFont="1" applyFill="1" applyBorder="1"/>
    <xf numFmtId="172" fontId="16" fillId="7" borderId="13" xfId="0" applyNumberFormat="1" applyFont="1" applyFill="1" applyBorder="1"/>
    <xf numFmtId="172" fontId="16" fillId="7" borderId="14" xfId="0" applyNumberFormat="1" applyFont="1" applyFill="1" applyBorder="1"/>
    <xf numFmtId="3" fontId="21" fillId="0" borderId="61" xfId="0" applyNumberFormat="1" applyFont="1" applyBorder="1"/>
    <xf numFmtId="3" fontId="16" fillId="0" borderId="0" xfId="0" applyNumberFormat="1" applyFont="1" applyAlignment="1">
      <alignment horizontal="right"/>
    </xf>
    <xf numFmtId="4" fontId="16" fillId="0" borderId="49" xfId="0" applyNumberFormat="1" applyFont="1" applyBorder="1" applyAlignment="1">
      <alignment horizontal="right"/>
    </xf>
    <xf numFmtId="170" fontId="16" fillId="6" borderId="5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16" fillId="13" borderId="41" xfId="10" applyNumberFormat="1" applyFont="1" applyFill="1" applyBorder="1" applyAlignment="1">
      <alignment horizontal="right"/>
    </xf>
    <xf numFmtId="172" fontId="16" fillId="13" borderId="41" xfId="3" applyNumberFormat="1" applyFont="1" applyFill="1" applyBorder="1" applyAlignment="1">
      <alignment horizontal="right"/>
    </xf>
    <xf numFmtId="4" fontId="16" fillId="30" borderId="24" xfId="0" applyNumberFormat="1" applyFont="1" applyFill="1" applyBorder="1" applyAlignment="1">
      <alignment horizontal="right"/>
    </xf>
    <xf numFmtId="3" fontId="16" fillId="0" borderId="64" xfId="0" applyNumberFormat="1" applyFont="1" applyBorder="1" applyAlignment="1">
      <alignment horizontal="right"/>
    </xf>
    <xf numFmtId="170" fontId="16" fillId="0" borderId="0" xfId="0" applyNumberFormat="1" applyFont="1" applyAlignment="1">
      <alignment horizontal="right"/>
    </xf>
    <xf numFmtId="4" fontId="16" fillId="0" borderId="30" xfId="0" applyNumberFormat="1" applyFont="1" applyBorder="1" applyAlignment="1">
      <alignment horizontal="right"/>
    </xf>
    <xf numFmtId="3" fontId="16" fillId="0" borderId="65" xfId="0" applyNumberFormat="1" applyFont="1" applyBorder="1" applyAlignment="1">
      <alignment horizontal="right"/>
    </xf>
    <xf numFmtId="4" fontId="16" fillId="0" borderId="65" xfId="0" applyNumberFormat="1" applyFont="1" applyBorder="1" applyAlignment="1">
      <alignment horizontal="right"/>
    </xf>
    <xf numFmtId="180" fontId="16" fillId="31" borderId="10" xfId="0" applyNumberFormat="1" applyFont="1" applyFill="1" applyBorder="1" applyAlignment="1">
      <alignment horizontal="right"/>
    </xf>
    <xf numFmtId="4" fontId="16" fillId="7" borderId="43" xfId="0" applyNumberFormat="1" applyFont="1" applyFill="1" applyBorder="1" applyAlignment="1">
      <alignment horizontal="right"/>
    </xf>
    <xf numFmtId="4" fontId="21" fillId="7" borderId="56" xfId="0" applyNumberFormat="1" applyFont="1" applyFill="1" applyBorder="1" applyAlignment="1">
      <alignment horizontal="right"/>
    </xf>
    <xf numFmtId="3" fontId="16" fillId="30" borderId="57" xfId="0" applyNumberFormat="1" applyFont="1" applyFill="1" applyBorder="1" applyAlignment="1">
      <alignment horizontal="right" indent="1"/>
    </xf>
    <xf numFmtId="170" fontId="16" fillId="7" borderId="7" xfId="0" applyNumberFormat="1" applyFont="1" applyFill="1" applyBorder="1" applyAlignment="1">
      <alignment horizontal="right"/>
    </xf>
    <xf numFmtId="3" fontId="16" fillId="7" borderId="8" xfId="0" applyNumberFormat="1" applyFont="1" applyFill="1" applyBorder="1" applyAlignment="1">
      <alignment horizontal="right"/>
    </xf>
    <xf numFmtId="170" fontId="16" fillId="7" borderId="8" xfId="0" applyNumberFormat="1" applyFont="1" applyFill="1" applyBorder="1" applyAlignment="1">
      <alignment horizontal="right"/>
    </xf>
    <xf numFmtId="170" fontId="16" fillId="7" borderId="12" xfId="0" applyNumberFormat="1" applyFont="1" applyFill="1" applyBorder="1" applyAlignment="1">
      <alignment horizontal="right"/>
    </xf>
    <xf numFmtId="3" fontId="16" fillId="7" borderId="13" xfId="0" applyNumberFormat="1" applyFont="1" applyFill="1" applyBorder="1" applyAlignment="1">
      <alignment horizontal="right"/>
    </xf>
    <xf numFmtId="173" fontId="16" fillId="7" borderId="13" xfId="0" applyNumberFormat="1" applyFont="1" applyFill="1" applyBorder="1" applyAlignment="1">
      <alignment horizontal="right"/>
    </xf>
    <xf numFmtId="3" fontId="16" fillId="7" borderId="53" xfId="0" applyNumberFormat="1" applyFont="1" applyFill="1" applyBorder="1" applyAlignment="1">
      <alignment horizontal="right"/>
    </xf>
    <xf numFmtId="0" fontId="16" fillId="0" borderId="27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23" borderId="55" xfId="0" applyNumberFormat="1" applyFont="1" applyFill="1" applyBorder="1" applyAlignment="1">
      <alignment horizontal="center" vertical="center" wrapText="1"/>
    </xf>
    <xf numFmtId="3" fontId="16" fillId="19" borderId="19" xfId="0" applyNumberFormat="1" applyFont="1" applyFill="1" applyBorder="1" applyAlignment="1">
      <alignment horizontal="center" vertical="center" wrapText="1"/>
    </xf>
    <xf numFmtId="3" fontId="16" fillId="7" borderId="45" xfId="0" applyNumberFormat="1" applyFont="1" applyFill="1" applyBorder="1"/>
    <xf numFmtId="3" fontId="16" fillId="7" borderId="42" xfId="0" applyNumberFormat="1" applyFont="1" applyFill="1" applyBorder="1"/>
    <xf numFmtId="173" fontId="16" fillId="7" borderId="45" xfId="0" applyNumberFormat="1" applyFont="1" applyFill="1" applyBorder="1"/>
    <xf numFmtId="173" fontId="16" fillId="7" borderId="20" xfId="0" applyNumberFormat="1" applyFont="1" applyFill="1" applyBorder="1"/>
    <xf numFmtId="3" fontId="16" fillId="7" borderId="20" xfId="0" applyNumberFormat="1" applyFont="1" applyFill="1" applyBorder="1"/>
    <xf numFmtId="3" fontId="16" fillId="7" borderId="46" xfId="0" applyNumberFormat="1" applyFont="1" applyFill="1" applyBorder="1"/>
    <xf numFmtId="3" fontId="16" fillId="0" borderId="45" xfId="0" applyNumberFormat="1" applyFont="1" applyBorder="1"/>
    <xf numFmtId="3" fontId="16" fillId="0" borderId="44" xfId="0" applyNumberFormat="1" applyFont="1" applyBorder="1"/>
    <xf numFmtId="3" fontId="16" fillId="0" borderId="39" xfId="0" applyNumberFormat="1" applyFont="1" applyBorder="1"/>
    <xf numFmtId="3" fontId="16" fillId="0" borderId="42" xfId="0" applyNumberFormat="1" applyFont="1" applyBorder="1"/>
    <xf numFmtId="3" fontId="16" fillId="0" borderId="5" xfId="0" applyNumberFormat="1" applyFont="1" applyBorder="1"/>
    <xf numFmtId="3" fontId="16" fillId="0" borderId="1" xfId="0" applyNumberFormat="1" applyFont="1" applyBorder="1"/>
    <xf numFmtId="173" fontId="16" fillId="0" borderId="45" xfId="0" applyNumberFormat="1" applyFont="1" applyBorder="1"/>
    <xf numFmtId="173" fontId="16" fillId="0" borderId="20" xfId="0" applyNumberFormat="1" applyFont="1" applyBorder="1"/>
    <xf numFmtId="3" fontId="16" fillId="0" borderId="20" xfId="0" applyNumberFormat="1" applyFont="1" applyBorder="1"/>
    <xf numFmtId="3" fontId="16" fillId="0" borderId="46" xfId="0" applyNumberFormat="1" applyFont="1" applyBorder="1"/>
    <xf numFmtId="3" fontId="16" fillId="25" borderId="3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16" fillId="25" borderId="34" xfId="0" applyNumberFormat="1" applyFont="1" applyFill="1" applyBorder="1" applyAlignment="1">
      <alignment horizontal="center" vertical="center" wrapText="1"/>
    </xf>
    <xf numFmtId="3" fontId="16" fillId="22" borderId="23" xfId="0" applyNumberFormat="1" applyFont="1" applyFill="1" applyBorder="1" applyAlignment="1">
      <alignment horizontal="center" vertical="center" wrapText="1"/>
    </xf>
    <xf numFmtId="3" fontId="16" fillId="29" borderId="30" xfId="0" applyNumberFormat="1" applyFont="1" applyFill="1" applyBorder="1" applyAlignment="1">
      <alignment horizontal="center" vertical="center" wrapText="1"/>
    </xf>
    <xf numFmtId="3" fontId="16" fillId="40" borderId="28" xfId="0" applyNumberFormat="1" applyFont="1" applyFill="1" applyBorder="1" applyAlignment="1">
      <alignment horizontal="center" vertical="center" wrapText="1"/>
    </xf>
    <xf numFmtId="3" fontId="16" fillId="25" borderId="30" xfId="0" applyNumberFormat="1" applyFont="1" applyFill="1" applyBorder="1" applyAlignment="1">
      <alignment horizontal="center" vertical="center" wrapText="1"/>
    </xf>
    <xf numFmtId="3" fontId="16" fillId="20" borderId="32" xfId="0" applyNumberFormat="1" applyFont="1" applyFill="1" applyBorder="1" applyAlignment="1">
      <alignment horizontal="center" vertical="center" wrapText="1"/>
    </xf>
    <xf numFmtId="3" fontId="16" fillId="23" borderId="31" xfId="0" applyNumberFormat="1" applyFont="1" applyFill="1" applyBorder="1" applyAlignment="1">
      <alignment horizontal="center" vertical="center" wrapText="1"/>
    </xf>
    <xf numFmtId="3" fontId="16" fillId="20" borderId="31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4" fontId="16" fillId="16" borderId="41" xfId="0" applyNumberFormat="1" applyFont="1" applyFill="1" applyBorder="1"/>
    <xf numFmtId="3" fontId="16" fillId="16" borderId="0" xfId="0" applyNumberFormat="1" applyFont="1" applyFill="1"/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3" fontId="16" fillId="23" borderId="30" xfId="0" applyNumberFormat="1" applyFont="1" applyFill="1" applyBorder="1" applyAlignment="1">
      <alignment horizontal="center" vertical="center" wrapText="1"/>
    </xf>
    <xf numFmtId="3" fontId="16" fillId="43" borderId="26" xfId="0" applyNumberFormat="1" applyFont="1" applyFill="1" applyBorder="1" applyAlignment="1">
      <alignment horizontal="center" vertical="center" wrapText="1"/>
    </xf>
    <xf numFmtId="3" fontId="16" fillId="44" borderId="19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23" borderId="65" xfId="0" applyNumberFormat="1" applyFont="1" applyFill="1" applyBorder="1" applyAlignment="1">
      <alignment horizontal="center" vertical="center" wrapText="1"/>
    </xf>
    <xf numFmtId="3" fontId="16" fillId="23" borderId="2" xfId="0" applyNumberFormat="1" applyFont="1" applyFill="1" applyBorder="1" applyAlignment="1">
      <alignment horizontal="center" vertical="center" wrapText="1"/>
    </xf>
    <xf numFmtId="3" fontId="16" fillId="43" borderId="24" xfId="0" applyNumberFormat="1" applyFont="1" applyFill="1" applyBorder="1" applyAlignment="1">
      <alignment horizontal="center" vertical="center" wrapText="1"/>
    </xf>
    <xf numFmtId="3" fontId="16" fillId="23" borderId="34" xfId="0" applyNumberFormat="1" applyFont="1" applyFill="1" applyBorder="1" applyAlignment="1">
      <alignment horizontal="center" vertical="center" wrapText="1"/>
    </xf>
    <xf numFmtId="4" fontId="16" fillId="27" borderId="7" xfId="0" applyNumberFormat="1" applyFont="1" applyFill="1" applyBorder="1"/>
    <xf numFmtId="3" fontId="4" fillId="7" borderId="9" xfId="0" applyNumberFormat="1" applyFont="1" applyFill="1" applyBorder="1"/>
    <xf numFmtId="3" fontId="4" fillId="16" borderId="1" xfId="0" applyNumberFormat="1" applyFont="1" applyFill="1" applyBorder="1"/>
    <xf numFmtId="4" fontId="16" fillId="7" borderId="43" xfId="0" applyNumberFormat="1" applyFont="1" applyFill="1" applyBorder="1"/>
    <xf numFmtId="4" fontId="16" fillId="27" borderId="56" xfId="0" applyNumberFormat="1" applyFont="1" applyFill="1" applyBorder="1"/>
    <xf numFmtId="1" fontId="16" fillId="27" borderId="12" xfId="0" applyNumberFormat="1" applyFont="1" applyFill="1" applyBorder="1"/>
    <xf numFmtId="1" fontId="16" fillId="27" borderId="14" xfId="0" applyNumberFormat="1" applyFont="1" applyFill="1" applyBorder="1"/>
    <xf numFmtId="4" fontId="16" fillId="7" borderId="7" xfId="0" applyNumberFormat="1" applyFont="1" applyFill="1" applyBorder="1"/>
    <xf numFmtId="3" fontId="16" fillId="27" borderId="9" xfId="0" applyNumberFormat="1" applyFont="1" applyFill="1" applyBorder="1"/>
    <xf numFmtId="3" fontId="16" fillId="45" borderId="1" xfId="0" applyNumberFormat="1" applyFont="1" applyFill="1" applyBorder="1"/>
    <xf numFmtId="3" fontId="16" fillId="0" borderId="40" xfId="0" applyNumberFormat="1" applyFont="1" applyBorder="1"/>
    <xf numFmtId="4" fontId="16" fillId="27" borderId="12" xfId="0" applyNumberFormat="1" applyFont="1" applyFill="1" applyBorder="1"/>
    <xf numFmtId="4" fontId="16" fillId="27" borderId="14" xfId="0" applyNumberFormat="1" applyFont="1" applyFill="1" applyBorder="1"/>
    <xf numFmtId="3" fontId="16" fillId="17" borderId="19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7" fillId="25" borderId="19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5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71" fontId="17" fillId="0" borderId="3" xfId="9" applyNumberFormat="1" applyFont="1" applyBorder="1" applyAlignment="1">
      <alignment horizontal="right" vertical="center" indent="1"/>
    </xf>
    <xf numFmtId="171" fontId="17" fillId="0" borderId="35" xfId="9" applyNumberFormat="1" applyFont="1" applyBorder="1" applyAlignment="1">
      <alignment horizontal="right" vertical="center" indent="1"/>
    </xf>
    <xf numFmtId="0" fontId="16" fillId="0" borderId="10" xfId="0" applyFont="1" applyBorder="1" applyAlignment="1">
      <alignment wrapText="1"/>
    </xf>
    <xf numFmtId="168" fontId="17" fillId="46" borderId="20" xfId="0" applyNumberFormat="1" applyFont="1" applyFill="1" applyBorder="1"/>
    <xf numFmtId="168" fontId="16" fillId="0" borderId="10" xfId="0" applyNumberFormat="1" applyFont="1" applyBorder="1"/>
    <xf numFmtId="0" fontId="25" fillId="0" borderId="0" xfId="0" applyFont="1" applyAlignment="1">
      <alignment horizontal="center"/>
    </xf>
    <xf numFmtId="0" fontId="27" fillId="0" borderId="0" xfId="0" applyFont="1" applyFill="1"/>
    <xf numFmtId="14" fontId="4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4" fillId="0" borderId="0" xfId="0" applyFont="1" applyFill="1"/>
    <xf numFmtId="171" fontId="16" fillId="0" borderId="20" xfId="9" applyNumberFormat="1" applyFont="1" applyFill="1" applyBorder="1" applyAlignment="1">
      <alignment horizontal="right" indent="1"/>
    </xf>
    <xf numFmtId="0" fontId="22" fillId="0" borderId="57" xfId="0" applyFont="1" applyBorder="1" applyAlignment="1">
      <alignment horizontal="left" vertical="center" indent="1"/>
    </xf>
    <xf numFmtId="179" fontId="17" fillId="30" borderId="49" xfId="0" applyNumberFormat="1" applyFont="1" applyFill="1" applyBorder="1" applyAlignment="1">
      <alignment horizontal="right" vertical="center" indent="1"/>
    </xf>
    <xf numFmtId="179" fontId="17" fillId="30" borderId="56" xfId="0" applyNumberFormat="1" applyFont="1" applyFill="1" applyBorder="1" applyAlignment="1">
      <alignment horizontal="right" vertical="center" indent="1"/>
    </xf>
    <xf numFmtId="0" fontId="16" fillId="7" borderId="43" xfId="0" applyFont="1" applyFill="1" applyBorder="1" applyAlignment="1"/>
    <xf numFmtId="0" fontId="4" fillId="0" borderId="41" xfId="0" applyFont="1" applyBorder="1"/>
    <xf numFmtId="0" fontId="4" fillId="16" borderId="47" xfId="0" applyFont="1" applyFill="1" applyBorder="1"/>
    <xf numFmtId="0" fontId="4" fillId="7" borderId="56" xfId="0" applyFont="1" applyFill="1" applyBorder="1"/>
    <xf numFmtId="171" fontId="16" fillId="7" borderId="7" xfId="9" applyNumberFormat="1" applyFont="1" applyFill="1" applyBorder="1" applyAlignment="1">
      <alignment horizontal="right" indent="1"/>
    </xf>
    <xf numFmtId="171" fontId="16" fillId="7" borderId="8" xfId="9" applyNumberFormat="1" applyFont="1" applyFill="1" applyBorder="1" applyAlignment="1">
      <alignment horizontal="right" indent="1"/>
    </xf>
    <xf numFmtId="171" fontId="16" fillId="7" borderId="9" xfId="9" applyNumberFormat="1" applyFont="1" applyFill="1" applyBorder="1" applyAlignment="1">
      <alignment horizontal="right" indent="1"/>
    </xf>
    <xf numFmtId="171" fontId="16" fillId="0" borderId="39" xfId="9" applyNumberFormat="1" applyFont="1" applyFill="1" applyBorder="1" applyAlignment="1">
      <alignment horizontal="right" indent="1"/>
    </xf>
    <xf numFmtId="171" fontId="16" fillId="0" borderId="40" xfId="9" applyNumberFormat="1" applyFont="1" applyFill="1" applyBorder="1" applyAlignment="1">
      <alignment horizontal="right" indent="1"/>
    </xf>
    <xf numFmtId="171" fontId="16" fillId="7" borderId="30" xfId="9" applyNumberFormat="1" applyFont="1" applyFill="1" applyBorder="1" applyAlignment="1">
      <alignment horizontal="right" indent="1"/>
    </xf>
    <xf numFmtId="171" fontId="16" fillId="7" borderId="31" xfId="9" applyNumberFormat="1" applyFont="1" applyFill="1" applyBorder="1" applyAlignment="1">
      <alignment horizontal="right" indent="1"/>
    </xf>
    <xf numFmtId="171" fontId="16" fillId="7" borderId="32" xfId="9" applyNumberFormat="1" applyFont="1" applyFill="1" applyBorder="1" applyAlignment="1">
      <alignment horizontal="right" indent="1"/>
    </xf>
    <xf numFmtId="179" fontId="17" fillId="7" borderId="43" xfId="0" applyNumberFormat="1" applyFont="1" applyFill="1" applyBorder="1" applyAlignment="1">
      <alignment horizontal="right" vertical="center" indent="1"/>
    </xf>
    <xf numFmtId="179" fontId="17" fillId="7" borderId="49" xfId="0" applyNumberFormat="1" applyFont="1" applyFill="1" applyBorder="1" applyAlignment="1">
      <alignment horizontal="right" vertical="center" indent="1"/>
    </xf>
    <xf numFmtId="3" fontId="16" fillId="13" borderId="0" xfId="0" applyNumberFormat="1" applyFont="1" applyFill="1" applyAlignment="1">
      <alignment horizontal="center"/>
    </xf>
    <xf numFmtId="3" fontId="16" fillId="47" borderId="0" xfId="0" applyNumberFormat="1" applyFont="1" applyFill="1"/>
    <xf numFmtId="3" fontId="16" fillId="14" borderId="39" xfId="0" applyNumberFormat="1" applyFont="1" applyFill="1" applyBorder="1"/>
    <xf numFmtId="3" fontId="16" fillId="9" borderId="42" xfId="0" applyNumberFormat="1" applyFont="1" applyFill="1" applyBorder="1"/>
    <xf numFmtId="3" fontId="16" fillId="16" borderId="29" xfId="0" applyNumberFormat="1" applyFont="1" applyFill="1" applyBorder="1"/>
    <xf numFmtId="3" fontId="16" fillId="9" borderId="44" xfId="0" applyNumberFormat="1" applyFont="1" applyFill="1" applyBorder="1"/>
    <xf numFmtId="3" fontId="16" fillId="14" borderId="29" xfId="0" applyNumberFormat="1" applyFont="1" applyFill="1" applyBorder="1"/>
    <xf numFmtId="4" fontId="16" fillId="0" borderId="20" xfId="0" applyNumberFormat="1" applyFont="1" applyBorder="1"/>
    <xf numFmtId="4" fontId="16" fillId="16" borderId="20" xfId="0" applyNumberFormat="1" applyFont="1" applyFill="1" applyBorder="1"/>
    <xf numFmtId="4" fontId="16" fillId="49" borderId="39" xfId="0" applyNumberFormat="1" applyFont="1" applyFill="1" applyBorder="1"/>
    <xf numFmtId="170" fontId="16" fillId="0" borderId="46" xfId="0" applyNumberFormat="1" applyFont="1" applyBorder="1"/>
    <xf numFmtId="4" fontId="16" fillId="0" borderId="46" xfId="0" applyNumberFormat="1" applyFont="1" applyBorder="1"/>
    <xf numFmtId="4" fontId="16" fillId="16" borderId="46" xfId="0" applyNumberFormat="1" applyFont="1" applyFill="1" applyBorder="1"/>
    <xf numFmtId="170" fontId="16" fillId="18" borderId="40" xfId="0" applyNumberFormat="1" applyFont="1" applyFill="1" applyBorder="1"/>
    <xf numFmtId="3" fontId="16" fillId="0" borderId="69" xfId="0" applyNumberFormat="1" applyFont="1" applyBorder="1"/>
    <xf numFmtId="3" fontId="5" fillId="0" borderId="0" xfId="0" applyNumberFormat="1" applyFont="1"/>
    <xf numFmtId="170" fontId="16" fillId="18" borderId="0" xfId="0" applyNumberFormat="1" applyFont="1" applyFill="1"/>
    <xf numFmtId="170" fontId="16" fillId="24" borderId="0" xfId="0" applyNumberFormat="1" applyFont="1" applyFill="1"/>
    <xf numFmtId="170" fontId="16" fillId="35" borderId="3" xfId="0" applyNumberFormat="1" applyFont="1" applyFill="1" applyBorder="1" applyAlignment="1">
      <alignment horizontal="right"/>
    </xf>
    <xf numFmtId="170" fontId="16" fillId="38" borderId="65" xfId="0" applyNumberFormat="1" applyFont="1" applyFill="1" applyBorder="1" applyAlignment="1">
      <alignment horizontal="right"/>
    </xf>
    <xf numFmtId="3" fontId="16" fillId="6" borderId="0" xfId="0" applyNumberFormat="1" applyFont="1" applyFill="1" applyAlignment="1">
      <alignment horizontal="center"/>
    </xf>
    <xf numFmtId="3" fontId="16" fillId="6" borderId="0" xfId="0" applyNumberFormat="1" applyFont="1" applyFill="1"/>
    <xf numFmtId="10" fontId="16" fillId="0" borderId="0" xfId="9" applyNumberFormat="1" applyFont="1" applyFill="1" applyBorder="1" applyAlignment="1">
      <alignment horizontal="center"/>
    </xf>
    <xf numFmtId="3" fontId="16" fillId="6" borderId="0" xfId="0" applyNumberFormat="1" applyFont="1" applyFill="1" applyAlignment="1">
      <alignment horizontal="left" indent="1"/>
    </xf>
    <xf numFmtId="10" fontId="16" fillId="0" borderId="0" xfId="9" applyNumberFormat="1" applyFont="1" applyFill="1" applyBorder="1" applyAlignment="1"/>
    <xf numFmtId="182" fontId="16" fillId="0" borderId="0" xfId="1" applyNumberFormat="1" applyFont="1" applyFill="1" applyBorder="1" applyAlignment="1"/>
    <xf numFmtId="165" fontId="16" fillId="0" borderId="0" xfId="1" applyFont="1" applyFill="1" applyBorder="1" applyAlignment="1"/>
    <xf numFmtId="169" fontId="16" fillId="0" borderId="9" xfId="0" applyNumberFormat="1" applyFont="1" applyBorder="1"/>
    <xf numFmtId="169" fontId="16" fillId="0" borderId="70" xfId="0" applyNumberFormat="1" applyFont="1" applyBorder="1"/>
    <xf numFmtId="3" fontId="16" fillId="35" borderId="69" xfId="0" applyNumberFormat="1" applyFont="1" applyFill="1" applyBorder="1"/>
    <xf numFmtId="3" fontId="16" fillId="51" borderId="69" xfId="0" applyNumberFormat="1" applyFont="1" applyFill="1" applyBorder="1"/>
    <xf numFmtId="3" fontId="31" fillId="52" borderId="0" xfId="0" applyNumberFormat="1" applyFont="1" applyFill="1"/>
    <xf numFmtId="1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/>
    <xf numFmtId="3" fontId="16" fillId="0" borderId="26" xfId="0" applyNumberFormat="1" applyFont="1" applyBorder="1"/>
    <xf numFmtId="4" fontId="16" fillId="0" borderId="0" xfId="0" applyNumberFormat="1" applyFont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69" xfId="0" applyNumberFormat="1" applyFont="1" applyBorder="1" applyAlignment="1">
      <alignment horizontal="center"/>
    </xf>
    <xf numFmtId="3" fontId="16" fillId="0" borderId="69" xfId="0" applyNumberFormat="1" applyFont="1" applyBorder="1" applyAlignment="1">
      <alignment horizontal="left"/>
    </xf>
    <xf numFmtId="3" fontId="16" fillId="0" borderId="14" xfId="0" applyNumberFormat="1" applyFont="1" applyBorder="1" applyAlignment="1">
      <alignment horizontal="center" vertical="center"/>
    </xf>
    <xf numFmtId="3" fontId="16" fillId="42" borderId="38" xfId="0" applyNumberFormat="1" applyFont="1" applyFill="1" applyBorder="1" applyAlignment="1">
      <alignment vertical="center" wrapText="1"/>
    </xf>
    <xf numFmtId="3" fontId="16" fillId="23" borderId="26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3" fontId="16" fillId="6" borderId="2" xfId="0" applyNumberFormat="1" applyFont="1" applyFill="1" applyBorder="1" applyAlignment="1">
      <alignment horizontal="center" vertical="center" wrapText="1"/>
    </xf>
    <xf numFmtId="170" fontId="16" fillId="38" borderId="30" xfId="0" applyNumberFormat="1" applyFont="1" applyFill="1" applyBorder="1" applyAlignment="1">
      <alignment horizontal="center" vertical="center" wrapText="1"/>
    </xf>
    <xf numFmtId="3" fontId="16" fillId="6" borderId="30" xfId="0" applyNumberFormat="1" applyFont="1" applyFill="1" applyBorder="1" applyAlignment="1">
      <alignment horizontal="center" vertical="center" wrapText="1"/>
    </xf>
    <xf numFmtId="3" fontId="16" fillId="39" borderId="2" xfId="0" applyNumberFormat="1" applyFont="1" applyFill="1" applyBorder="1" applyAlignment="1">
      <alignment horizontal="center" vertical="center" wrapText="1"/>
    </xf>
    <xf numFmtId="3" fontId="16" fillId="48" borderId="24" xfId="0" applyNumberFormat="1" applyFont="1" applyFill="1" applyBorder="1" applyAlignment="1">
      <alignment horizontal="center" vertical="center" wrapText="1"/>
    </xf>
    <xf numFmtId="3" fontId="16" fillId="17" borderId="34" xfId="0" applyNumberFormat="1" applyFont="1" applyFill="1" applyBorder="1" applyAlignment="1">
      <alignment horizontal="center" vertical="center" wrapText="1"/>
    </xf>
    <xf numFmtId="3" fontId="16" fillId="17" borderId="3" xfId="0" applyNumberFormat="1" applyFont="1" applyFill="1" applyBorder="1" applyAlignment="1">
      <alignment horizontal="center" vertical="center" wrapText="1"/>
    </xf>
    <xf numFmtId="3" fontId="16" fillId="29" borderId="34" xfId="0" applyNumberFormat="1" applyFont="1" applyFill="1" applyBorder="1" applyAlignment="1">
      <alignment horizontal="center" vertical="center" wrapText="1"/>
    </xf>
    <xf numFmtId="3" fontId="16" fillId="29" borderId="3" xfId="0" applyNumberFormat="1" applyFont="1" applyFill="1" applyBorder="1" applyAlignment="1">
      <alignment horizontal="center" vertical="center" wrapText="1"/>
    </xf>
    <xf numFmtId="3" fontId="16" fillId="25" borderId="3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Border="1"/>
    <xf numFmtId="4" fontId="16" fillId="0" borderId="32" xfId="0" applyNumberFormat="1" applyFont="1" applyBorder="1"/>
    <xf numFmtId="4" fontId="16" fillId="0" borderId="26" xfId="0" applyNumberFormat="1" applyFont="1" applyBorder="1"/>
    <xf numFmtId="3" fontId="16" fillId="35" borderId="8" xfId="0" applyNumberFormat="1" applyFont="1" applyFill="1" applyBorder="1"/>
    <xf numFmtId="3" fontId="16" fillId="51" borderId="8" xfId="0" applyNumberFormat="1" applyFont="1" applyFill="1" applyBorder="1"/>
    <xf numFmtId="3" fontId="31" fillId="53" borderId="69" xfId="0" applyNumberFormat="1" applyFont="1" applyFill="1" applyBorder="1"/>
    <xf numFmtId="3" fontId="16" fillId="7" borderId="30" xfId="0" applyNumberFormat="1" applyFont="1" applyFill="1" applyBorder="1"/>
    <xf numFmtId="169" fontId="0" fillId="7" borderId="8" xfId="0" applyNumberFormat="1" applyFill="1" applyBorder="1"/>
    <xf numFmtId="169" fontId="0" fillId="7" borderId="9" xfId="0" applyNumberFormat="1" applyFill="1" applyBorder="1"/>
    <xf numFmtId="169" fontId="0" fillId="7" borderId="13" xfId="0" applyNumberFormat="1" applyFill="1" applyBorder="1"/>
    <xf numFmtId="169" fontId="0" fillId="7" borderId="14" xfId="0" applyNumberFormat="1" applyFill="1" applyBorder="1"/>
    <xf numFmtId="169" fontId="4" fillId="7" borderId="7" xfId="0" applyNumberFormat="1" applyFont="1" applyFill="1" applyBorder="1"/>
    <xf numFmtId="169" fontId="4" fillId="7" borderId="8" xfId="0" applyNumberFormat="1" applyFont="1" applyFill="1" applyBorder="1"/>
    <xf numFmtId="169" fontId="4" fillId="0" borderId="69" xfId="0" applyNumberFormat="1" applyFont="1" applyBorder="1"/>
    <xf numFmtId="0" fontId="0" fillId="0" borderId="24" xfId="0" applyFont="1" applyBorder="1"/>
    <xf numFmtId="0" fontId="0" fillId="0" borderId="58" xfId="0" applyFont="1" applyBorder="1"/>
    <xf numFmtId="0" fontId="4" fillId="7" borderId="59" xfId="0" applyFont="1" applyFill="1" applyBorder="1"/>
    <xf numFmtId="0" fontId="4" fillId="0" borderId="48" xfId="0" applyFont="1" applyBorder="1"/>
    <xf numFmtId="0" fontId="4" fillId="16" borderId="48" xfId="0" applyFont="1" applyFill="1" applyBorder="1"/>
    <xf numFmtId="169" fontId="16" fillId="13" borderId="24" xfId="0" applyNumberFormat="1" applyFont="1" applyFill="1" applyBorder="1"/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69" fontId="4" fillId="0" borderId="71" xfId="0" applyNumberFormat="1" applyFont="1" applyBorder="1"/>
    <xf numFmtId="3" fontId="4" fillId="16" borderId="5" xfId="0" applyNumberFormat="1" applyFont="1" applyFill="1" applyBorder="1"/>
    <xf numFmtId="169" fontId="4" fillId="7" borderId="66" xfId="0" applyNumberFormat="1" applyFont="1" applyFill="1" applyBorder="1"/>
    <xf numFmtId="10" fontId="4" fillId="0" borderId="70" xfId="3" applyNumberFormat="1" applyFont="1" applyBorder="1"/>
    <xf numFmtId="9" fontId="4" fillId="7" borderId="9" xfId="3" applyFont="1" applyFill="1" applyBorder="1"/>
    <xf numFmtId="9" fontId="16" fillId="13" borderId="33" xfId="3" applyFont="1" applyFill="1" applyBorder="1"/>
    <xf numFmtId="0" fontId="14" fillId="0" borderId="0" xfId="16" applyFont="1"/>
    <xf numFmtId="0" fontId="58" fillId="0" borderId="0" xfId="16" applyFont="1" applyAlignment="1">
      <alignment horizontal="left"/>
    </xf>
    <xf numFmtId="0" fontId="59" fillId="0" borderId="0" xfId="16" applyFont="1" applyAlignment="1">
      <alignment horizontal="center"/>
    </xf>
    <xf numFmtId="0" fontId="18" fillId="0" borderId="0" xfId="16" applyFont="1" applyAlignment="1">
      <alignment horizontal="center"/>
    </xf>
    <xf numFmtId="0" fontId="19" fillId="0" borderId="0" xfId="16" applyFont="1" applyAlignment="1">
      <alignment horizontal="center"/>
    </xf>
    <xf numFmtId="0" fontId="20" fillId="0" borderId="0" xfId="16" applyFont="1"/>
    <xf numFmtId="0" fontId="61" fillId="0" borderId="0" xfId="16" applyFont="1"/>
    <xf numFmtId="2" fontId="30" fillId="0" borderId="27" xfId="16" applyNumberFormat="1" applyFont="1" applyBorder="1" applyAlignment="1">
      <alignment horizontal="left"/>
    </xf>
    <xf numFmtId="180" fontId="59" fillId="0" borderId="27" xfId="16" applyNumberFormat="1" applyFont="1" applyBorder="1"/>
    <xf numFmtId="175" fontId="59" fillId="0" borderId="27" xfId="16" applyNumberFormat="1" applyFont="1" applyBorder="1"/>
    <xf numFmtId="175" fontId="62" fillId="0" borderId="27" xfId="16" applyNumberFormat="1" applyFont="1" applyBorder="1"/>
    <xf numFmtId="0" fontId="20" fillId="0" borderId="0" xfId="16" applyFont="1" applyAlignment="1">
      <alignment horizontal="left"/>
    </xf>
    <xf numFmtId="0" fontId="14" fillId="0" borderId="0" xfId="17" applyFont="1"/>
    <xf numFmtId="0" fontId="14" fillId="0" borderId="0" xfId="16" applyFont="1" applyAlignment="1">
      <alignment horizontal="center" vertical="center" wrapText="1"/>
    </xf>
    <xf numFmtId="0" fontId="18" fillId="0" borderId="25" xfId="16" applyFont="1" applyBorder="1" applyAlignment="1">
      <alignment horizontal="center"/>
    </xf>
    <xf numFmtId="3" fontId="18" fillId="54" borderId="25" xfId="16" applyNumberFormat="1" applyFont="1" applyFill="1" applyBorder="1" applyAlignment="1">
      <alignment horizontal="center"/>
    </xf>
    <xf numFmtId="0" fontId="18" fillId="54" borderId="25" xfId="16" applyFont="1" applyFill="1" applyBorder="1" applyAlignment="1">
      <alignment horizontal="center"/>
    </xf>
    <xf numFmtId="3" fontId="19" fillId="54" borderId="25" xfId="16" applyNumberFormat="1" applyFont="1" applyFill="1" applyBorder="1" applyAlignment="1">
      <alignment horizontal="center"/>
    </xf>
    <xf numFmtId="0" fontId="19" fillId="54" borderId="25" xfId="16" applyFont="1" applyFill="1" applyBorder="1" applyAlignment="1">
      <alignment horizontal="center"/>
    </xf>
    <xf numFmtId="0" fontId="60" fillId="0" borderId="0" xfId="16" applyFont="1"/>
    <xf numFmtId="0" fontId="57" fillId="0" borderId="26" xfId="16" applyFont="1" applyBorder="1" applyAlignment="1">
      <alignment horizontal="center" vertical="center"/>
    </xf>
    <xf numFmtId="0" fontId="57" fillId="54" borderId="57" xfId="16" applyFont="1" applyFill="1" applyBorder="1" applyAlignment="1">
      <alignment horizontal="center" vertical="center"/>
    </xf>
    <xf numFmtId="0" fontId="57" fillId="54" borderId="27" xfId="16" applyFont="1" applyFill="1" applyBorder="1" applyAlignment="1">
      <alignment horizontal="center" vertical="center"/>
    </xf>
    <xf numFmtId="0" fontId="57" fillId="54" borderId="19" xfId="16" applyFont="1" applyFill="1" applyBorder="1" applyAlignment="1">
      <alignment horizontal="center" vertical="center"/>
    </xf>
    <xf numFmtId="0" fontId="57" fillId="0" borderId="19" xfId="16" applyFont="1" applyBorder="1" applyAlignment="1">
      <alignment horizontal="center" vertical="center"/>
    </xf>
    <xf numFmtId="0" fontId="57" fillId="54" borderId="19" xfId="16" applyFont="1" applyFill="1" applyBorder="1" applyAlignment="1">
      <alignment horizontal="center" vertical="center" wrapText="1"/>
    </xf>
    <xf numFmtId="3" fontId="15" fillId="24" borderId="24" xfId="16" applyNumberFormat="1" applyFont="1" applyFill="1" applyBorder="1" applyAlignment="1">
      <alignment horizontal="left" vertical="center" wrapText="1"/>
    </xf>
    <xf numFmtId="3" fontId="14" fillId="24" borderId="19" xfId="16" applyNumberFormat="1" applyFont="1" applyFill="1" applyBorder="1" applyAlignment="1">
      <alignment vertical="center"/>
    </xf>
    <xf numFmtId="3" fontId="14" fillId="24" borderId="25" xfId="16" applyNumberFormat="1" applyFont="1" applyFill="1" applyBorder="1" applyAlignment="1">
      <alignment vertical="center"/>
    </xf>
    <xf numFmtId="3" fontId="17" fillId="34" borderId="59" xfId="16" applyNumberFormat="1" applyFont="1" applyFill="1" applyBorder="1" applyAlignment="1">
      <alignment horizontal="left" vertical="center" wrapText="1"/>
    </xf>
    <xf numFmtId="3" fontId="14" fillId="34" borderId="43" xfId="16" applyNumberFormat="1" applyFont="1" applyFill="1" applyBorder="1" applyAlignment="1">
      <alignment vertical="center" wrapText="1"/>
    </xf>
    <xf numFmtId="3" fontId="14" fillId="34" borderId="62" xfId="16" applyNumberFormat="1" applyFont="1" applyFill="1" applyBorder="1" applyAlignment="1">
      <alignment vertical="center" wrapText="1"/>
    </xf>
    <xf numFmtId="3" fontId="18" fillId="34" borderId="76" xfId="16" applyNumberFormat="1" applyFont="1" applyFill="1" applyBorder="1" applyAlignment="1">
      <alignment vertical="center" wrapText="1"/>
    </xf>
    <xf numFmtId="3" fontId="14" fillId="34" borderId="79" xfId="16" applyNumberFormat="1" applyFont="1" applyFill="1" applyBorder="1" applyAlignment="1">
      <alignment vertical="center"/>
    </xf>
    <xf numFmtId="3" fontId="14" fillId="34" borderId="77" xfId="16" applyNumberFormat="1" applyFont="1" applyFill="1" applyBorder="1" applyAlignment="1">
      <alignment vertical="center"/>
    </xf>
    <xf numFmtId="3" fontId="14" fillId="34" borderId="76" xfId="16" applyNumberFormat="1" applyFont="1" applyFill="1" applyBorder="1" applyAlignment="1">
      <alignment horizontal="left" vertical="center" wrapText="1"/>
    </xf>
    <xf numFmtId="3" fontId="18" fillId="34" borderId="76" xfId="16" applyNumberFormat="1" applyFont="1" applyFill="1" applyBorder="1" applyAlignment="1">
      <alignment horizontal="left" vertical="center" wrapText="1"/>
    </xf>
    <xf numFmtId="3" fontId="14" fillId="34" borderId="51" xfId="16" applyNumberFormat="1" applyFont="1" applyFill="1" applyBorder="1" applyAlignment="1">
      <alignment horizontal="left" vertical="center" wrapText="1"/>
    </xf>
    <xf numFmtId="3" fontId="14" fillId="34" borderId="75" xfId="16" applyNumberFormat="1" applyFont="1" applyFill="1" applyBorder="1" applyAlignment="1">
      <alignment vertical="center"/>
    </xf>
    <xf numFmtId="3" fontId="14" fillId="34" borderId="56" xfId="16" applyNumberFormat="1" applyFont="1" applyFill="1" applyBorder="1" applyAlignment="1">
      <alignment vertical="center"/>
    </xf>
    <xf numFmtId="3" fontId="17" fillId="14" borderId="59" xfId="16" applyNumberFormat="1" applyFont="1" applyFill="1" applyBorder="1" applyAlignment="1">
      <alignment horizontal="left" vertical="center" wrapText="1"/>
    </xf>
    <xf numFmtId="3" fontId="14" fillId="14" borderId="43" xfId="16" applyNumberFormat="1" applyFont="1" applyFill="1" applyBorder="1" applyAlignment="1">
      <alignment horizontal="right" vertical="center"/>
    </xf>
    <xf numFmtId="3" fontId="14" fillId="14" borderId="62" xfId="16" applyNumberFormat="1" applyFont="1" applyFill="1" applyBorder="1" applyAlignment="1">
      <alignment horizontal="right" vertical="center"/>
    </xf>
    <xf numFmtId="3" fontId="14" fillId="14" borderId="76" xfId="16" applyNumberFormat="1" applyFont="1" applyFill="1" applyBorder="1" applyAlignment="1">
      <alignment horizontal="left" vertical="center" wrapText="1"/>
    </xf>
    <xf numFmtId="3" fontId="14" fillId="14" borderId="77" xfId="16" applyNumberFormat="1" applyFont="1" applyFill="1" applyBorder="1" applyAlignment="1">
      <alignment horizontal="right" vertical="center"/>
    </xf>
    <xf numFmtId="3" fontId="14" fillId="14" borderId="79" xfId="16" applyNumberFormat="1" applyFont="1" applyFill="1" applyBorder="1" applyAlignment="1">
      <alignment horizontal="right" vertical="center"/>
    </xf>
    <xf numFmtId="3" fontId="14" fillId="14" borderId="51" xfId="16" applyNumberFormat="1" applyFont="1" applyFill="1" applyBorder="1" applyAlignment="1">
      <alignment horizontal="left" vertical="center" wrapText="1"/>
    </xf>
    <xf numFmtId="3" fontId="14" fillId="14" borderId="75" xfId="16" applyNumberFormat="1" applyFont="1" applyFill="1" applyBorder="1"/>
    <xf numFmtId="3" fontId="14" fillId="14" borderId="56" xfId="16" applyNumberFormat="1" applyFont="1" applyFill="1" applyBorder="1"/>
    <xf numFmtId="3" fontId="17" fillId="8" borderId="24" xfId="16" applyNumberFormat="1" applyFont="1" applyFill="1" applyBorder="1" applyAlignment="1">
      <alignment horizontal="left" vertical="center" wrapText="1"/>
    </xf>
    <xf numFmtId="3" fontId="14" fillId="8" borderId="25" xfId="16" applyNumberFormat="1" applyFont="1" applyFill="1" applyBorder="1"/>
    <xf numFmtId="3" fontId="14" fillId="8" borderId="19" xfId="16" applyNumberFormat="1" applyFont="1" applyFill="1" applyBorder="1"/>
    <xf numFmtId="3" fontId="14" fillId="8" borderId="19" xfId="16" applyNumberFormat="1" applyFont="1" applyFill="1" applyBorder="1" applyAlignment="1">
      <alignment vertical="center"/>
    </xf>
    <xf numFmtId="3" fontId="17" fillId="49" borderId="29" xfId="16" applyNumberFormat="1" applyFont="1" applyFill="1" applyBorder="1" applyAlignment="1">
      <alignment horizontal="left" vertical="center" wrapText="1"/>
    </xf>
    <xf numFmtId="3" fontId="14" fillId="49" borderId="41" xfId="16" applyNumberFormat="1" applyFont="1" applyFill="1" applyBorder="1" applyAlignment="1">
      <alignment horizontal="right" vertical="center" wrapText="1"/>
    </xf>
    <xf numFmtId="3" fontId="14" fillId="49" borderId="42" xfId="16" applyNumberFormat="1" applyFont="1" applyFill="1" applyBorder="1" applyAlignment="1">
      <alignment horizontal="right" vertical="center" wrapText="1"/>
    </xf>
    <xf numFmtId="3" fontId="14" fillId="49" borderId="76" xfId="16" applyNumberFormat="1" applyFont="1" applyFill="1" applyBorder="1" applyAlignment="1">
      <alignment horizontal="left" vertical="center" wrapText="1"/>
    </xf>
    <xf numFmtId="3" fontId="14" fillId="49" borderId="79" xfId="16" applyNumberFormat="1" applyFont="1" applyFill="1" applyBorder="1" applyAlignment="1">
      <alignment vertical="center"/>
    </xf>
    <xf numFmtId="3" fontId="14" fillId="49" borderId="77" xfId="16" applyNumberFormat="1" applyFont="1" applyFill="1" applyBorder="1" applyAlignment="1">
      <alignment vertical="center"/>
    </xf>
    <xf numFmtId="3" fontId="18" fillId="49" borderId="76" xfId="16" applyNumberFormat="1" applyFont="1" applyFill="1" applyBorder="1" applyAlignment="1">
      <alignment horizontal="left" vertical="center" wrapText="1"/>
    </xf>
    <xf numFmtId="3" fontId="14" fillId="49" borderId="51" xfId="16" applyNumberFormat="1" applyFont="1" applyFill="1" applyBorder="1" applyAlignment="1">
      <alignment horizontal="left" vertical="center" wrapText="1"/>
    </xf>
    <xf numFmtId="3" fontId="14" fillId="49" borderId="75" xfId="16" applyNumberFormat="1" applyFont="1" applyFill="1" applyBorder="1" applyAlignment="1">
      <alignment vertical="center"/>
    </xf>
    <xf numFmtId="3" fontId="14" fillId="49" borderId="56" xfId="16" applyNumberFormat="1" applyFont="1" applyFill="1" applyBorder="1" applyAlignment="1">
      <alignment vertical="center"/>
    </xf>
    <xf numFmtId="1" fontId="14" fillId="49" borderId="75" xfId="16" applyNumberFormat="1" applyFont="1" applyFill="1" applyBorder="1" applyAlignment="1">
      <alignment vertical="center"/>
    </xf>
    <xf numFmtId="0" fontId="0" fillId="49" borderId="91" xfId="0" applyFill="1" applyBorder="1" applyAlignment="1">
      <alignment horizontal="center"/>
    </xf>
    <xf numFmtId="0" fontId="0" fillId="49" borderId="93" xfId="0" applyFill="1" applyBorder="1" applyAlignment="1">
      <alignment horizontal="center"/>
    </xf>
    <xf numFmtId="0" fontId="0" fillId="49" borderId="92" xfId="0" applyFill="1" applyBorder="1" applyAlignment="1">
      <alignment horizontal="center"/>
    </xf>
    <xf numFmtId="0" fontId="0" fillId="49" borderId="39" xfId="0" applyFill="1" applyBorder="1" applyAlignment="1">
      <alignment horizontal="center"/>
    </xf>
    <xf numFmtId="0" fontId="0" fillId="49" borderId="20" xfId="0" applyFill="1" applyBorder="1"/>
    <xf numFmtId="0" fontId="0" fillId="49" borderId="72" xfId="0" applyFill="1" applyBorder="1" applyAlignment="1">
      <alignment horizontal="center"/>
    </xf>
    <xf numFmtId="0" fontId="0" fillId="49" borderId="78" xfId="0" applyFill="1" applyBorder="1"/>
    <xf numFmtId="0" fontId="0" fillId="49" borderId="78" xfId="0" quotePrefix="1" applyFill="1" applyBorder="1"/>
    <xf numFmtId="0" fontId="0" fillId="49" borderId="12" xfId="0" applyFill="1" applyBorder="1" applyAlignment="1">
      <alignment horizontal="center"/>
    </xf>
    <xf numFmtId="0" fontId="0" fillId="49" borderId="13" xfId="0" applyFill="1" applyBorder="1"/>
    <xf numFmtId="0" fontId="0" fillId="82" borderId="91" xfId="0" applyFill="1" applyBorder="1" applyAlignment="1">
      <alignment horizontal="center"/>
    </xf>
    <xf numFmtId="0" fontId="0" fillId="82" borderId="93" xfId="0" applyFill="1" applyBorder="1" applyAlignment="1">
      <alignment horizontal="center"/>
    </xf>
    <xf numFmtId="0" fontId="0" fillId="82" borderId="92" xfId="0" applyFill="1" applyBorder="1" applyAlignment="1">
      <alignment horizontal="center"/>
    </xf>
    <xf numFmtId="0" fontId="63" fillId="32" borderId="19" xfId="16" applyFont="1" applyFill="1" applyBorder="1" applyAlignment="1">
      <alignment horizontal="center" vertical="center"/>
    </xf>
    <xf numFmtId="3" fontId="64" fillId="54" borderId="25" xfId="16" applyNumberFormat="1" applyFont="1" applyFill="1" applyBorder="1" applyAlignment="1">
      <alignment horizontal="center"/>
    </xf>
    <xf numFmtId="3" fontId="65" fillId="24" borderId="23" xfId="16" applyNumberFormat="1" applyFont="1" applyFill="1" applyBorder="1" applyAlignment="1">
      <alignment vertical="center"/>
    </xf>
    <xf numFmtId="3" fontId="65" fillId="34" borderId="80" xfId="16" applyNumberFormat="1" applyFont="1" applyFill="1" applyBorder="1" applyAlignment="1">
      <alignment vertical="center"/>
    </xf>
    <xf numFmtId="3" fontId="65" fillId="34" borderId="53" xfId="16" applyNumberFormat="1" applyFont="1" applyFill="1" applyBorder="1" applyAlignment="1">
      <alignment vertical="center"/>
    </xf>
    <xf numFmtId="3" fontId="65" fillId="14" borderId="80" xfId="16" applyNumberFormat="1" applyFont="1" applyFill="1" applyBorder="1" applyAlignment="1">
      <alignment horizontal="right" vertical="center"/>
    </xf>
    <xf numFmtId="3" fontId="65" fillId="14" borderId="53" xfId="16" applyNumberFormat="1" applyFont="1" applyFill="1" applyBorder="1" applyAlignment="1">
      <alignment horizontal="right"/>
    </xf>
    <xf numFmtId="3" fontId="65" fillId="8" borderId="23" xfId="16" applyNumberFormat="1" applyFont="1" applyFill="1" applyBorder="1" applyAlignment="1">
      <alignment vertical="center"/>
    </xf>
    <xf numFmtId="3" fontId="65" fillId="49" borderId="80" xfId="16" applyNumberFormat="1" applyFont="1" applyFill="1" applyBorder="1" applyAlignment="1">
      <alignment horizontal="right" vertical="center"/>
    </xf>
    <xf numFmtId="3" fontId="65" fillId="49" borderId="80" xfId="16" applyNumberFormat="1" applyFont="1" applyFill="1" applyBorder="1" applyAlignment="1">
      <alignment horizontal="right" vertical="center" wrapText="1"/>
    </xf>
    <xf numFmtId="3" fontId="65" fillId="49" borderId="80" xfId="16" applyNumberFormat="1" applyFont="1" applyFill="1" applyBorder="1" applyAlignment="1">
      <alignment vertical="center"/>
    </xf>
    <xf numFmtId="3" fontId="65" fillId="49" borderId="53" xfId="16" applyNumberFormat="1" applyFont="1" applyFill="1" applyBorder="1" applyAlignment="1">
      <alignment horizontal="right" vertical="center" wrapText="1"/>
    </xf>
    <xf numFmtId="0" fontId="66" fillId="54" borderId="57" xfId="16" applyFont="1" applyFill="1" applyBorder="1" applyAlignment="1">
      <alignment horizontal="center" vertical="center" wrapText="1"/>
    </xf>
    <xf numFmtId="3" fontId="67" fillId="54" borderId="25" xfId="16" applyNumberFormat="1" applyFont="1" applyFill="1" applyBorder="1" applyAlignment="1">
      <alignment horizontal="center"/>
    </xf>
    <xf numFmtId="3" fontId="68" fillId="24" borderId="19" xfId="16" applyNumberFormat="1" applyFont="1" applyFill="1" applyBorder="1" applyAlignment="1">
      <alignment vertical="center"/>
    </xf>
    <xf numFmtId="3" fontId="68" fillId="34" borderId="43" xfId="16" applyNumberFormat="1" applyFont="1" applyFill="1" applyBorder="1" applyAlignment="1">
      <alignment vertical="center" wrapText="1"/>
    </xf>
    <xf numFmtId="3" fontId="68" fillId="34" borderId="77" xfId="16" applyNumberFormat="1" applyFont="1" applyFill="1" applyBorder="1" applyAlignment="1">
      <alignment vertical="center" wrapText="1"/>
    </xf>
    <xf numFmtId="3" fontId="68" fillId="34" borderId="56" xfId="16" applyNumberFormat="1" applyFont="1" applyFill="1" applyBorder="1" applyAlignment="1">
      <alignment vertical="center" wrapText="1"/>
    </xf>
    <xf numFmtId="3" fontId="68" fillId="14" borderId="43" xfId="16" applyNumberFormat="1" applyFont="1" applyFill="1" applyBorder="1" applyAlignment="1">
      <alignment horizontal="right" vertical="center"/>
    </xf>
    <xf numFmtId="3" fontId="68" fillId="14" borderId="77" xfId="16" applyNumberFormat="1" applyFont="1" applyFill="1" applyBorder="1" applyAlignment="1">
      <alignment horizontal="right" vertical="center"/>
    </xf>
    <xf numFmtId="3" fontId="68" fillId="14" borderId="77" xfId="16" applyNumberFormat="1" applyFont="1" applyFill="1" applyBorder="1" applyAlignment="1">
      <alignment horizontal="right" vertical="center" wrapText="1"/>
    </xf>
    <xf numFmtId="3" fontId="68" fillId="49" borderId="41" xfId="16" applyNumberFormat="1" applyFont="1" applyFill="1" applyBorder="1" applyAlignment="1">
      <alignment horizontal="right" vertical="center" wrapText="1"/>
    </xf>
    <xf numFmtId="3" fontId="68" fillId="49" borderId="77" xfId="16" applyNumberFormat="1" applyFont="1" applyFill="1" applyBorder="1" applyAlignment="1">
      <alignment horizontal="right" vertical="center" wrapText="1"/>
    </xf>
    <xf numFmtId="3" fontId="68" fillId="49" borderId="56" xfId="16" applyNumberFormat="1" applyFont="1" applyFill="1" applyBorder="1" applyAlignment="1">
      <alignment horizontal="right" vertical="center" wrapText="1"/>
    </xf>
    <xf numFmtId="3" fontId="68" fillId="14" borderId="56" xfId="16" applyNumberFormat="1" applyFont="1" applyFill="1" applyBorder="1" applyAlignment="1">
      <alignment horizontal="left" vertical="center" wrapText="1"/>
    </xf>
    <xf numFmtId="3" fontId="14" fillId="14" borderId="56" xfId="16" applyNumberFormat="1" applyFont="1" applyFill="1" applyBorder="1" applyAlignment="1">
      <alignment horizontal="right"/>
    </xf>
    <xf numFmtId="182" fontId="16" fillId="7" borderId="40" xfId="143" applyNumberFormat="1" applyFont="1" applyFill="1" applyBorder="1"/>
    <xf numFmtId="182" fontId="16" fillId="0" borderId="40" xfId="143" applyNumberFormat="1" applyFont="1" applyBorder="1"/>
    <xf numFmtId="0" fontId="16" fillId="0" borderId="0" xfId="143" applyNumberFormat="1" applyFont="1" applyFill="1" applyBorder="1" applyAlignment="1">
      <alignment horizontal="left" indent="1"/>
    </xf>
    <xf numFmtId="0" fontId="16" fillId="0" borderId="24" xfId="8" applyFont="1" applyBorder="1" applyAlignment="1">
      <alignment horizontal="center" vertical="center"/>
    </xf>
    <xf numFmtId="0" fontId="16" fillId="35" borderId="2" xfId="8" applyFont="1" applyFill="1" applyBorder="1" applyAlignment="1">
      <alignment horizontal="center" vertical="center" wrapText="1"/>
    </xf>
    <xf numFmtId="0" fontId="16" fillId="41" borderId="33" xfId="8" applyFont="1" applyFill="1" applyBorder="1" applyAlignment="1">
      <alignment horizontal="center" vertical="center" wrapText="1"/>
    </xf>
    <xf numFmtId="0" fontId="16" fillId="6" borderId="94" xfId="0" applyFont="1" applyFill="1" applyBorder="1" applyAlignment="1">
      <alignment horizontal="center" vertical="center" wrapText="1"/>
    </xf>
    <xf numFmtId="0" fontId="16" fillId="41" borderId="23" xfId="8" applyFont="1" applyFill="1" applyBorder="1" applyAlignment="1">
      <alignment horizontal="center" vertical="center" wrapText="1"/>
    </xf>
    <xf numFmtId="0" fontId="16" fillId="0" borderId="0" xfId="8" applyFont="1" applyAlignment="1">
      <alignment horizontal="center" vertical="center" wrapText="1"/>
    </xf>
    <xf numFmtId="0" fontId="16" fillId="0" borderId="24" xfId="8" applyFont="1" applyBorder="1" applyAlignment="1">
      <alignment horizontal="left" indent="1"/>
    </xf>
    <xf numFmtId="169" fontId="16" fillId="0" borderId="2" xfId="8" applyNumberFormat="1" applyFont="1" applyBorder="1" applyAlignment="1">
      <alignment horizontal="right" indent="1"/>
    </xf>
    <xf numFmtId="182" fontId="16" fillId="22" borderId="33" xfId="143" applyNumberFormat="1" applyFont="1" applyFill="1" applyBorder="1"/>
    <xf numFmtId="169" fontId="16" fillId="0" borderId="3" xfId="8" applyNumberFormat="1" applyFont="1" applyBorder="1" applyAlignment="1">
      <alignment horizontal="right" indent="1"/>
    </xf>
    <xf numFmtId="181" fontId="16" fillId="22" borderId="33" xfId="143" applyNumberFormat="1" applyFont="1" applyFill="1" applyBorder="1" applyAlignment="1">
      <alignment horizontal="right" indent="1"/>
    </xf>
    <xf numFmtId="0" fontId="16" fillId="0" borderId="39" xfId="8" applyFont="1" applyBorder="1" applyAlignment="1">
      <alignment horizontal="left" indent="1"/>
    </xf>
    <xf numFmtId="181" fontId="16" fillId="7" borderId="19" xfId="8" applyNumberFormat="1" applyFont="1" applyFill="1" applyBorder="1" applyAlignment="1">
      <alignment horizontal="right" indent="1"/>
    </xf>
    <xf numFmtId="0" fontId="16" fillId="0" borderId="0" xfId="8" applyFont="1" applyAlignment="1">
      <alignment horizontal="center"/>
    </xf>
    <xf numFmtId="0" fontId="16" fillId="7" borderId="41" xfId="0" applyFont="1" applyFill="1" applyBorder="1"/>
    <xf numFmtId="169" fontId="16" fillId="7" borderId="39" xfId="8" applyNumberFormat="1" applyFont="1" applyFill="1" applyBorder="1" applyAlignment="1">
      <alignment horizontal="right" indent="1"/>
    </xf>
    <xf numFmtId="169" fontId="16" fillId="7" borderId="20" xfId="8" applyNumberFormat="1" applyFont="1" applyFill="1" applyBorder="1" applyAlignment="1">
      <alignment horizontal="right" indent="1"/>
    </xf>
    <xf numFmtId="0" fontId="16" fillId="0" borderId="49" xfId="0" applyFont="1" applyBorder="1"/>
    <xf numFmtId="169" fontId="16" fillId="0" borderId="39" xfId="8" applyNumberFormat="1" applyFont="1" applyBorder="1" applyAlignment="1">
      <alignment horizontal="right" indent="1"/>
    </xf>
    <xf numFmtId="169" fontId="16" fillId="0" borderId="20" xfId="8" applyNumberFormat="1" applyFont="1" applyBorder="1" applyAlignment="1">
      <alignment horizontal="right" indent="1"/>
    </xf>
    <xf numFmtId="0" fontId="16" fillId="0" borderId="48" xfId="0" applyFont="1" applyBorder="1"/>
    <xf numFmtId="0" fontId="16" fillId="16" borderId="49" xfId="0" applyFont="1" applyFill="1" applyBorder="1"/>
    <xf numFmtId="0" fontId="16" fillId="7" borderId="52" xfId="0" applyFont="1" applyFill="1" applyBorder="1"/>
    <xf numFmtId="0" fontId="0" fillId="34" borderId="3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4" fillId="0" borderId="77" xfId="0" applyFont="1" applyBorder="1"/>
    <xf numFmtId="3" fontId="16" fillId="0" borderId="0" xfId="13" applyNumberFormat="1" applyFont="1" applyAlignment="1">
      <alignment horizontal="center"/>
    </xf>
    <xf numFmtId="3" fontId="16" fillId="0" borderId="10" xfId="13" applyNumberFormat="1" applyFont="1" applyBorder="1" applyAlignment="1">
      <alignment horizontal="center"/>
    </xf>
    <xf numFmtId="3" fontId="21" fillId="0" borderId="0" xfId="13" applyNumberFormat="1" applyFont="1" applyAlignment="1">
      <alignment horizontal="center"/>
    </xf>
    <xf numFmtId="4" fontId="16" fillId="0" borderId="0" xfId="13" applyNumberFormat="1" applyFont="1" applyAlignment="1">
      <alignment horizontal="center"/>
    </xf>
    <xf numFmtId="3" fontId="68" fillId="8" borderId="19" xfId="16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3" fontId="68" fillId="14" borderId="56" xfId="16" applyNumberFormat="1" applyFont="1" applyFill="1" applyBorder="1" applyAlignment="1">
      <alignment horizontal="right" vertical="center" wrapText="1"/>
    </xf>
    <xf numFmtId="3" fontId="17" fillId="8" borderId="24" xfId="16" applyNumberFormat="1" applyFont="1" applyFill="1" applyBorder="1" applyAlignment="1">
      <alignment vertical="center" wrapText="1"/>
    </xf>
    <xf numFmtId="3" fontId="68" fillId="8" borderId="19" xfId="16" applyNumberFormat="1" applyFont="1" applyFill="1" applyBorder="1" applyAlignment="1">
      <alignment vertical="center" wrapText="1"/>
    </xf>
    <xf numFmtId="3" fontId="14" fillId="8" borderId="25" xfId="16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" fillId="7" borderId="6" xfId="5" applyFill="1" applyBorder="1"/>
    <xf numFmtId="0" fontId="0" fillId="0" borderId="99" xfId="0" applyBorder="1"/>
    <xf numFmtId="0" fontId="4" fillId="0" borderId="76" xfId="0" applyFont="1" applyBorder="1"/>
    <xf numFmtId="0" fontId="0" fillId="16" borderId="99" xfId="0" applyFill="1" applyBorder="1"/>
    <xf numFmtId="0" fontId="4" fillId="7" borderId="11" xfId="5" applyFill="1" applyBorder="1"/>
    <xf numFmtId="0" fontId="0" fillId="34" borderId="2" xfId="0" applyFill="1" applyBorder="1" applyAlignment="1">
      <alignment horizontal="center" vertical="center" wrapText="1"/>
    </xf>
    <xf numFmtId="169" fontId="0" fillId="7" borderId="7" xfId="0" applyNumberFormat="1" applyFill="1" applyBorder="1"/>
    <xf numFmtId="169" fontId="0" fillId="12" borderId="72" xfId="0" applyNumberFormat="1" applyFill="1" applyBorder="1"/>
    <xf numFmtId="169" fontId="0" fillId="12" borderId="98" xfId="0" applyNumberFormat="1" applyFill="1" applyBorder="1"/>
    <xf numFmtId="169" fontId="0" fillId="6" borderId="98" xfId="0" applyNumberFormat="1" applyFill="1" applyBorder="1"/>
    <xf numFmtId="169" fontId="0" fillId="0" borderId="96" xfId="0" applyNumberFormat="1" applyBorder="1"/>
    <xf numFmtId="169" fontId="0" fillId="7" borderId="12" xfId="0" applyNumberFormat="1" applyFill="1" applyBorder="1"/>
    <xf numFmtId="0" fontId="4" fillId="7" borderId="43" xfId="0" applyFont="1" applyFill="1" applyBorder="1"/>
    <xf numFmtId="169" fontId="4" fillId="7" borderId="9" xfId="0" applyNumberFormat="1" applyFont="1" applyFill="1" applyBorder="1"/>
    <xf numFmtId="169" fontId="4" fillId="7" borderId="43" xfId="0" applyNumberFormat="1" applyFont="1" applyFill="1" applyBorder="1"/>
    <xf numFmtId="169" fontId="4" fillId="0" borderId="72" xfId="0" applyNumberFormat="1" applyFont="1" applyBorder="1"/>
    <xf numFmtId="169" fontId="4" fillId="0" borderId="98" xfId="0" applyNumberFormat="1" applyFont="1" applyBorder="1"/>
    <xf numFmtId="169" fontId="4" fillId="0" borderId="96" xfId="0" applyNumberFormat="1" applyFont="1" applyBorder="1"/>
    <xf numFmtId="3" fontId="4" fillId="16" borderId="77" xfId="0" applyNumberFormat="1" applyFont="1" applyFill="1" applyBorder="1"/>
    <xf numFmtId="0" fontId="4" fillId="16" borderId="77" xfId="0" applyFont="1" applyFill="1" applyBorder="1"/>
    <xf numFmtId="0" fontId="4" fillId="7" borderId="95" xfId="0" applyFont="1" applyFill="1" applyBorder="1"/>
    <xf numFmtId="166" fontId="16" fillId="7" borderId="59" xfId="8" applyNumberFormat="1" applyFont="1" applyFill="1" applyBorder="1"/>
    <xf numFmtId="166" fontId="16" fillId="7" borderId="7" xfId="8" applyNumberFormat="1" applyFont="1" applyFill="1" applyBorder="1" applyAlignment="1">
      <alignment horizontal="center"/>
    </xf>
    <xf numFmtId="166" fontId="16" fillId="7" borderId="9" xfId="8" applyNumberFormat="1" applyFont="1" applyFill="1" applyBorder="1"/>
    <xf numFmtId="0" fontId="17" fillId="7" borderId="43" xfId="0" applyFont="1" applyFill="1" applyBorder="1"/>
    <xf numFmtId="172" fontId="16" fillId="7" borderId="8" xfId="3" applyNumberFormat="1" applyFont="1" applyFill="1" applyBorder="1" applyAlignment="1">
      <alignment horizontal="center"/>
    </xf>
    <xf numFmtId="172" fontId="16" fillId="7" borderId="9" xfId="3" applyNumberFormat="1" applyFont="1" applyFill="1" applyBorder="1" applyAlignment="1">
      <alignment horizontal="center"/>
    </xf>
    <xf numFmtId="172" fontId="16" fillId="7" borderId="13" xfId="0" applyNumberFormat="1" applyFont="1" applyFill="1" applyBorder="1" applyAlignment="1">
      <alignment horizontal="center"/>
    </xf>
    <xf numFmtId="172" fontId="16" fillId="7" borderId="14" xfId="0" applyNumberFormat="1" applyFont="1" applyFill="1" applyBorder="1" applyAlignment="1">
      <alignment horizontal="center"/>
    </xf>
    <xf numFmtId="0" fontId="69" fillId="82" borderId="93" xfId="0" applyFont="1" applyFill="1" applyBorder="1" applyAlignment="1">
      <alignment horizontal="center"/>
    </xf>
    <xf numFmtId="0" fontId="69" fillId="0" borderId="0" xfId="0" applyFont="1"/>
    <xf numFmtId="0" fontId="16" fillId="7" borderId="43" xfId="0" applyFont="1" applyFill="1" applyBorder="1"/>
    <xf numFmtId="9" fontId="16" fillId="7" borderId="43" xfId="3" applyNumberFormat="1" applyFont="1" applyFill="1" applyBorder="1" applyAlignment="1">
      <alignment horizontal="right"/>
    </xf>
    <xf numFmtId="0" fontId="16" fillId="0" borderId="77" xfId="0" applyFont="1" applyBorder="1"/>
    <xf numFmtId="4" fontId="16" fillId="0" borderId="77" xfId="0" applyNumberFormat="1" applyFont="1" applyBorder="1" applyAlignment="1">
      <alignment horizontal="right"/>
    </xf>
    <xf numFmtId="170" fontId="16" fillId="6" borderId="72" xfId="0" applyNumberFormat="1" applyFont="1" applyFill="1" applyBorder="1" applyAlignment="1">
      <alignment horizontal="right"/>
    </xf>
    <xf numFmtId="3" fontId="16" fillId="0" borderId="98" xfId="0" applyNumberFormat="1" applyFont="1" applyBorder="1" applyAlignment="1">
      <alignment horizontal="right"/>
    </xf>
    <xf numFmtId="180" fontId="16" fillId="31" borderId="98" xfId="0" applyNumberFormat="1" applyFont="1" applyFill="1" applyBorder="1" applyAlignment="1">
      <alignment horizontal="right"/>
    </xf>
    <xf numFmtId="3" fontId="16" fillId="4" borderId="100" xfId="4" applyNumberFormat="1" applyFont="1" applyBorder="1" applyAlignment="1">
      <alignment horizontal="right" indent="1"/>
    </xf>
    <xf numFmtId="0" fontId="16" fillId="0" borderId="76" xfId="0" applyFont="1" applyBorder="1"/>
    <xf numFmtId="0" fontId="16" fillId="16" borderId="77" xfId="0" applyFont="1" applyFill="1" applyBorder="1"/>
    <xf numFmtId="0" fontId="16" fillId="7" borderId="56" xfId="0" applyFont="1" applyFill="1" applyBorder="1"/>
    <xf numFmtId="3" fontId="16" fillId="7" borderId="12" xfId="0" applyNumberFormat="1" applyFont="1" applyFill="1" applyBorder="1" applyAlignment="1">
      <alignment horizontal="right"/>
    </xf>
    <xf numFmtId="9" fontId="16" fillId="7" borderId="56" xfId="3" applyFont="1" applyFill="1" applyBorder="1" applyAlignment="1">
      <alignment horizontal="right"/>
    </xf>
    <xf numFmtId="169" fontId="16" fillId="7" borderId="11" xfId="0" applyNumberFormat="1" applyFont="1" applyFill="1" applyBorder="1"/>
    <xf numFmtId="172" fontId="16" fillId="0" borderId="98" xfId="3" applyNumberFormat="1" applyFont="1" applyBorder="1"/>
    <xf numFmtId="172" fontId="16" fillId="7" borderId="66" xfId="3" applyNumberFormat="1" applyFont="1" applyFill="1" applyBorder="1" applyAlignment="1">
      <alignment horizontal="center"/>
    </xf>
    <xf numFmtId="172" fontId="16" fillId="7" borderId="54" xfId="0" applyNumberFormat="1" applyFont="1" applyFill="1" applyBorder="1" applyAlignment="1">
      <alignment horizontal="center"/>
    </xf>
    <xf numFmtId="172" fontId="16" fillId="7" borderId="7" xfId="3" applyNumberFormat="1" applyFont="1" applyFill="1" applyBorder="1"/>
    <xf numFmtId="172" fontId="16" fillId="7" borderId="8" xfId="3" applyNumberFormat="1" applyFont="1" applyFill="1" applyBorder="1"/>
    <xf numFmtId="172" fontId="16" fillId="7" borderId="9" xfId="3" applyNumberFormat="1" applyFont="1" applyFill="1" applyBorder="1"/>
    <xf numFmtId="172" fontId="16" fillId="0" borderId="72" xfId="3" applyNumberFormat="1" applyFont="1" applyBorder="1"/>
    <xf numFmtId="172" fontId="16" fillId="0" borderId="96" xfId="3" applyNumberFormat="1" applyFont="1" applyBorder="1"/>
    <xf numFmtId="4" fontId="16" fillId="7" borderId="59" xfId="0" applyNumberFormat="1" applyFont="1" applyFill="1" applyBorder="1" applyAlignment="1">
      <alignment horizontal="right"/>
    </xf>
    <xf numFmtId="4" fontId="16" fillId="7" borderId="63" xfId="0" applyNumberFormat="1" applyFont="1" applyFill="1" applyBorder="1" applyAlignment="1">
      <alignment horizontal="right"/>
    </xf>
    <xf numFmtId="4" fontId="16" fillId="0" borderId="76" xfId="0" applyNumberFormat="1" applyFont="1" applyBorder="1" applyAlignment="1">
      <alignment horizontal="right"/>
    </xf>
    <xf numFmtId="4" fontId="21" fillId="7" borderId="51" xfId="0" applyNumberFormat="1" applyFont="1" applyFill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6" fillId="7" borderId="8" xfId="0" applyNumberFormat="1" applyFont="1" applyFill="1" applyBorder="1" applyAlignment="1">
      <alignment horizontal="right"/>
    </xf>
    <xf numFmtId="9" fontId="16" fillId="7" borderId="43" xfId="3" applyFont="1" applyFill="1" applyBorder="1" applyAlignment="1">
      <alignment horizontal="right"/>
    </xf>
    <xf numFmtId="3" fontId="16" fillId="7" borderId="66" xfId="0" applyNumberFormat="1" applyFont="1" applyFill="1" applyBorder="1"/>
    <xf numFmtId="3" fontId="16" fillId="7" borderId="63" xfId="0" applyNumberFormat="1" applyFont="1" applyFill="1" applyBorder="1"/>
    <xf numFmtId="3" fontId="16" fillId="7" borderId="7" xfId="0" applyNumberFormat="1" applyFont="1" applyFill="1" applyBorder="1"/>
    <xf numFmtId="3" fontId="16" fillId="7" borderId="62" xfId="0" applyNumberFormat="1" applyFont="1" applyFill="1" applyBorder="1"/>
    <xf numFmtId="3" fontId="16" fillId="7" borderId="9" xfId="0" applyNumberFormat="1" applyFont="1" applyFill="1" applyBorder="1"/>
    <xf numFmtId="173" fontId="16" fillId="7" borderId="66" xfId="0" applyNumberFormat="1" applyFont="1" applyFill="1" applyBorder="1"/>
    <xf numFmtId="173" fontId="16" fillId="7" borderId="8" xfId="0" applyNumberFormat="1" applyFont="1" applyFill="1" applyBorder="1"/>
    <xf numFmtId="3" fontId="16" fillId="7" borderId="8" xfId="0" applyNumberFormat="1" applyFont="1" applyFill="1" applyBorder="1"/>
    <xf numFmtId="3" fontId="16" fillId="7" borderId="6" xfId="0" applyNumberFormat="1" applyFont="1" applyFill="1" applyBorder="1"/>
    <xf numFmtId="4" fontId="16" fillId="7" borderId="43" xfId="0" applyNumberFormat="1" applyFont="1" applyFill="1" applyBorder="1" applyAlignment="1">
      <alignment vertical="center"/>
    </xf>
    <xf numFmtId="9" fontId="16" fillId="7" borderId="43" xfId="3" applyFont="1" applyFill="1" applyBorder="1" applyAlignment="1">
      <alignment vertical="center"/>
    </xf>
    <xf numFmtId="3" fontId="16" fillId="0" borderId="72" xfId="0" applyNumberFormat="1" applyFont="1" applyBorder="1"/>
    <xf numFmtId="3" fontId="16" fillId="0" borderId="96" xfId="0" applyNumberFormat="1" applyFont="1" applyBorder="1"/>
    <xf numFmtId="4" fontId="16" fillId="0" borderId="77" xfId="0" applyNumberFormat="1" applyFont="1" applyBorder="1" applyAlignment="1">
      <alignment vertical="center"/>
    </xf>
    <xf numFmtId="172" fontId="16" fillId="0" borderId="77" xfId="3" applyNumberFormat="1" applyFont="1" applyBorder="1" applyAlignment="1">
      <alignment vertical="center"/>
    </xf>
    <xf numFmtId="3" fontId="25" fillId="7" borderId="72" xfId="0" applyNumberFormat="1" applyFont="1" applyFill="1" applyBorder="1"/>
    <xf numFmtId="3" fontId="25" fillId="7" borderId="96" xfId="0" applyNumberFormat="1" applyFont="1" applyFill="1" applyBorder="1"/>
    <xf numFmtId="172" fontId="16" fillId="0" borderId="77" xfId="3" quotePrefix="1" applyNumberFormat="1" applyFont="1" applyBorder="1" applyAlignment="1">
      <alignment vertical="center"/>
    </xf>
    <xf numFmtId="3" fontId="16" fillId="7" borderId="65" xfId="0" applyNumberFormat="1" applyFont="1" applyFill="1" applyBorder="1"/>
    <xf numFmtId="170" fontId="16" fillId="7" borderId="65" xfId="0" applyNumberFormat="1" applyFont="1" applyFill="1" applyBorder="1"/>
    <xf numFmtId="9" fontId="16" fillId="7" borderId="57" xfId="3" applyNumberFormat="1" applyFont="1" applyFill="1" applyBorder="1"/>
    <xf numFmtId="3" fontId="16" fillId="7" borderId="57" xfId="0" applyNumberFormat="1" applyFont="1" applyFill="1" applyBorder="1"/>
    <xf numFmtId="3" fontId="16" fillId="7" borderId="28" xfId="0" applyNumberFormat="1" applyFont="1" applyFill="1" applyBorder="1"/>
    <xf numFmtId="3" fontId="16" fillId="0" borderId="101" xfId="0" applyNumberFormat="1" applyFont="1" applyBorder="1"/>
    <xf numFmtId="3" fontId="25" fillId="7" borderId="101" xfId="0" applyNumberFormat="1" applyFont="1" applyFill="1" applyBorder="1"/>
    <xf numFmtId="3" fontId="16" fillId="0" borderId="99" xfId="0" applyNumberFormat="1" applyFont="1" applyBorder="1"/>
    <xf numFmtId="3" fontId="16" fillId="7" borderId="27" xfId="0" applyNumberFormat="1" applyFont="1" applyFill="1" applyBorder="1"/>
    <xf numFmtId="173" fontId="16" fillId="7" borderId="7" xfId="0" applyNumberFormat="1" applyFont="1" applyFill="1" applyBorder="1"/>
    <xf numFmtId="173" fontId="16" fillId="0" borderId="39" xfId="0" applyNumberFormat="1" applyFont="1" applyBorder="1"/>
    <xf numFmtId="170" fontId="16" fillId="7" borderId="30" xfId="0" applyNumberFormat="1" applyFont="1" applyFill="1" applyBorder="1"/>
    <xf numFmtId="4" fontId="16" fillId="7" borderId="62" xfId="0" applyNumberFormat="1" applyFont="1" applyFill="1" applyBorder="1" applyAlignment="1">
      <alignment vertical="center"/>
    </xf>
    <xf numFmtId="4" fontId="16" fillId="0" borderId="97" xfId="0" applyNumberFormat="1" applyFont="1" applyBorder="1" applyAlignment="1">
      <alignment vertical="center"/>
    </xf>
    <xf numFmtId="9" fontId="16" fillId="7" borderId="63" xfId="3" applyFont="1" applyFill="1" applyBorder="1" applyAlignment="1">
      <alignment vertical="center"/>
    </xf>
    <xf numFmtId="172" fontId="16" fillId="0" borderId="100" xfId="3" applyNumberFormat="1" applyFont="1" applyBorder="1" applyAlignment="1">
      <alignment vertical="center"/>
    </xf>
    <xf numFmtId="10" fontId="16" fillId="7" borderId="28" xfId="3" applyNumberFormat="1" applyFont="1" applyFill="1" applyBorder="1"/>
    <xf numFmtId="3" fontId="16" fillId="7" borderId="99" xfId="0" applyNumberFormat="1" applyFont="1" applyFill="1" applyBorder="1"/>
    <xf numFmtId="4" fontId="16" fillId="0" borderId="31" xfId="0" applyNumberFormat="1" applyFont="1" applyBorder="1"/>
    <xf numFmtId="4" fontId="16" fillId="0" borderId="55" xfId="0" applyNumberFormat="1" applyFont="1" applyBorder="1"/>
    <xf numFmtId="4" fontId="16" fillId="0" borderId="28" xfId="0" applyNumberFormat="1" applyFont="1" applyBorder="1"/>
    <xf numFmtId="4" fontId="16" fillId="25" borderId="30" xfId="0" applyNumberFormat="1" applyFont="1" applyFill="1" applyBorder="1"/>
    <xf numFmtId="0" fontId="4" fillId="16" borderId="76" xfId="0" applyFont="1" applyFill="1" applyBorder="1"/>
    <xf numFmtId="4" fontId="16" fillId="16" borderId="101" xfId="0" applyNumberFormat="1" applyFont="1" applyFill="1" applyBorder="1"/>
    <xf numFmtId="4" fontId="16" fillId="0" borderId="65" xfId="0" applyNumberFormat="1" applyFont="1" applyBorder="1"/>
    <xf numFmtId="4" fontId="16" fillId="7" borderId="8" xfId="0" applyNumberFormat="1" applyFont="1" applyFill="1" applyBorder="1"/>
    <xf numFmtId="4" fontId="16" fillId="0" borderId="98" xfId="0" applyNumberFormat="1" applyFont="1" applyBorder="1"/>
    <xf numFmtId="3" fontId="16" fillId="9" borderId="99" xfId="0" applyNumberFormat="1" applyFont="1" applyFill="1" applyBorder="1"/>
    <xf numFmtId="3" fontId="16" fillId="14" borderId="42" xfId="0" applyNumberFormat="1" applyFont="1" applyFill="1" applyBorder="1"/>
    <xf numFmtId="4" fontId="16" fillId="25" borderId="65" xfId="0" applyNumberFormat="1" applyFont="1" applyFill="1" applyBorder="1"/>
    <xf numFmtId="3" fontId="16" fillId="7" borderId="59" xfId="0" applyNumberFormat="1" applyFont="1" applyFill="1" applyBorder="1"/>
    <xf numFmtId="176" fontId="16" fillId="7" borderId="8" xfId="9" applyNumberFormat="1" applyFont="1" applyFill="1" applyBorder="1"/>
    <xf numFmtId="3" fontId="16" fillId="16" borderId="98" xfId="0" applyNumberFormat="1" applyFont="1" applyFill="1" applyBorder="1"/>
    <xf numFmtId="3" fontId="16" fillId="0" borderId="98" xfId="0" applyNumberFormat="1" applyFont="1" applyBorder="1"/>
    <xf numFmtId="176" fontId="16" fillId="0" borderId="98" xfId="9" applyNumberFormat="1" applyFont="1" applyFill="1" applyBorder="1"/>
    <xf numFmtId="4" fontId="16" fillId="0" borderId="45" xfId="0" applyNumberFormat="1" applyFont="1" applyBorder="1"/>
    <xf numFmtId="4" fontId="16" fillId="14" borderId="45" xfId="0" applyNumberFormat="1" applyFont="1" applyFill="1" applyBorder="1"/>
    <xf numFmtId="4" fontId="16" fillId="14" borderId="65" xfId="0" applyNumberFormat="1" applyFont="1" applyFill="1" applyBorder="1"/>
    <xf numFmtId="3" fontId="16" fillId="0" borderId="27" xfId="0" applyNumberFormat="1" applyFont="1" applyBorder="1"/>
    <xf numFmtId="4" fontId="16" fillId="0" borderId="57" xfId="0" applyNumberFormat="1" applyFont="1" applyBorder="1"/>
    <xf numFmtId="167" fontId="16" fillId="49" borderId="45" xfId="0" applyNumberFormat="1" applyFont="1" applyFill="1" applyBorder="1"/>
    <xf numFmtId="3" fontId="16" fillId="0" borderId="65" xfId="0" applyNumberFormat="1" applyFont="1" applyBorder="1"/>
    <xf numFmtId="3" fontId="16" fillId="7" borderId="43" xfId="0" applyNumberFormat="1" applyFont="1" applyFill="1" applyBorder="1"/>
    <xf numFmtId="3" fontId="16" fillId="9" borderId="41" xfId="0" applyNumberFormat="1" applyFont="1" applyFill="1" applyBorder="1"/>
    <xf numFmtId="170" fontId="16" fillId="7" borderId="29" xfId="0" applyNumberFormat="1" applyFont="1" applyFill="1" applyBorder="1"/>
    <xf numFmtId="170" fontId="16" fillId="0" borderId="26" xfId="0" applyNumberFormat="1" applyFont="1" applyBorder="1"/>
    <xf numFmtId="169" fontId="16" fillId="0" borderId="27" xfId="0" applyNumberFormat="1" applyFont="1" applyBorder="1"/>
    <xf numFmtId="4" fontId="16" fillId="7" borderId="59" xfId="0" applyNumberFormat="1" applyFont="1" applyFill="1" applyBorder="1"/>
    <xf numFmtId="4" fontId="16" fillId="7" borderId="6" xfId="0" applyNumberFormat="1" applyFont="1" applyFill="1" applyBorder="1"/>
    <xf numFmtId="170" fontId="16" fillId="7" borderId="9" xfId="0" applyNumberFormat="1" applyFont="1" applyFill="1" applyBorder="1"/>
    <xf numFmtId="170" fontId="16" fillId="0" borderId="29" xfId="0" applyNumberFormat="1" applyFont="1" applyBorder="1"/>
    <xf numFmtId="4" fontId="16" fillId="7" borderId="66" xfId="0" applyNumberFormat="1" applyFont="1" applyFill="1" applyBorder="1"/>
    <xf numFmtId="167" fontId="16" fillId="7" borderId="66" xfId="0" applyNumberFormat="1" applyFont="1" applyFill="1" applyBorder="1"/>
    <xf numFmtId="170" fontId="16" fillId="7" borderId="59" xfId="0" applyNumberFormat="1" applyFont="1" applyFill="1" applyBorder="1"/>
    <xf numFmtId="9" fontId="16" fillId="7" borderId="62" xfId="3" applyFont="1" applyFill="1" applyBorder="1"/>
    <xf numFmtId="0" fontId="4" fillId="7" borderId="51" xfId="0" applyFont="1" applyFill="1" applyBorder="1"/>
    <xf numFmtId="3" fontId="16" fillId="7" borderId="12" xfId="0" applyNumberFormat="1" applyFont="1" applyFill="1" applyBorder="1"/>
    <xf numFmtId="4" fontId="16" fillId="7" borderId="13" xfId="0" applyNumberFormat="1" applyFont="1" applyFill="1" applyBorder="1"/>
    <xf numFmtId="3" fontId="16" fillId="7" borderId="14" xfId="0" applyNumberFormat="1" applyFont="1" applyFill="1" applyBorder="1"/>
    <xf numFmtId="4" fontId="16" fillId="7" borderId="54" xfId="0" applyNumberFormat="1" applyFont="1" applyFill="1" applyBorder="1"/>
    <xf numFmtId="3" fontId="16" fillId="7" borderId="11" xfId="0" applyNumberFormat="1" applyFont="1" applyFill="1" applyBorder="1"/>
    <xf numFmtId="3" fontId="16" fillId="7" borderId="13" xfId="0" applyNumberFormat="1" applyFont="1" applyFill="1" applyBorder="1"/>
    <xf numFmtId="3" fontId="25" fillId="7" borderId="13" xfId="0" applyNumberFormat="1" applyFont="1" applyFill="1" applyBorder="1"/>
    <xf numFmtId="3" fontId="16" fillId="7" borderId="54" xfId="0" applyNumberFormat="1" applyFont="1" applyFill="1" applyBorder="1"/>
    <xf numFmtId="166" fontId="16" fillId="7" borderId="54" xfId="0" applyNumberFormat="1" applyFont="1" applyFill="1" applyBorder="1"/>
    <xf numFmtId="4" fontId="16" fillId="7" borderId="12" xfId="0" applyNumberFormat="1" applyFont="1" applyFill="1" applyBorder="1"/>
    <xf numFmtId="3" fontId="16" fillId="7" borderId="56" xfId="0" applyNumberFormat="1" applyFont="1" applyFill="1" applyBorder="1"/>
    <xf numFmtId="4" fontId="16" fillId="7" borderId="11" xfId="0" applyNumberFormat="1" applyFont="1" applyFill="1" applyBorder="1"/>
    <xf numFmtId="3" fontId="16" fillId="7" borderId="75" xfId="0" applyNumberFormat="1" applyFont="1" applyFill="1" applyBorder="1"/>
    <xf numFmtId="172" fontId="16" fillId="7" borderId="75" xfId="3" applyNumberFormat="1" applyFont="1" applyFill="1" applyBorder="1"/>
    <xf numFmtId="170" fontId="16" fillId="7" borderId="14" xfId="0" applyNumberFormat="1" applyFont="1" applyFill="1" applyBorder="1"/>
    <xf numFmtId="170" fontId="16" fillId="0" borderId="20" xfId="0" applyNumberFormat="1" applyFont="1" applyBorder="1"/>
    <xf numFmtId="170" fontId="16" fillId="7" borderId="11" xfId="0" applyNumberFormat="1" applyFont="1" applyFill="1" applyBorder="1"/>
    <xf numFmtId="1" fontId="16" fillId="0" borderId="72" xfId="0" applyNumberFormat="1" applyFont="1" applyBorder="1"/>
    <xf numFmtId="1" fontId="16" fillId="0" borderId="96" xfId="0" applyNumberFormat="1" applyFont="1" applyBorder="1"/>
    <xf numFmtId="1" fontId="16" fillId="45" borderId="72" xfId="0" applyNumberFormat="1" applyFont="1" applyFill="1" applyBorder="1"/>
    <xf numFmtId="1" fontId="4" fillId="16" borderId="96" xfId="0" applyNumberFormat="1" applyFont="1" applyFill="1" applyBorder="1"/>
    <xf numFmtId="4" fontId="16" fillId="16" borderId="72" xfId="0" applyNumberFormat="1" applyFont="1" applyFill="1" applyBorder="1"/>
    <xf numFmtId="3" fontId="16" fillId="45" borderId="96" xfId="0" applyNumberFormat="1" applyFont="1" applyFill="1" applyBorder="1"/>
    <xf numFmtId="4" fontId="16" fillId="45" borderId="72" xfId="0" applyNumberFormat="1" applyFont="1" applyFill="1" applyBorder="1"/>
    <xf numFmtId="3" fontId="4" fillId="16" borderId="96" xfId="0" applyNumberFormat="1" applyFont="1" applyFill="1" applyBorder="1"/>
    <xf numFmtId="169" fontId="16" fillId="7" borderId="7" xfId="8" applyNumberFormat="1" applyFont="1" applyFill="1" applyBorder="1" applyAlignment="1">
      <alignment horizontal="right" indent="1"/>
    </xf>
    <xf numFmtId="182" fontId="16" fillId="7" borderId="9" xfId="143" applyNumberFormat="1" applyFont="1" applyFill="1" applyBorder="1"/>
    <xf numFmtId="169" fontId="16" fillId="7" borderId="8" xfId="8" applyNumberFormat="1" applyFont="1" applyFill="1" applyBorder="1" applyAlignment="1">
      <alignment horizontal="right" indent="1"/>
    </xf>
    <xf numFmtId="169" fontId="16" fillId="7" borderId="30" xfId="8" applyNumberFormat="1" applyFont="1" applyFill="1" applyBorder="1" applyAlignment="1">
      <alignment horizontal="right" indent="1"/>
    </xf>
    <xf numFmtId="182" fontId="16" fillId="7" borderId="32" xfId="143" applyNumberFormat="1" applyFont="1" applyFill="1" applyBorder="1"/>
    <xf numFmtId="169" fontId="16" fillId="7" borderId="31" xfId="8" applyNumberFormat="1" applyFont="1" applyFill="1" applyBorder="1" applyAlignment="1">
      <alignment horizontal="right" indent="1"/>
    </xf>
    <xf numFmtId="0" fontId="16" fillId="0" borderId="0" xfId="8" applyFont="1" applyFill="1" applyAlignment="1">
      <alignment horizontal="center"/>
    </xf>
    <xf numFmtId="0" fontId="16" fillId="0" borderId="0" xfId="0" applyFont="1" applyBorder="1"/>
    <xf numFmtId="2" fontId="16" fillId="7" borderId="0" xfId="0" applyNumberFormat="1" applyFont="1" applyFill="1"/>
    <xf numFmtId="0" fontId="16" fillId="7" borderId="77" xfId="0" applyFont="1" applyFill="1" applyBorder="1" applyAlignment="1">
      <alignment horizontal="left"/>
    </xf>
    <xf numFmtId="2" fontId="16" fillId="0" borderId="0" xfId="0" applyNumberFormat="1" applyFont="1"/>
    <xf numFmtId="0" fontId="16" fillId="0" borderId="77" xfId="0" applyFont="1" applyBorder="1" applyAlignment="1">
      <alignment horizontal="left"/>
    </xf>
    <xf numFmtId="0" fontId="16" fillId="0" borderId="77" xfId="0" applyFont="1" applyBorder="1" applyAlignment="1">
      <alignment horizontal="left" vertical="top"/>
    </xf>
    <xf numFmtId="0" fontId="16" fillId="0" borderId="77" xfId="0" applyFont="1" applyBorder="1" applyAlignment="1">
      <alignment horizontal="left" vertical="center"/>
    </xf>
    <xf numFmtId="0" fontId="16" fillId="0" borderId="77" xfId="0" applyFont="1" applyBorder="1" applyAlignment="1">
      <alignment horizontal="left" wrapText="1"/>
    </xf>
    <xf numFmtId="0" fontId="16" fillId="7" borderId="102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right" indent="1"/>
    </xf>
    <xf numFmtId="4" fontId="16" fillId="0" borderId="25" xfId="0" applyNumberFormat="1" applyFont="1" applyBorder="1" applyAlignment="1">
      <alignment horizontal="right" indent="1"/>
    </xf>
    <xf numFmtId="4" fontId="16" fillId="0" borderId="19" xfId="0" applyNumberFormat="1" applyFont="1" applyBorder="1" applyAlignment="1">
      <alignment horizontal="right" indent="1"/>
    </xf>
    <xf numFmtId="170" fontId="16" fillId="0" borderId="0" xfId="0" applyNumberFormat="1" applyFont="1" applyAlignment="1">
      <alignment horizontal="right" indent="1"/>
    </xf>
    <xf numFmtId="0" fontId="16" fillId="0" borderId="19" xfId="0" applyFont="1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84" fontId="16" fillId="7" borderId="77" xfId="0" applyNumberFormat="1" applyFont="1" applyFill="1" applyBorder="1" applyAlignment="1">
      <alignment horizontal="right"/>
    </xf>
    <xf numFmtId="184" fontId="16" fillId="0" borderId="77" xfId="0" applyNumberFormat="1" applyFont="1" applyFill="1" applyBorder="1" applyAlignment="1">
      <alignment horizontal="right"/>
    </xf>
    <xf numFmtId="184" fontId="16" fillId="7" borderId="102" xfId="0" applyNumberFormat="1" applyFont="1" applyFill="1" applyBorder="1" applyAlignment="1">
      <alignment horizontal="right"/>
    </xf>
    <xf numFmtId="184" fontId="16" fillId="0" borderId="19" xfId="0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173" fontId="16" fillId="0" borderId="41" xfId="0" applyNumberFormat="1" applyFont="1" applyFill="1" applyBorder="1" applyAlignment="1">
      <alignment horizontal="right" indent="1"/>
    </xf>
    <xf numFmtId="173" fontId="16" fillId="0" borderId="42" xfId="0" applyNumberFormat="1" applyFont="1" applyFill="1" applyBorder="1" applyAlignment="1">
      <alignment horizontal="right" indent="1"/>
    </xf>
    <xf numFmtId="173" fontId="16" fillId="0" borderId="77" xfId="0" applyNumberFormat="1" applyFont="1" applyBorder="1" applyAlignment="1">
      <alignment horizontal="right" indent="1"/>
    </xf>
    <xf numFmtId="173" fontId="16" fillId="0" borderId="76" xfId="0" applyNumberFormat="1" applyFont="1" applyBorder="1" applyAlignment="1">
      <alignment horizontal="right" indent="1"/>
    </xf>
    <xf numFmtId="2" fontId="16" fillId="7" borderId="43" xfId="0" applyNumberFormat="1" applyFont="1" applyFill="1" applyBorder="1" applyAlignment="1">
      <alignment horizontal="right" indent="1"/>
    </xf>
    <xf numFmtId="2" fontId="16" fillId="7" borderId="56" xfId="0" applyNumberFormat="1" applyFont="1" applyFill="1" applyBorder="1" applyAlignment="1">
      <alignment horizontal="right" indent="1"/>
    </xf>
    <xf numFmtId="2" fontId="16" fillId="7" borderId="62" xfId="0" applyNumberFormat="1" applyFont="1" applyFill="1" applyBorder="1" applyAlignment="1">
      <alignment horizontal="right" indent="1"/>
    </xf>
    <xf numFmtId="2" fontId="16" fillId="7" borderId="59" xfId="0" applyNumberFormat="1" applyFont="1" applyFill="1" applyBorder="1" applyAlignment="1">
      <alignment horizontal="right" indent="1"/>
    </xf>
    <xf numFmtId="2" fontId="16" fillId="7" borderId="37" xfId="0" applyNumberFormat="1" applyFont="1" applyFill="1" applyBorder="1"/>
    <xf numFmtId="0" fontId="16" fillId="7" borderId="43" xfId="0" applyFont="1" applyFill="1" applyBorder="1" applyAlignment="1">
      <alignment horizontal="left"/>
    </xf>
    <xf numFmtId="184" fontId="16" fillId="7" borderId="43" xfId="0" applyNumberFormat="1" applyFont="1" applyFill="1" applyBorder="1" applyAlignment="1">
      <alignment horizontal="right"/>
    </xf>
    <xf numFmtId="2" fontId="16" fillId="0" borderId="0" xfId="0" applyNumberFormat="1" applyFont="1" applyBorder="1"/>
    <xf numFmtId="2" fontId="16" fillId="7" borderId="57" xfId="0" applyNumberFormat="1" applyFont="1" applyFill="1" applyBorder="1" applyAlignment="1">
      <alignment horizontal="right" indent="1"/>
    </xf>
    <xf numFmtId="2" fontId="16" fillId="7" borderId="27" xfId="0" applyNumberFormat="1" applyFont="1" applyFill="1" applyBorder="1" applyAlignment="1">
      <alignment horizontal="right" indent="1"/>
    </xf>
    <xf numFmtId="2" fontId="16" fillId="7" borderId="51" xfId="0" applyNumberFormat="1" applyFont="1" applyFill="1" applyBorder="1" applyAlignment="1">
      <alignment horizontal="right" indent="1"/>
    </xf>
    <xf numFmtId="2" fontId="16" fillId="7" borderId="27" xfId="0" applyNumberFormat="1" applyFont="1" applyFill="1" applyBorder="1"/>
    <xf numFmtId="0" fontId="16" fillId="7" borderId="56" xfId="0" applyFont="1" applyFill="1" applyBorder="1" applyAlignment="1">
      <alignment horizontal="left"/>
    </xf>
    <xf numFmtId="184" fontId="16" fillId="7" borderId="56" xfId="0" applyNumberFormat="1" applyFont="1" applyFill="1" applyBorder="1" applyAlignment="1">
      <alignment horizontal="right"/>
    </xf>
    <xf numFmtId="0" fontId="4" fillId="7" borderId="0" xfId="0" applyFont="1" applyFill="1"/>
    <xf numFmtId="180" fontId="4" fillId="7" borderId="98" xfId="0" applyNumberFormat="1" applyFont="1" applyFill="1" applyBorder="1"/>
    <xf numFmtId="180" fontId="4" fillId="0" borderId="98" xfId="0" applyNumberFormat="1" applyFont="1" applyBorder="1"/>
    <xf numFmtId="180" fontId="4" fillId="0" borderId="104" xfId="0" applyNumberFormat="1" applyFont="1" applyBorder="1"/>
    <xf numFmtId="0" fontId="4" fillId="0" borderId="0" xfId="0" applyFont="1" applyAlignment="1">
      <alignment horizontal="right"/>
    </xf>
    <xf numFmtId="171" fontId="4" fillId="0" borderId="0" xfId="0" applyNumberFormat="1" applyFont="1"/>
    <xf numFmtId="0" fontId="4" fillId="0" borderId="0" xfId="3" applyNumberFormat="1" applyFont="1"/>
    <xf numFmtId="180" fontId="4" fillId="16" borderId="98" xfId="0" applyNumberFormat="1" applyFont="1" applyFill="1" applyBorder="1"/>
    <xf numFmtId="0" fontId="16" fillId="0" borderId="7" xfId="0" applyFont="1" applyBorder="1"/>
    <xf numFmtId="0" fontId="16" fillId="0" borderId="8" xfId="0" applyFont="1" applyBorder="1"/>
    <xf numFmtId="180" fontId="4" fillId="7" borderId="72" xfId="0" applyNumberFormat="1" applyFont="1" applyFill="1" applyBorder="1"/>
    <xf numFmtId="180" fontId="4" fillId="16" borderId="72" xfId="0" applyNumberFormat="1" applyFont="1" applyFill="1" applyBorder="1"/>
    <xf numFmtId="180" fontId="4" fillId="16" borderId="96" xfId="0" applyNumberFormat="1" applyFont="1" applyFill="1" applyBorder="1"/>
    <xf numFmtId="180" fontId="16" fillId="7" borderId="12" xfId="0" applyNumberFormat="1" applyFont="1" applyFill="1" applyBorder="1"/>
    <xf numFmtId="180" fontId="16" fillId="7" borderId="13" xfId="0" applyNumberFormat="1" applyFont="1" applyFill="1" applyBorder="1"/>
    <xf numFmtId="180" fontId="16" fillId="7" borderId="14" xfId="0" applyNumberFormat="1" applyFont="1" applyFill="1" applyBorder="1"/>
    <xf numFmtId="0" fontId="4" fillId="0" borderId="9" xfId="0" applyFont="1" applyBorder="1" applyAlignment="1">
      <alignment horizontal="center"/>
    </xf>
    <xf numFmtId="180" fontId="16" fillId="7" borderId="96" xfId="0" applyNumberFormat="1" applyFont="1" applyFill="1" applyBorder="1"/>
    <xf numFmtId="180" fontId="16" fillId="16" borderId="96" xfId="0" applyNumberFormat="1" applyFont="1" applyFill="1" applyBorder="1"/>
    <xf numFmtId="173" fontId="4" fillId="0" borderId="98" xfId="0" applyNumberFormat="1" applyFont="1" applyBorder="1"/>
    <xf numFmtId="173" fontId="16" fillId="32" borderId="96" xfId="0" applyNumberFormat="1" applyFont="1" applyFill="1" applyBorder="1" applyAlignment="1">
      <alignment horizontal="right" indent="1"/>
    </xf>
    <xf numFmtId="173" fontId="4" fillId="0" borderId="72" xfId="0" applyNumberFormat="1" applyFont="1" applyBorder="1"/>
    <xf numFmtId="173" fontId="16" fillId="7" borderId="12" xfId="0" applyNumberFormat="1" applyFont="1" applyFill="1" applyBorder="1"/>
    <xf numFmtId="173" fontId="16" fillId="7" borderId="13" xfId="0" applyNumberFormat="1" applyFont="1" applyFill="1" applyBorder="1"/>
    <xf numFmtId="173" fontId="16" fillId="7" borderId="14" xfId="0" applyNumberFormat="1" applyFont="1" applyFill="1" applyBorder="1" applyAlignment="1">
      <alignment horizontal="right" indent="1"/>
    </xf>
    <xf numFmtId="173" fontId="4" fillId="7" borderId="39" xfId="0" applyNumberFormat="1" applyFont="1" applyFill="1" applyBorder="1"/>
    <xf numFmtId="173" fontId="4" fillId="7" borderId="20" xfId="0" applyNumberFormat="1" applyFont="1" applyFill="1" applyBorder="1"/>
    <xf numFmtId="173" fontId="16" fillId="7" borderId="40" xfId="0" applyNumberFormat="1" applyFont="1" applyFill="1" applyBorder="1" applyAlignment="1">
      <alignment horizontal="right" indent="1"/>
    </xf>
    <xf numFmtId="180" fontId="4" fillId="7" borderId="7" xfId="0" applyNumberFormat="1" applyFont="1" applyFill="1" applyBorder="1"/>
    <xf numFmtId="180" fontId="4" fillId="7" borderId="8" xfId="0" applyNumberFormat="1" applyFont="1" applyFill="1" applyBorder="1"/>
    <xf numFmtId="180" fontId="4" fillId="7" borderId="8" xfId="0" applyNumberFormat="1" applyFont="1" applyFill="1" applyBorder="1" applyAlignment="1">
      <alignment horizontal="center"/>
    </xf>
    <xf numFmtId="180" fontId="4" fillId="7" borderId="9" xfId="0" applyNumberFormat="1" applyFont="1" applyFill="1" applyBorder="1"/>
    <xf numFmtId="180" fontId="4" fillId="0" borderId="72" xfId="0" applyNumberFormat="1" applyFont="1" applyBorder="1"/>
    <xf numFmtId="180" fontId="4" fillId="0" borderId="96" xfId="0" applyNumberFormat="1" applyFont="1" applyBorder="1"/>
    <xf numFmtId="180" fontId="16" fillId="0" borderId="72" xfId="0" applyNumberFormat="1" applyFont="1" applyBorder="1"/>
    <xf numFmtId="180" fontId="4" fillId="0" borderId="0" xfId="0" applyNumberFormat="1" applyFont="1" applyBorder="1"/>
    <xf numFmtId="0" fontId="16" fillId="28" borderId="7" xfId="0" applyFont="1" applyFill="1" applyBorder="1"/>
    <xf numFmtId="0" fontId="16" fillId="28" borderId="9" xfId="0" applyFont="1" applyFill="1" applyBorder="1"/>
    <xf numFmtId="177" fontId="16" fillId="16" borderId="72" xfId="1" applyNumberFormat="1" applyFont="1" applyFill="1" applyBorder="1" applyAlignment="1"/>
    <xf numFmtId="177" fontId="16" fillId="16" borderId="96" xfId="1" applyNumberFormat="1" applyFont="1" applyFill="1" applyBorder="1" applyAlignment="1"/>
    <xf numFmtId="0" fontId="16" fillId="0" borderId="42" xfId="0" applyFont="1" applyBorder="1"/>
    <xf numFmtId="0" fontId="16" fillId="7" borderId="43" xfId="0" applyFont="1" applyFill="1" applyBorder="1" applyAlignment="1">
      <alignment horizontal="left" indent="1"/>
    </xf>
    <xf numFmtId="0" fontId="16" fillId="0" borderId="77" xfId="0" applyFont="1" applyBorder="1" applyAlignment="1">
      <alignment horizontal="left" indent="1"/>
    </xf>
    <xf numFmtId="0" fontId="16" fillId="7" borderId="56" xfId="0" applyFont="1" applyFill="1" applyBorder="1" applyAlignment="1">
      <alignment horizontal="left" indent="1"/>
    </xf>
    <xf numFmtId="0" fontId="16" fillId="15" borderId="60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177" fontId="16" fillId="0" borderId="30" xfId="1" applyNumberFormat="1" applyFont="1" applyBorder="1" applyAlignment="1"/>
    <xf numFmtId="177" fontId="16" fillId="0" borderId="32" xfId="1" applyNumberFormat="1" applyFont="1" applyBorder="1" applyAlignment="1"/>
    <xf numFmtId="177" fontId="16" fillId="7" borderId="7" xfId="1" applyNumberFormat="1" applyFont="1" applyFill="1" applyBorder="1" applyAlignment="1"/>
    <xf numFmtId="177" fontId="16" fillId="7" borderId="9" xfId="1" applyNumberFormat="1" applyFont="1" applyFill="1" applyBorder="1" applyAlignment="1"/>
    <xf numFmtId="177" fontId="16" fillId="7" borderId="12" xfId="1" applyNumberFormat="1" applyFont="1" applyFill="1" applyBorder="1" applyAlignment="1"/>
    <xf numFmtId="177" fontId="16" fillId="7" borderId="14" xfId="1" applyNumberFormat="1" applyFont="1" applyFill="1" applyBorder="1" applyAlignment="1"/>
    <xf numFmtId="170" fontId="16" fillId="7" borderId="7" xfId="0" applyNumberFormat="1" applyFont="1" applyFill="1" applyBorder="1"/>
    <xf numFmtId="170" fontId="16" fillId="0" borderId="72" xfId="0" applyNumberFormat="1" applyFont="1" applyBorder="1"/>
    <xf numFmtId="173" fontId="16" fillId="0" borderId="72" xfId="0" applyNumberFormat="1" applyFont="1" applyBorder="1"/>
    <xf numFmtId="170" fontId="16" fillId="16" borderId="10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80" fontId="4" fillId="7" borderId="39" xfId="0" applyNumberFormat="1" applyFont="1" applyFill="1" applyBorder="1"/>
    <xf numFmtId="180" fontId="4" fillId="7" borderId="20" xfId="0" applyNumberFormat="1" applyFont="1" applyFill="1" applyBorder="1"/>
    <xf numFmtId="180" fontId="4" fillId="7" borderId="40" xfId="0" applyNumberFormat="1" applyFont="1" applyFill="1" applyBorder="1"/>
    <xf numFmtId="0" fontId="16" fillId="0" borderId="2" xfId="0" applyFont="1" applyBorder="1"/>
    <xf numFmtId="0" fontId="16" fillId="0" borderId="3" xfId="0" applyFont="1" applyBorder="1"/>
    <xf numFmtId="0" fontId="16" fillId="0" borderId="33" xfId="0" applyFont="1" applyBorder="1"/>
    <xf numFmtId="170" fontId="16" fillId="7" borderId="66" xfId="0" applyNumberFormat="1" applyFont="1" applyFill="1" applyBorder="1"/>
    <xf numFmtId="170" fontId="16" fillId="7" borderId="54" xfId="0" applyNumberFormat="1" applyFont="1" applyFill="1" applyBorder="1"/>
    <xf numFmtId="3" fontId="16" fillId="16" borderId="5" xfId="0" applyNumberFormat="1" applyFont="1" applyFill="1" applyBorder="1"/>
    <xf numFmtId="172" fontId="16" fillId="7" borderId="42" xfId="3" applyNumberFormat="1" applyFont="1" applyFill="1" applyBorder="1"/>
    <xf numFmtId="9" fontId="16" fillId="7" borderId="75" xfId="3" applyNumberFormat="1" applyFont="1" applyFill="1" applyBorder="1"/>
    <xf numFmtId="169" fontId="4" fillId="0" borderId="106" xfId="0" applyNumberFormat="1" applyFont="1" applyBorder="1"/>
    <xf numFmtId="169" fontId="4" fillId="0" borderId="107" xfId="0" applyNumberFormat="1" applyFont="1" applyBorder="1"/>
    <xf numFmtId="10" fontId="4" fillId="0" borderId="108" xfId="3" applyNumberFormat="1" applyFont="1" applyBorder="1"/>
    <xf numFmtId="169" fontId="4" fillId="0" borderId="109" xfId="0" applyNumberFormat="1" applyFont="1" applyBorder="1"/>
    <xf numFmtId="3" fontId="4" fillId="16" borderId="106" xfId="0" applyNumberFormat="1" applyFont="1" applyFill="1" applyBorder="1"/>
    <xf numFmtId="169" fontId="16" fillId="7" borderId="2" xfId="0" applyNumberFormat="1" applyFont="1" applyFill="1" applyBorder="1"/>
    <xf numFmtId="169" fontId="16" fillId="7" borderId="3" xfId="0" applyNumberFormat="1" applyFont="1" applyFill="1" applyBorder="1"/>
    <xf numFmtId="9" fontId="16" fillId="7" borderId="33" xfId="3" applyFont="1" applyFill="1" applyBorder="1"/>
    <xf numFmtId="174" fontId="16" fillId="7" borderId="14" xfId="0" applyNumberFormat="1" applyFont="1" applyFill="1" applyBorder="1"/>
    <xf numFmtId="3" fontId="16" fillId="7" borderId="6" xfId="0" applyNumberFormat="1" applyFont="1" applyFill="1" applyBorder="1" applyAlignment="1">
      <alignment horizontal="right"/>
    </xf>
    <xf numFmtId="3" fontId="16" fillId="0" borderId="99" xfId="0" applyNumberFormat="1" applyFont="1" applyBorder="1" applyAlignment="1">
      <alignment horizontal="right"/>
    </xf>
    <xf numFmtId="3" fontId="16" fillId="7" borderId="11" xfId="0" applyNumberFormat="1" applyFont="1" applyFill="1" applyBorder="1" applyAlignment="1">
      <alignment horizontal="right"/>
    </xf>
    <xf numFmtId="3" fontId="16" fillId="25" borderId="23" xfId="0" applyNumberFormat="1" applyFont="1" applyFill="1" applyBorder="1" applyAlignment="1">
      <alignment vertical="center"/>
    </xf>
    <xf numFmtId="0" fontId="23" fillId="0" borderId="0" xfId="0" applyFont="1"/>
    <xf numFmtId="3" fontId="16" fillId="25" borderId="98" xfId="0" applyNumberFormat="1" applyFont="1" applyFill="1" applyBorder="1"/>
    <xf numFmtId="3" fontId="16" fillId="7" borderId="98" xfId="0" applyNumberFormat="1" applyFont="1" applyFill="1" applyBorder="1"/>
    <xf numFmtId="3" fontId="16" fillId="16" borderId="99" xfId="0" applyNumberFormat="1" applyFont="1" applyFill="1" applyBorder="1"/>
    <xf numFmtId="0" fontId="4" fillId="7" borderId="57" xfId="0" applyFont="1" applyFill="1" applyBorder="1"/>
    <xf numFmtId="3" fontId="16" fillId="23" borderId="19" xfId="143" applyNumberFormat="1" applyFont="1" applyFill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Continuous" vertical="center" wrapText="1"/>
    </xf>
    <xf numFmtId="3" fontId="16" fillId="0" borderId="3" xfId="0" applyNumberFormat="1" applyFont="1" applyBorder="1" applyAlignment="1">
      <alignment horizontal="centerContinuous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6" fillId="84" borderId="19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16" fillId="6" borderId="19" xfId="143" applyNumberFormat="1" applyFont="1" applyFill="1" applyBorder="1" applyAlignment="1">
      <alignment horizontal="center" vertical="center" wrapText="1"/>
    </xf>
    <xf numFmtId="3" fontId="16" fillId="0" borderId="65" xfId="143" applyNumberFormat="1" applyFont="1" applyFill="1" applyBorder="1" applyAlignment="1">
      <alignment horizontal="center" vertical="center" wrapText="1"/>
    </xf>
    <xf numFmtId="3" fontId="16" fillId="0" borderId="31" xfId="143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 vertical="center" wrapText="1"/>
    </xf>
    <xf numFmtId="3" fontId="16" fillId="41" borderId="25" xfId="143" applyNumberFormat="1" applyFont="1" applyFill="1" applyBorder="1" applyAlignment="1">
      <alignment horizontal="center" vertical="center" wrapText="1"/>
    </xf>
    <xf numFmtId="3" fontId="16" fillId="13" borderId="19" xfId="0" applyNumberFormat="1" applyFont="1" applyFill="1" applyBorder="1" applyAlignment="1">
      <alignment horizontal="center" vertical="center" wrapText="1"/>
    </xf>
    <xf numFmtId="3" fontId="16" fillId="41" borderId="19" xfId="143" applyNumberFormat="1" applyFont="1" applyFill="1" applyBorder="1" applyAlignment="1">
      <alignment horizontal="center" vertical="center" wrapText="1"/>
    </xf>
    <xf numFmtId="3" fontId="16" fillId="19" borderId="23" xfId="0" applyNumberFormat="1" applyFont="1" applyFill="1" applyBorder="1" applyAlignment="1">
      <alignment horizontal="center" vertical="center" wrapText="1"/>
    </xf>
    <xf numFmtId="3" fontId="16" fillId="14" borderId="45" xfId="0" applyNumberFormat="1" applyFont="1" applyFill="1" applyBorder="1"/>
    <xf numFmtId="3" fontId="16" fillId="14" borderId="98" xfId="0" applyNumberFormat="1" applyFont="1" applyFill="1" applyBorder="1"/>
    <xf numFmtId="3" fontId="16" fillId="16" borderId="20" xfId="0" applyNumberFormat="1" applyFont="1" applyFill="1" applyBorder="1"/>
    <xf numFmtId="3" fontId="16" fillId="85" borderId="41" xfId="10" applyNumberFormat="1" applyFont="1" applyFill="1" applyBorder="1"/>
    <xf numFmtId="3" fontId="16" fillId="12" borderId="77" xfId="0" applyNumberFormat="1" applyFont="1" applyFill="1" applyBorder="1"/>
    <xf numFmtId="4" fontId="16" fillId="12" borderId="77" xfId="0" applyNumberFormat="1" applyFont="1" applyFill="1" applyBorder="1"/>
    <xf numFmtId="3" fontId="16" fillId="27" borderId="43" xfId="10" applyNumberFormat="1" applyFont="1" applyFill="1" applyBorder="1"/>
    <xf numFmtId="169" fontId="16" fillId="7" borderId="43" xfId="0" applyNumberFormat="1" applyFont="1" applyFill="1" applyBorder="1"/>
    <xf numFmtId="3" fontId="16" fillId="27" borderId="57" xfId="10" applyNumberFormat="1" applyFont="1" applyFill="1" applyBorder="1"/>
    <xf numFmtId="3" fontId="16" fillId="7" borderId="31" xfId="0" applyNumberFormat="1" applyFont="1" applyFill="1" applyBorder="1"/>
    <xf numFmtId="3" fontId="16" fillId="7" borderId="55" xfId="0" applyNumberFormat="1" applyFont="1" applyFill="1" applyBorder="1"/>
    <xf numFmtId="3" fontId="0" fillId="0" borderId="98" xfId="0" applyNumberFormat="1" applyBorder="1"/>
    <xf numFmtId="169" fontId="16" fillId="16" borderId="72" xfId="0" applyNumberFormat="1" applyFont="1" applyFill="1" applyBorder="1" applyAlignment="1">
      <alignment horizontal="right" indent="1"/>
    </xf>
    <xf numFmtId="169" fontId="16" fillId="16" borderId="98" xfId="0" applyNumberFormat="1" applyFont="1" applyFill="1" applyBorder="1" applyAlignment="1">
      <alignment horizontal="right" indent="1"/>
    </xf>
    <xf numFmtId="169" fontId="16" fillId="16" borderId="96" xfId="0" applyNumberFormat="1" applyFont="1" applyFill="1" applyBorder="1" applyAlignment="1">
      <alignment horizontal="right" indent="1"/>
    </xf>
    <xf numFmtId="0" fontId="16" fillId="7" borderId="59" xfId="0" applyFont="1" applyFill="1" applyBorder="1"/>
    <xf numFmtId="0" fontId="4" fillId="7" borderId="26" xfId="0" applyFont="1" applyFill="1" applyBorder="1"/>
    <xf numFmtId="3" fontId="16" fillId="22" borderId="60" xfId="0" applyNumberFormat="1" applyFont="1" applyFill="1" applyBorder="1" applyAlignment="1">
      <alignment horizontal="center" vertical="center" wrapText="1"/>
    </xf>
    <xf numFmtId="3" fontId="16" fillId="22" borderId="110" xfId="0" applyNumberFormat="1" applyFont="1" applyFill="1" applyBorder="1" applyAlignment="1">
      <alignment horizontal="center" vertical="center" wrapText="1"/>
    </xf>
    <xf numFmtId="3" fontId="16" fillId="22" borderId="111" xfId="0" applyNumberFormat="1" applyFont="1" applyFill="1" applyBorder="1" applyAlignment="1">
      <alignment horizontal="center" vertical="center" wrapText="1"/>
    </xf>
    <xf numFmtId="3" fontId="16" fillId="86" borderId="111" xfId="0" applyNumberFormat="1" applyFont="1" applyFill="1" applyBorder="1" applyAlignment="1">
      <alignment horizontal="center" vertical="center" wrapText="1"/>
    </xf>
    <xf numFmtId="3" fontId="16" fillId="22" borderId="38" xfId="0" applyNumberFormat="1" applyFont="1" applyFill="1" applyBorder="1" applyAlignment="1">
      <alignment horizontal="center" vertical="center" wrapText="1"/>
    </xf>
    <xf numFmtId="169" fontId="16" fillId="7" borderId="7" xfId="0" applyNumberFormat="1" applyFont="1" applyFill="1" applyBorder="1" applyAlignment="1">
      <alignment horizontal="right" indent="1"/>
    </xf>
    <xf numFmtId="169" fontId="16" fillId="7" borderId="8" xfId="0" applyNumberFormat="1" applyFont="1" applyFill="1" applyBorder="1" applyAlignment="1">
      <alignment horizontal="right" indent="1"/>
    </xf>
    <xf numFmtId="169" fontId="16" fillId="7" borderId="9" xfId="0" applyNumberFormat="1" applyFont="1" applyFill="1" applyBorder="1" applyAlignment="1">
      <alignment horizontal="right" indent="1"/>
    </xf>
    <xf numFmtId="169" fontId="16" fillId="7" borderId="12" xfId="0" applyNumberFormat="1" applyFont="1" applyFill="1" applyBorder="1" applyAlignment="1">
      <alignment horizontal="right" indent="1"/>
    </xf>
    <xf numFmtId="169" fontId="16" fillId="7" borderId="13" xfId="0" applyNumberFormat="1" applyFont="1" applyFill="1" applyBorder="1" applyAlignment="1">
      <alignment horizontal="right" indent="1"/>
    </xf>
    <xf numFmtId="169" fontId="16" fillId="7" borderId="14" xfId="0" applyNumberFormat="1" applyFont="1" applyFill="1" applyBorder="1" applyAlignment="1">
      <alignment horizontal="right" indent="1"/>
    </xf>
    <xf numFmtId="169" fontId="16" fillId="7" borderId="41" xfId="10" applyFont="1" applyFill="1" applyBorder="1"/>
    <xf numFmtId="179" fontId="16" fillId="7" borderId="41" xfId="10" applyNumberFormat="1" applyFont="1" applyFill="1" applyBorder="1"/>
    <xf numFmtId="169" fontId="16" fillId="32" borderId="41" xfId="10" applyFont="1" applyFill="1" applyBorder="1"/>
    <xf numFmtId="179" fontId="16" fillId="13" borderId="41" xfId="10" applyNumberFormat="1" applyFont="1" applyFill="1" applyBorder="1"/>
    <xf numFmtId="169" fontId="16" fillId="7" borderId="57" xfId="10" applyFont="1" applyFill="1" applyBorder="1"/>
    <xf numFmtId="179" fontId="16" fillId="7" borderId="57" xfId="10" applyNumberFormat="1" applyFont="1" applyFill="1" applyBorder="1"/>
    <xf numFmtId="169" fontId="31" fillId="7" borderId="43" xfId="0" applyNumberFormat="1" applyFont="1" applyFill="1" applyBorder="1" applyAlignment="1">
      <alignment horizontal="right" indent="1"/>
    </xf>
    <xf numFmtId="3" fontId="31" fillId="0" borderId="41" xfId="0" applyNumberFormat="1" applyFont="1" applyBorder="1" applyAlignment="1">
      <alignment horizontal="right" indent="1"/>
    </xf>
    <xf numFmtId="3" fontId="31" fillId="0" borderId="44" xfId="0" applyNumberFormat="1" applyFont="1" applyBorder="1" applyAlignment="1">
      <alignment horizontal="right" indent="1"/>
    </xf>
    <xf numFmtId="3" fontId="31" fillId="7" borderId="57" xfId="0" applyNumberFormat="1" applyFont="1" applyFill="1" applyBorder="1" applyAlignment="1">
      <alignment horizontal="right" indent="1"/>
    </xf>
    <xf numFmtId="3" fontId="31" fillId="7" borderId="28" xfId="0" applyNumberFormat="1" applyFont="1" applyFill="1" applyBorder="1" applyAlignment="1">
      <alignment horizontal="right" indent="1"/>
    </xf>
    <xf numFmtId="3" fontId="14" fillId="34" borderId="97" xfId="16" applyNumberFormat="1" applyFont="1" applyFill="1" applyBorder="1" applyAlignment="1">
      <alignment vertical="center"/>
    </xf>
    <xf numFmtId="3" fontId="65" fillId="34" borderId="100" xfId="16" applyNumberFormat="1" applyFont="1" applyFill="1" applyBorder="1" applyAlignment="1">
      <alignment vertical="center"/>
    </xf>
    <xf numFmtId="3" fontId="68" fillId="34" borderId="100" xfId="16" applyNumberFormat="1" applyFont="1" applyFill="1" applyBorder="1" applyAlignment="1">
      <alignment vertical="center" wrapText="1"/>
    </xf>
    <xf numFmtId="3" fontId="14" fillId="34" borderId="77" xfId="16" applyNumberFormat="1" applyFont="1" applyFill="1" applyBorder="1" applyAlignment="1">
      <alignment vertical="center" wrapText="1"/>
    </xf>
    <xf numFmtId="3" fontId="14" fillId="34" borderId="77" xfId="16" applyNumberFormat="1" applyFont="1" applyFill="1" applyBorder="1" applyAlignment="1">
      <alignment horizontal="left" vertical="center" wrapText="1"/>
    </xf>
    <xf numFmtId="3" fontId="14" fillId="34" borderId="56" xfId="16" applyNumberFormat="1" applyFont="1" applyFill="1" applyBorder="1" applyAlignment="1">
      <alignment horizontal="left" vertical="center" wrapText="1"/>
    </xf>
    <xf numFmtId="3" fontId="68" fillId="34" borderId="100" xfId="16" quotePrefix="1" applyNumberFormat="1" applyFont="1" applyFill="1" applyBorder="1" applyAlignment="1">
      <alignment horizontal="center" vertical="center" wrapText="1"/>
    </xf>
    <xf numFmtId="3" fontId="68" fillId="34" borderId="53" xfId="16" quotePrefix="1" applyNumberFormat="1" applyFont="1" applyFill="1" applyBorder="1" applyAlignment="1">
      <alignment horizontal="center" vertical="center" wrapText="1"/>
    </xf>
    <xf numFmtId="3" fontId="68" fillId="14" borderId="56" xfId="16" quotePrefix="1" applyNumberFormat="1" applyFont="1" applyFill="1" applyBorder="1" applyAlignment="1">
      <alignment horizontal="center" vertical="center" wrapText="1"/>
    </xf>
    <xf numFmtId="3" fontId="18" fillId="34" borderId="41" xfId="16" applyNumberFormat="1" applyFont="1" applyFill="1" applyBorder="1" applyAlignment="1">
      <alignment vertical="center" wrapText="1"/>
    </xf>
    <xf numFmtId="3" fontId="68" fillId="34" borderId="44" xfId="16" applyNumberFormat="1" applyFont="1" applyFill="1" applyBorder="1" applyAlignment="1">
      <alignment vertical="center" wrapText="1"/>
    </xf>
    <xf numFmtId="3" fontId="14" fillId="34" borderId="42" xfId="16" applyNumberFormat="1" applyFont="1" applyFill="1" applyBorder="1" applyAlignment="1">
      <alignment vertical="center"/>
    </xf>
    <xf numFmtId="3" fontId="14" fillId="34" borderId="41" xfId="16" applyNumberFormat="1" applyFont="1" applyFill="1" applyBorder="1" applyAlignment="1">
      <alignment vertical="center"/>
    </xf>
    <xf numFmtId="3" fontId="65" fillId="34" borderId="44" xfId="16" applyNumberFormat="1" applyFont="1" applyFill="1" applyBorder="1" applyAlignment="1">
      <alignment vertical="center"/>
    </xf>
    <xf numFmtId="3" fontId="17" fillId="34" borderId="112" xfId="16" applyNumberFormat="1" applyFont="1" applyFill="1" applyBorder="1" applyAlignment="1">
      <alignment horizontal="left" vertical="center" wrapText="1"/>
    </xf>
    <xf numFmtId="3" fontId="68" fillId="34" borderId="113" xfId="16" applyNumberFormat="1" applyFont="1" applyFill="1" applyBorder="1" applyAlignment="1">
      <alignment vertical="center" wrapText="1"/>
    </xf>
    <xf numFmtId="3" fontId="14" fillId="34" borderId="114" xfId="16" applyNumberFormat="1" applyFont="1" applyFill="1" applyBorder="1" applyAlignment="1">
      <alignment vertical="center" wrapText="1"/>
    </xf>
    <xf numFmtId="3" fontId="14" fillId="34" borderId="112" xfId="16" applyNumberFormat="1" applyFont="1" applyFill="1" applyBorder="1" applyAlignment="1">
      <alignment vertical="center" wrapText="1"/>
    </xf>
    <xf numFmtId="3" fontId="65" fillId="34" borderId="113" xfId="16" applyNumberFormat="1" applyFont="1" applyFill="1" applyBorder="1" applyAlignment="1">
      <alignment vertical="center" wrapText="1"/>
    </xf>
    <xf numFmtId="3" fontId="18" fillId="34" borderId="41" xfId="16" applyNumberFormat="1" applyFont="1" applyFill="1" applyBorder="1" applyAlignment="1">
      <alignment horizontal="left" vertical="center" wrapText="1"/>
    </xf>
    <xf numFmtId="3" fontId="14" fillId="34" borderId="115" xfId="16" applyNumberFormat="1" applyFont="1" applyFill="1" applyBorder="1" applyAlignment="1">
      <alignment horizontal="left" vertical="center" wrapText="1"/>
    </xf>
    <xf numFmtId="3" fontId="68" fillId="34" borderId="116" xfId="16" applyNumberFormat="1" applyFont="1" applyFill="1" applyBorder="1" applyAlignment="1">
      <alignment vertical="center" wrapText="1"/>
    </xf>
    <xf numFmtId="3" fontId="14" fillId="34" borderId="117" xfId="16" applyNumberFormat="1" applyFont="1" applyFill="1" applyBorder="1" applyAlignment="1">
      <alignment vertical="center"/>
    </xf>
    <xf numFmtId="3" fontId="14" fillId="34" borderId="115" xfId="16" applyNumberFormat="1" applyFont="1" applyFill="1" applyBorder="1" applyAlignment="1">
      <alignment vertical="center"/>
    </xf>
    <xf numFmtId="3" fontId="65" fillId="34" borderId="116" xfId="16" applyNumberFormat="1" applyFont="1" applyFill="1" applyBorder="1" applyAlignment="1">
      <alignment vertical="center"/>
    </xf>
    <xf numFmtId="3" fontId="14" fillId="14" borderId="29" xfId="16" applyNumberFormat="1" applyFont="1" applyFill="1" applyBorder="1" applyAlignment="1">
      <alignment horizontal="left" vertical="center" wrapText="1"/>
    </xf>
    <xf numFmtId="3" fontId="68" fillId="14" borderId="41" xfId="16" applyNumberFormat="1" applyFont="1" applyFill="1" applyBorder="1" applyAlignment="1">
      <alignment horizontal="right" vertical="center"/>
    </xf>
    <xf numFmtId="3" fontId="14" fillId="14" borderId="42" xfId="16" applyNumberFormat="1" applyFont="1" applyFill="1" applyBorder="1" applyAlignment="1">
      <alignment horizontal="right" vertical="center"/>
    </xf>
    <xf numFmtId="3" fontId="14" fillId="14" borderId="41" xfId="16" applyNumberFormat="1" applyFont="1" applyFill="1" applyBorder="1" applyAlignment="1">
      <alignment horizontal="right" vertical="center"/>
    </xf>
    <xf numFmtId="3" fontId="65" fillId="14" borderId="44" xfId="16" applyNumberFormat="1" applyFont="1" applyFill="1" applyBorder="1" applyAlignment="1">
      <alignment horizontal="right" vertical="center"/>
    </xf>
    <xf numFmtId="3" fontId="17" fillId="14" borderId="118" xfId="16" applyNumberFormat="1" applyFont="1" applyFill="1" applyBorder="1" applyAlignment="1">
      <alignment horizontal="left" vertical="center" wrapText="1"/>
    </xf>
    <xf numFmtId="3" fontId="68" fillId="14" borderId="112" xfId="16" applyNumberFormat="1" applyFont="1" applyFill="1" applyBorder="1" applyAlignment="1">
      <alignment horizontal="right" vertical="center"/>
    </xf>
    <xf numFmtId="3" fontId="14" fillId="14" borderId="114" xfId="16" applyNumberFormat="1" applyFont="1" applyFill="1" applyBorder="1" applyAlignment="1">
      <alignment horizontal="right" vertical="center"/>
    </xf>
    <xf numFmtId="3" fontId="14" fillId="14" borderId="112" xfId="16" applyNumberFormat="1" applyFont="1" applyFill="1" applyBorder="1" applyAlignment="1">
      <alignment horizontal="right" vertical="center"/>
    </xf>
    <xf numFmtId="3" fontId="65" fillId="14" borderId="113" xfId="16" applyNumberFormat="1" applyFont="1" applyFill="1" applyBorder="1" applyAlignment="1">
      <alignment horizontal="right" vertical="center"/>
    </xf>
    <xf numFmtId="3" fontId="14" fillId="49" borderId="29" xfId="16" applyNumberFormat="1" applyFont="1" applyFill="1" applyBorder="1" applyAlignment="1">
      <alignment horizontal="left" vertical="center" wrapText="1"/>
    </xf>
    <xf numFmtId="3" fontId="14" fillId="49" borderId="42" xfId="16" applyNumberFormat="1" applyFont="1" applyFill="1" applyBorder="1" applyAlignment="1">
      <alignment vertical="center"/>
    </xf>
    <xf numFmtId="3" fontId="14" fillId="49" borderId="41" xfId="16" applyNumberFormat="1" applyFont="1" applyFill="1" applyBorder="1" applyAlignment="1">
      <alignment vertical="center"/>
    </xf>
    <xf numFmtId="3" fontId="65" fillId="49" borderId="44" xfId="16" applyNumberFormat="1" applyFont="1" applyFill="1" applyBorder="1" applyAlignment="1">
      <alignment horizontal="right" vertical="center"/>
    </xf>
    <xf numFmtId="3" fontId="17" fillId="49" borderId="118" xfId="16" applyNumberFormat="1" applyFont="1" applyFill="1" applyBorder="1" applyAlignment="1">
      <alignment horizontal="left" vertical="center" wrapText="1"/>
    </xf>
    <xf numFmtId="3" fontId="68" fillId="49" borderId="112" xfId="16" applyNumberFormat="1" applyFont="1" applyFill="1" applyBorder="1" applyAlignment="1">
      <alignment horizontal="right" vertical="center" wrapText="1"/>
    </xf>
    <xf numFmtId="3" fontId="14" fillId="49" borderId="114" xfId="16" applyNumberFormat="1" applyFont="1" applyFill="1" applyBorder="1" applyAlignment="1">
      <alignment horizontal="right" vertical="center" wrapText="1"/>
    </xf>
    <xf numFmtId="3" fontId="14" fillId="49" borderId="112" xfId="16" applyNumberFormat="1" applyFont="1" applyFill="1" applyBorder="1" applyAlignment="1">
      <alignment horizontal="right" vertical="center" wrapText="1"/>
    </xf>
    <xf numFmtId="3" fontId="65" fillId="49" borderId="113" xfId="16" applyNumberFormat="1" applyFont="1" applyFill="1" applyBorder="1" applyAlignment="1">
      <alignment horizontal="right" vertical="center" wrapText="1"/>
    </xf>
    <xf numFmtId="3" fontId="18" fillId="49" borderId="29" xfId="16" applyNumberFormat="1" applyFont="1" applyFill="1" applyBorder="1" applyAlignment="1">
      <alignment horizontal="left" vertical="center" wrapText="1"/>
    </xf>
    <xf numFmtId="3" fontId="14" fillId="49" borderId="119" xfId="16" applyNumberFormat="1" applyFont="1" applyFill="1" applyBorder="1" applyAlignment="1">
      <alignment horizontal="left" vertical="center" wrapText="1"/>
    </xf>
    <xf numFmtId="3" fontId="68" fillId="49" borderId="115" xfId="16" applyNumberFormat="1" applyFont="1" applyFill="1" applyBorder="1" applyAlignment="1">
      <alignment horizontal="right" vertical="center" wrapText="1"/>
    </xf>
    <xf numFmtId="3" fontId="14" fillId="49" borderId="117" xfId="16" applyNumberFormat="1" applyFont="1" applyFill="1" applyBorder="1" applyAlignment="1">
      <alignment vertical="center"/>
    </xf>
    <xf numFmtId="3" fontId="14" fillId="49" borderId="115" xfId="16" applyNumberFormat="1" applyFont="1" applyFill="1" applyBorder="1" applyAlignment="1">
      <alignment vertical="center"/>
    </xf>
    <xf numFmtId="3" fontId="65" fillId="49" borderId="116" xfId="16" applyNumberFormat="1" applyFont="1" applyFill="1" applyBorder="1" applyAlignment="1">
      <alignment horizontal="right" vertical="center"/>
    </xf>
    <xf numFmtId="3" fontId="16" fillId="16" borderId="77" xfId="0" applyNumberFormat="1" applyFont="1" applyFill="1" applyBorder="1"/>
    <xf numFmtId="3" fontId="16" fillId="45" borderId="5" xfId="0" applyNumberFormat="1" applyFont="1" applyFill="1" applyBorder="1"/>
    <xf numFmtId="3" fontId="16" fillId="27" borderId="12" xfId="0" applyNumberFormat="1" applyFont="1" applyFill="1" applyBorder="1"/>
    <xf numFmtId="3" fontId="16" fillId="27" borderId="14" xfId="0" applyNumberFormat="1" applyFont="1" applyFill="1" applyBorder="1"/>
    <xf numFmtId="3" fontId="16" fillId="27" borderId="7" xfId="0" applyNumberFormat="1" applyFont="1" applyFill="1" applyBorder="1"/>
    <xf numFmtId="3" fontId="16" fillId="16" borderId="41" xfId="0" applyNumberFormat="1" applyFont="1" applyFill="1" applyBorder="1"/>
    <xf numFmtId="3" fontId="16" fillId="27" borderId="5" xfId="0" applyNumberFormat="1" applyFont="1" applyFill="1" applyBorder="1"/>
    <xf numFmtId="3" fontId="16" fillId="27" borderId="1" xfId="0" applyNumberFormat="1" applyFont="1" applyFill="1" applyBorder="1"/>
    <xf numFmtId="3" fontId="16" fillId="27" borderId="56" xfId="0" applyNumberFormat="1" applyFont="1" applyFill="1" applyBorder="1"/>
    <xf numFmtId="3" fontId="16" fillId="25" borderId="2" xfId="0" applyNumberFormat="1" applyFont="1" applyFill="1" applyBorder="1"/>
    <xf numFmtId="3" fontId="16" fillId="25" borderId="19" xfId="0" applyNumberFormat="1" applyFont="1" applyFill="1" applyBorder="1"/>
    <xf numFmtId="3" fontId="16" fillId="25" borderId="34" xfId="0" applyNumberFormat="1" applyFont="1" applyFill="1" applyBorder="1"/>
    <xf numFmtId="3" fontId="16" fillId="7" borderId="41" xfId="0" applyNumberFormat="1" applyFont="1" applyFill="1" applyBorder="1"/>
    <xf numFmtId="3" fontId="16" fillId="12" borderId="57" xfId="0" applyNumberFormat="1" applyFont="1" applyFill="1" applyBorder="1"/>
    <xf numFmtId="3" fontId="16" fillId="12" borderId="27" xfId="0" applyNumberFormat="1" applyFont="1" applyFill="1" applyBorder="1"/>
    <xf numFmtId="3" fontId="16" fillId="0" borderId="57" xfId="0" applyNumberFormat="1" applyFont="1" applyBorder="1"/>
    <xf numFmtId="3" fontId="16" fillId="0" borderId="28" xfId="0" applyNumberFormat="1" applyFont="1" applyFill="1" applyBorder="1" applyAlignment="1">
      <alignment horizontal="center" vertical="center" wrapText="1"/>
    </xf>
    <xf numFmtId="0" fontId="0" fillId="34" borderId="24" xfId="0" applyFill="1" applyBorder="1"/>
    <xf numFmtId="3" fontId="4" fillId="0" borderId="98" xfId="0" applyNumberFormat="1" applyFont="1" applyBorder="1"/>
    <xf numFmtId="3" fontId="16" fillId="0" borderId="23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4" fillId="16" borderId="98" xfId="0" applyNumberFormat="1" applyFont="1" applyFill="1" applyBorder="1"/>
    <xf numFmtId="0" fontId="0" fillId="34" borderId="2" xfId="0" applyFill="1" applyBorder="1" applyAlignment="1">
      <alignment wrapText="1"/>
    </xf>
    <xf numFmtId="0" fontId="0" fillId="34" borderId="3" xfId="0" applyFill="1" applyBorder="1"/>
    <xf numFmtId="0" fontId="0" fillId="34" borderId="3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3" fontId="4" fillId="7" borderId="7" xfId="0" applyNumberFormat="1" applyFont="1" applyFill="1" applyBorder="1"/>
    <xf numFmtId="3" fontId="4" fillId="7" borderId="8" xfId="0" applyNumberFormat="1" applyFont="1" applyFill="1" applyBorder="1"/>
    <xf numFmtId="3" fontId="0" fillId="7" borderId="8" xfId="0" applyNumberFormat="1" applyFill="1" applyBorder="1"/>
    <xf numFmtId="3" fontId="4" fillId="0" borderId="72" xfId="0" applyNumberFormat="1" applyFont="1" applyBorder="1"/>
    <xf numFmtId="3" fontId="0" fillId="0" borderId="96" xfId="0" applyNumberFormat="1" applyBorder="1"/>
    <xf numFmtId="3" fontId="4" fillId="0" borderId="96" xfId="0" applyNumberFormat="1" applyFont="1" applyFill="1" applyBorder="1"/>
    <xf numFmtId="3" fontId="4" fillId="16" borderId="72" xfId="0" applyNumberFormat="1" applyFont="1" applyFill="1" applyBorder="1"/>
    <xf numFmtId="170" fontId="0" fillId="0" borderId="98" xfId="0" applyNumberFormat="1" applyBorder="1"/>
    <xf numFmtId="3" fontId="0" fillId="0" borderId="105" xfId="0" applyNumberFormat="1" applyFill="1" applyBorder="1"/>
    <xf numFmtId="0" fontId="0" fillId="0" borderId="37" xfId="0" applyBorder="1"/>
    <xf numFmtId="3" fontId="16" fillId="0" borderId="8" xfId="0" applyNumberFormat="1" applyFont="1" applyBorder="1" applyAlignment="1">
      <alignment horizontal="center" vertical="center" wrapText="1"/>
    </xf>
    <xf numFmtId="9" fontId="16" fillId="0" borderId="0" xfId="9" applyFont="1" applyFill="1" applyBorder="1" applyAlignment="1">
      <alignment horizontal="center" vertical="center"/>
    </xf>
    <xf numFmtId="0" fontId="4" fillId="0" borderId="0" xfId="5" applyFont="1"/>
    <xf numFmtId="0" fontId="16" fillId="10" borderId="0" xfId="0" applyFont="1" applyFill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/>
    </xf>
    <xf numFmtId="4" fontId="23" fillId="0" borderId="0" xfId="0" applyNumberFormat="1" applyFont="1"/>
    <xf numFmtId="10" fontId="0" fillId="49" borderId="31" xfId="3" applyNumberFormat="1" applyFont="1" applyFill="1" applyBorder="1"/>
    <xf numFmtId="3" fontId="72" fillId="0" borderId="0" xfId="16" applyNumberFormat="1" applyFont="1"/>
    <xf numFmtId="10" fontId="0" fillId="49" borderId="20" xfId="3" applyNumberFormat="1" applyFont="1" applyFill="1" applyBorder="1"/>
    <xf numFmtId="3" fontId="14" fillId="0" borderId="0" xfId="16" applyNumberFormat="1" applyFont="1"/>
    <xf numFmtId="0" fontId="0" fillId="0" borderId="0" xfId="0"/>
    <xf numFmtId="0" fontId="0" fillId="49" borderId="93" xfId="0" applyFill="1" applyBorder="1" applyAlignment="1">
      <alignment horizontal="center"/>
    </xf>
    <xf numFmtId="0" fontId="0" fillId="34" borderId="39" xfId="0" applyFill="1" applyBorder="1"/>
    <xf numFmtId="0" fontId="23" fillId="0" borderId="0" xfId="0" applyFont="1"/>
    <xf numFmtId="4" fontId="0" fillId="0" borderId="130" xfId="0" applyNumberFormat="1" applyBorder="1"/>
    <xf numFmtId="0" fontId="0" fillId="0" borderId="130" xfId="0" applyBorder="1" applyAlignment="1">
      <alignment horizontal="center"/>
    </xf>
    <xf numFmtId="4" fontId="69" fillId="0" borderId="130" xfId="0" applyNumberFormat="1" applyFont="1" applyBorder="1" applyAlignment="1">
      <alignment horizontal="right"/>
    </xf>
    <xf numFmtId="4" fontId="23" fillId="0" borderId="130" xfId="0" applyNumberFormat="1" applyFont="1" applyBorder="1" applyAlignment="1">
      <alignment horizontal="right"/>
    </xf>
    <xf numFmtId="0" fontId="0" fillId="0" borderId="130" xfId="0" applyFont="1" applyBorder="1" applyAlignment="1">
      <alignment horizontal="center"/>
    </xf>
    <xf numFmtId="4" fontId="0" fillId="0" borderId="130" xfId="0" applyNumberFormat="1" applyFont="1" applyBorder="1"/>
    <xf numFmtId="4" fontId="69" fillId="16" borderId="130" xfId="0" applyNumberFormat="1" applyFont="1" applyFill="1" applyBorder="1" applyAlignment="1">
      <alignment horizontal="right"/>
    </xf>
    <xf numFmtId="0" fontId="0" fillId="0" borderId="130" xfId="0" applyBorder="1"/>
    <xf numFmtId="0" fontId="0" fillId="0" borderId="131" xfId="0" applyBorder="1"/>
    <xf numFmtId="0" fontId="0" fillId="0" borderId="13" xfId="0" applyBorder="1"/>
    <xf numFmtId="0" fontId="0" fillId="0" borderId="14" xfId="0" applyBorder="1"/>
    <xf numFmtId="0" fontId="0" fillId="82" borderId="39" xfId="0" applyFill="1" applyBorder="1" applyAlignment="1">
      <alignment horizontal="center"/>
    </xf>
    <xf numFmtId="0" fontId="76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69" fillId="36" borderId="20" xfId="0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82" borderId="93" xfId="0" applyFont="1" applyFill="1" applyBorder="1" applyAlignment="1">
      <alignment horizontal="center"/>
    </xf>
    <xf numFmtId="0" fontId="77" fillId="36" borderId="40" xfId="0" applyFont="1" applyFill="1" applyBorder="1" applyAlignment="1">
      <alignment horizontal="center"/>
    </xf>
    <xf numFmtId="3" fontId="77" fillId="0" borderId="131" xfId="0" applyNumberFormat="1" applyFont="1" applyBorder="1"/>
    <xf numFmtId="0" fontId="4" fillId="7" borderId="130" xfId="0" applyFont="1" applyFill="1" applyBorder="1" applyAlignment="1">
      <alignment horizontal="center"/>
    </xf>
    <xf numFmtId="4" fontId="0" fillId="49" borderId="20" xfId="0" applyNumberFormat="1" applyFill="1" applyBorder="1"/>
    <xf numFmtId="4" fontId="0" fillId="49" borderId="78" xfId="0" applyNumberFormat="1" applyFill="1" applyBorder="1"/>
    <xf numFmtId="4" fontId="0" fillId="49" borderId="13" xfId="0" applyNumberFormat="1" applyFill="1" applyBorder="1"/>
    <xf numFmtId="4" fontId="0" fillId="49" borderId="31" xfId="0" applyNumberFormat="1" applyFill="1" applyBorder="1"/>
    <xf numFmtId="4" fontId="0" fillId="49" borderId="90" xfId="0" applyNumberFormat="1" applyFill="1" applyBorder="1"/>
    <xf numFmtId="4" fontId="0" fillId="49" borderId="14" xfId="0" applyNumberFormat="1" applyFill="1" applyBorder="1"/>
    <xf numFmtId="0" fontId="78" fillId="0" borderId="130" xfId="0" applyFont="1" applyBorder="1"/>
    <xf numFmtId="0" fontId="78" fillId="0" borderId="130" xfId="132" applyFont="1" applyBorder="1"/>
    <xf numFmtId="0" fontId="78" fillId="0" borderId="0" xfId="0" applyFont="1"/>
    <xf numFmtId="0" fontId="69" fillId="0" borderId="130" xfId="0" applyFont="1" applyBorder="1"/>
    <xf numFmtId="0" fontId="23" fillId="0" borderId="130" xfId="0" applyFont="1" applyBorder="1"/>
    <xf numFmtId="0" fontId="69" fillId="0" borderId="13" xfId="0" applyFont="1" applyBorder="1"/>
    <xf numFmtId="0" fontId="23" fillId="0" borderId="13" xfId="0" applyFont="1" applyBorder="1"/>
    <xf numFmtId="0" fontId="0" fillId="34" borderId="132" xfId="0" applyFill="1" applyBorder="1"/>
    <xf numFmtId="0" fontId="0" fillId="34" borderId="91" xfId="0" applyFill="1" applyBorder="1" applyAlignment="1">
      <alignment horizontal="left"/>
    </xf>
    <xf numFmtId="0" fontId="78" fillId="0" borderId="20" xfId="0" applyFont="1" applyBorder="1"/>
    <xf numFmtId="0" fontId="0" fillId="82" borderId="133" xfId="0" applyFill="1" applyBorder="1" applyAlignment="1">
      <alignment horizontal="center"/>
    </xf>
    <xf numFmtId="0" fontId="0" fillId="7" borderId="133" xfId="0" applyFill="1" applyBorder="1" applyAlignment="1">
      <alignment horizontal="center"/>
    </xf>
    <xf numFmtId="0" fontId="74" fillId="7" borderId="133" xfId="0" applyFont="1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78" fillId="0" borderId="107" xfId="0" applyFont="1" applyBorder="1"/>
    <xf numFmtId="4" fontId="0" fillId="0" borderId="0" xfId="0" applyNumberFormat="1"/>
    <xf numFmtId="3" fontId="16" fillId="7" borderId="43" xfId="10" applyNumberFormat="1" applyFont="1" applyFill="1" applyBorder="1" applyAlignment="1">
      <alignment horizontal="right"/>
    </xf>
    <xf numFmtId="3" fontId="16" fillId="33" borderId="43" xfId="4" applyNumberFormat="1" applyFont="1" applyFill="1" applyBorder="1" applyAlignment="1">
      <alignment horizontal="right"/>
    </xf>
    <xf numFmtId="4" fontId="16" fillId="7" borderId="57" xfId="0" applyNumberFormat="1" applyFont="1" applyFill="1" applyBorder="1"/>
    <xf numFmtId="3" fontId="16" fillId="4" borderId="149" xfId="4" applyNumberFormat="1" applyFont="1" applyBorder="1" applyAlignment="1">
      <alignment horizontal="right"/>
    </xf>
    <xf numFmtId="4" fontId="16" fillId="13" borderId="57" xfId="0" applyNumberFormat="1" applyFont="1" applyFill="1" applyBorder="1" applyAlignment="1">
      <alignment horizontal="right"/>
    </xf>
    <xf numFmtId="0" fontId="0" fillId="0" borderId="0" xfId="0"/>
    <xf numFmtId="172" fontId="16" fillId="13" borderId="41" xfId="3" applyNumberFormat="1" applyFont="1" applyFill="1" applyBorder="1" applyAlignment="1">
      <alignment horizontal="right"/>
    </xf>
    <xf numFmtId="4" fontId="16" fillId="0" borderId="20" xfId="0" applyNumberFormat="1" applyFont="1" applyBorder="1"/>
    <xf numFmtId="9" fontId="16" fillId="7" borderId="43" xfId="3" applyNumberFormat="1" applyFont="1" applyFill="1" applyBorder="1" applyAlignment="1">
      <alignment horizontal="right"/>
    </xf>
    <xf numFmtId="3" fontId="16" fillId="7" borderId="12" xfId="0" applyNumberFormat="1" applyFont="1" applyFill="1" applyBorder="1" applyAlignment="1">
      <alignment horizontal="right"/>
    </xf>
    <xf numFmtId="9" fontId="16" fillId="7" borderId="56" xfId="3" applyFont="1" applyFill="1" applyBorder="1" applyAlignment="1">
      <alignment horizontal="right"/>
    </xf>
    <xf numFmtId="4" fontId="16" fillId="7" borderId="8" xfId="0" applyNumberFormat="1" applyFont="1" applyFill="1" applyBorder="1"/>
    <xf numFmtId="4" fontId="16" fillId="7" borderId="54" xfId="0" applyNumberFormat="1" applyFont="1" applyFill="1" applyBorder="1"/>
    <xf numFmtId="170" fontId="16" fillId="7" borderId="11" xfId="0" applyNumberFormat="1" applyFont="1" applyFill="1" applyBorder="1"/>
    <xf numFmtId="170" fontId="16" fillId="7" borderId="12" xfId="0" applyNumberFormat="1" applyFont="1" applyFill="1" applyBorder="1"/>
    <xf numFmtId="3" fontId="16" fillId="13" borderId="41" xfId="10" applyNumberFormat="1" applyFont="1" applyFill="1" applyBorder="1" applyAlignment="1">
      <alignment horizontal="right"/>
    </xf>
    <xf numFmtId="0" fontId="0" fillId="0" borderId="161" xfId="0" applyBorder="1" applyAlignment="1">
      <alignment horizontal="center"/>
    </xf>
    <xf numFmtId="3" fontId="16" fillId="0" borderId="77" xfId="0" applyNumberFormat="1" applyFont="1" applyBorder="1" applyAlignment="1">
      <alignment horizontal="right" indent="1"/>
    </xf>
    <xf numFmtId="3" fontId="16" fillId="7" borderId="56" xfId="0" applyNumberFormat="1" applyFont="1" applyFill="1" applyBorder="1" applyAlignment="1">
      <alignment horizontal="right" indent="1"/>
    </xf>
    <xf numFmtId="0" fontId="0" fillId="0" borderId="0" xfId="0" applyFill="1" applyBorder="1"/>
    <xf numFmtId="4" fontId="0" fillId="0" borderId="0" xfId="0" applyNumberFormat="1" applyBorder="1"/>
    <xf numFmtId="3" fontId="0" fillId="0" borderId="0" xfId="0" applyNumberFormat="1" applyFill="1" applyBorder="1" applyAlignment="1">
      <alignment horizontal="center" vertical="center"/>
    </xf>
    <xf numFmtId="10" fontId="0" fillId="0" borderId="0" xfId="3" applyNumberFormat="1" applyFont="1" applyFill="1" applyBorder="1"/>
    <xf numFmtId="0" fontId="15" fillId="54" borderId="57" xfId="16" applyFont="1" applyFill="1" applyBorder="1" applyAlignment="1">
      <alignment horizontal="center" vertical="center" wrapText="1"/>
    </xf>
    <xf numFmtId="0" fontId="0" fillId="82" borderId="165" xfId="0" applyFill="1" applyBorder="1" applyAlignment="1">
      <alignment horizontal="center"/>
    </xf>
    <xf numFmtId="3" fontId="71" fillId="0" borderId="167" xfId="16" applyNumberFormat="1" applyFont="1" applyBorder="1" applyAlignment="1">
      <alignment horizontal="left" vertical="center" wrapText="1"/>
    </xf>
    <xf numFmtId="3" fontId="71" fillId="0" borderId="166" xfId="16" applyNumberFormat="1" applyFont="1" applyBorder="1" applyAlignment="1">
      <alignment vertical="center" wrapText="1"/>
    </xf>
    <xf numFmtId="3" fontId="71" fillId="0" borderId="166" xfId="16" applyNumberFormat="1" applyFont="1" applyBorder="1" applyAlignment="1">
      <alignment horizontal="left" vertical="center"/>
    </xf>
    <xf numFmtId="0" fontId="71" fillId="16" borderId="166" xfId="16" applyFont="1" applyFill="1" applyBorder="1" applyAlignment="1">
      <alignment horizontal="left" vertical="center"/>
    </xf>
    <xf numFmtId="0" fontId="75" fillId="0" borderId="166" xfId="16" applyFont="1" applyFill="1" applyBorder="1" applyAlignment="1">
      <alignment horizontal="left" vertical="center" wrapText="1"/>
    </xf>
    <xf numFmtId="0" fontId="73" fillId="7" borderId="165" xfId="16" applyFont="1" applyFill="1" applyBorder="1" applyAlignment="1">
      <alignment horizontal="left" vertical="center" wrapText="1"/>
    </xf>
    <xf numFmtId="0" fontId="0" fillId="82" borderId="168" xfId="0" applyFill="1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7" borderId="168" xfId="0" applyFill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0" fillId="7" borderId="168" xfId="0" applyFont="1" applyFill="1" applyBorder="1" applyAlignment="1">
      <alignment horizontal="center"/>
    </xf>
    <xf numFmtId="0" fontId="4" fillId="7" borderId="163" xfId="0" applyFont="1" applyFill="1" applyBorder="1" applyAlignment="1">
      <alignment horizontal="center"/>
    </xf>
    <xf numFmtId="0" fontId="80" fillId="82" borderId="112" xfId="0" applyFont="1" applyFill="1" applyBorder="1" applyAlignment="1">
      <alignment horizontal="center"/>
    </xf>
    <xf numFmtId="4" fontId="80" fillId="0" borderId="149" xfId="0" applyNumberFormat="1" applyFont="1" applyBorder="1"/>
    <xf numFmtId="4" fontId="80" fillId="0" borderId="169" xfId="0" applyNumberFormat="1" applyFont="1" applyBorder="1"/>
    <xf numFmtId="4" fontId="80" fillId="7" borderId="115" xfId="0" applyNumberFormat="1" applyFont="1" applyFill="1" applyBorder="1"/>
    <xf numFmtId="4" fontId="17" fillId="16" borderId="149" xfId="0" applyNumberFormat="1" applyFont="1" applyFill="1" applyBorder="1"/>
    <xf numFmtId="4" fontId="80" fillId="16" borderId="149" xfId="0" applyNumberFormat="1" applyFont="1" applyFill="1" applyBorder="1"/>
    <xf numFmtId="4" fontId="80" fillId="7" borderId="56" xfId="0" applyNumberFormat="1" applyFont="1" applyFill="1" applyBorder="1"/>
    <xf numFmtId="0" fontId="69" fillId="82" borderId="165" xfId="0" applyFont="1" applyFill="1" applyBorder="1" applyAlignment="1">
      <alignment horizontal="center"/>
    </xf>
    <xf numFmtId="4" fontId="69" fillId="0" borderId="166" xfId="0" applyNumberFormat="1" applyFont="1" applyBorder="1" applyAlignment="1">
      <alignment horizontal="right"/>
    </xf>
    <xf numFmtId="4" fontId="69" fillId="0" borderId="167" xfId="0" applyNumberFormat="1" applyFont="1" applyBorder="1" applyAlignment="1">
      <alignment horizontal="center"/>
    </xf>
    <xf numFmtId="4" fontId="69" fillId="7" borderId="165" xfId="0" applyNumberFormat="1" applyFont="1" applyFill="1" applyBorder="1" applyAlignment="1">
      <alignment horizontal="right"/>
    </xf>
    <xf numFmtId="4" fontId="70" fillId="0" borderId="166" xfId="0" applyNumberFormat="1" applyFont="1" applyBorder="1" applyAlignment="1">
      <alignment horizontal="right"/>
    </xf>
    <xf numFmtId="4" fontId="74" fillId="7" borderId="165" xfId="0" applyNumberFormat="1" applyFont="1" applyFill="1" applyBorder="1" applyAlignment="1">
      <alignment horizontal="right"/>
    </xf>
    <xf numFmtId="4" fontId="4" fillId="7" borderId="166" xfId="0" applyNumberFormat="1" applyFont="1" applyFill="1" applyBorder="1"/>
    <xf numFmtId="3" fontId="77" fillId="0" borderId="163" xfId="0" applyNumberFormat="1" applyFont="1" applyBorder="1"/>
    <xf numFmtId="3" fontId="77" fillId="0" borderId="164" xfId="0" applyNumberFormat="1" applyFont="1" applyBorder="1"/>
    <xf numFmtId="4" fontId="77" fillId="0" borderId="163" xfId="0" applyNumberFormat="1" applyFont="1" applyBorder="1"/>
    <xf numFmtId="0" fontId="23" fillId="82" borderId="112" xfId="0" applyFont="1" applyFill="1" applyBorder="1" applyAlignment="1">
      <alignment horizontal="center"/>
    </xf>
    <xf numFmtId="4" fontId="23" fillId="0" borderId="149" xfId="0" applyNumberFormat="1" applyFont="1" applyBorder="1" applyAlignment="1">
      <alignment horizontal="right"/>
    </xf>
    <xf numFmtId="4" fontId="23" fillId="7" borderId="115" xfId="0" applyNumberFormat="1" applyFont="1" applyFill="1" applyBorder="1" applyAlignment="1">
      <alignment horizontal="right"/>
    </xf>
    <xf numFmtId="0" fontId="78" fillId="0" borderId="163" xfId="0" applyFont="1" applyBorder="1"/>
    <xf numFmtId="4" fontId="77" fillId="0" borderId="164" xfId="0" applyNumberFormat="1" applyFont="1" applyBorder="1"/>
    <xf numFmtId="4" fontId="23" fillId="0" borderId="41" xfId="0" applyNumberFormat="1" applyFont="1" applyBorder="1" applyAlignment="1">
      <alignment horizontal="right"/>
    </xf>
    <xf numFmtId="4" fontId="77" fillId="0" borderId="45" xfId="0" applyNumberFormat="1" applyFont="1" applyBorder="1"/>
    <xf numFmtId="4" fontId="23" fillId="0" borderId="43" xfId="0" applyNumberFormat="1" applyFont="1" applyBorder="1" applyAlignment="1">
      <alignment horizontal="right"/>
    </xf>
    <xf numFmtId="0" fontId="0" fillId="16" borderId="0" xfId="0" applyFill="1"/>
    <xf numFmtId="4" fontId="23" fillId="0" borderId="56" xfId="0" applyNumberFormat="1" applyFont="1" applyBorder="1" applyAlignment="1">
      <alignment horizontal="right"/>
    </xf>
    <xf numFmtId="182" fontId="16" fillId="7" borderId="40" xfId="143" applyNumberFormat="1" applyFont="1" applyFill="1" applyBorder="1" applyAlignment="1">
      <alignment horizontal="left"/>
    </xf>
    <xf numFmtId="173" fontId="16" fillId="0" borderId="132" xfId="0" applyNumberFormat="1" applyFont="1" applyBorder="1"/>
    <xf numFmtId="166" fontId="16" fillId="0" borderId="0" xfId="0" applyNumberFormat="1" applyFont="1"/>
    <xf numFmtId="4" fontId="16" fillId="0" borderId="161" xfId="0" applyNumberFormat="1" applyFont="1" applyBorder="1"/>
    <xf numFmtId="180" fontId="16" fillId="7" borderId="9" xfId="0" applyNumberFormat="1" applyFont="1" applyFill="1" applyBorder="1"/>
    <xf numFmtId="180" fontId="16" fillId="0" borderId="96" xfId="0" applyNumberFormat="1" applyFont="1" applyBorder="1"/>
    <xf numFmtId="180" fontId="16" fillId="0" borderId="162" xfId="0" applyNumberFormat="1" applyFont="1" applyBorder="1"/>
    <xf numFmtId="180" fontId="16" fillId="7" borderId="43" xfId="0" applyNumberFormat="1" applyFont="1" applyFill="1" applyBorder="1"/>
    <xf numFmtId="180" fontId="16" fillId="0" borderId="77" xfId="0" applyNumberFormat="1" applyFont="1" applyBorder="1"/>
    <xf numFmtId="180" fontId="16" fillId="7" borderId="56" xfId="0" applyNumberFormat="1" applyFont="1" applyFill="1" applyBorder="1"/>
    <xf numFmtId="180" fontId="16" fillId="11" borderId="57" xfId="0" applyNumberFormat="1" applyFont="1" applyFill="1" applyBorder="1"/>
    <xf numFmtId="0" fontId="16" fillId="0" borderId="149" xfId="0" applyFont="1" applyBorder="1"/>
    <xf numFmtId="0" fontId="16" fillId="16" borderId="149" xfId="0" applyFont="1" applyFill="1" applyBorder="1"/>
    <xf numFmtId="172" fontId="16" fillId="7" borderId="7" xfId="3" applyNumberFormat="1" applyFont="1" applyFill="1" applyBorder="1" applyAlignment="1">
      <alignment horizontal="center"/>
    </xf>
    <xf numFmtId="172" fontId="16" fillId="25" borderId="39" xfId="3" applyNumberFormat="1" applyFont="1" applyFill="1" applyBorder="1" applyAlignment="1">
      <alignment horizontal="center"/>
    </xf>
    <xf numFmtId="172" fontId="16" fillId="7" borderId="12" xfId="0" applyNumberFormat="1" applyFont="1" applyFill="1" applyBorder="1" applyAlignment="1">
      <alignment horizontal="center"/>
    </xf>
    <xf numFmtId="182" fontId="25" fillId="0" borderId="40" xfId="143" applyNumberFormat="1" applyFont="1" applyBorder="1"/>
    <xf numFmtId="0" fontId="78" fillId="0" borderId="170" xfId="0" applyFont="1" applyBorder="1"/>
    <xf numFmtId="0" fontId="0" fillId="0" borderId="166" xfId="0" applyBorder="1"/>
    <xf numFmtId="0" fontId="0" fillId="0" borderId="166" xfId="0" applyBorder="1" applyAlignment="1">
      <alignment wrapText="1"/>
    </xf>
    <xf numFmtId="0" fontId="0" fillId="16" borderId="163" xfId="0" applyFill="1" applyBorder="1" applyAlignment="1">
      <alignment horizontal="center"/>
    </xf>
    <xf numFmtId="4" fontId="0" fillId="0" borderId="41" xfId="0" applyNumberFormat="1" applyBorder="1"/>
    <xf numFmtId="4" fontId="0" fillId="0" borderId="149" xfId="0" applyNumberFormat="1" applyBorder="1"/>
    <xf numFmtId="4" fontId="0" fillId="0" borderId="56" xfId="0" applyNumberFormat="1" applyBorder="1"/>
    <xf numFmtId="4" fontId="69" fillId="16" borderId="166" xfId="0" applyNumberFormat="1" applyFont="1" applyFill="1" applyBorder="1" applyAlignment="1">
      <alignment horizontal="right"/>
    </xf>
    <xf numFmtId="4" fontId="69" fillId="0" borderId="166" xfId="0" applyNumberFormat="1" applyFont="1" applyBorder="1" applyAlignment="1">
      <alignment horizontal="center"/>
    </xf>
    <xf numFmtId="4" fontId="82" fillId="0" borderId="163" xfId="0" applyNumberFormat="1" applyFont="1" applyBorder="1" applyAlignment="1"/>
    <xf numFmtId="0" fontId="0" fillId="0" borderId="163" xfId="0" applyBorder="1"/>
    <xf numFmtId="4" fontId="23" fillId="16" borderId="149" xfId="0" applyNumberFormat="1" applyFont="1" applyFill="1" applyBorder="1" applyAlignment="1">
      <alignment horizontal="right"/>
    </xf>
    <xf numFmtId="0" fontId="0" fillId="0" borderId="172" xfId="0" applyBorder="1"/>
    <xf numFmtId="4" fontId="23" fillId="7" borderId="56" xfId="0" applyNumberFormat="1" applyFont="1" applyFill="1" applyBorder="1"/>
    <xf numFmtId="4" fontId="85" fillId="7" borderId="171" xfId="0" applyNumberFormat="1" applyFont="1" applyFill="1" applyBorder="1" applyAlignment="1">
      <alignment horizontal="right"/>
    </xf>
    <xf numFmtId="4" fontId="85" fillId="7" borderId="115" xfId="0" applyNumberFormat="1" applyFont="1" applyFill="1" applyBorder="1" applyAlignment="1">
      <alignment horizontal="right"/>
    </xf>
    <xf numFmtId="184" fontId="4" fillId="0" borderId="161" xfId="0" applyNumberFormat="1" applyFont="1" applyBorder="1"/>
    <xf numFmtId="0" fontId="0" fillId="34" borderId="30" xfId="0" applyFill="1" applyBorder="1"/>
    <xf numFmtId="3" fontId="14" fillId="34" borderId="149" xfId="16" applyNumberFormat="1" applyFont="1" applyFill="1" applyBorder="1" applyAlignment="1">
      <alignment vertical="center"/>
    </xf>
    <xf numFmtId="3" fontId="14" fillId="14" borderId="149" xfId="16" applyNumberFormat="1" applyFont="1" applyFill="1" applyBorder="1" applyAlignment="1">
      <alignment horizontal="right" vertical="center"/>
    </xf>
    <xf numFmtId="3" fontId="14" fillId="49" borderId="149" xfId="16" applyNumberFormat="1" applyFont="1" applyFill="1" applyBorder="1" applyAlignment="1">
      <alignment vertical="center"/>
    </xf>
    <xf numFmtId="0" fontId="57" fillId="0" borderId="24" xfId="16" applyFont="1" applyBorder="1" applyAlignment="1">
      <alignment horizontal="center" vertical="center"/>
    </xf>
    <xf numFmtId="0" fontId="66" fillId="54" borderId="19" xfId="16" applyFont="1" applyFill="1" applyBorder="1" applyAlignment="1">
      <alignment horizontal="center" vertical="center" wrapText="1"/>
    </xf>
    <xf numFmtId="0" fontId="57" fillId="54" borderId="25" xfId="16" applyFont="1" applyFill="1" applyBorder="1" applyAlignment="1">
      <alignment horizontal="center" vertical="center"/>
    </xf>
    <xf numFmtId="0" fontId="15" fillId="54" borderId="19" xfId="16" applyFont="1" applyFill="1" applyBorder="1" applyAlignment="1">
      <alignment horizontal="center" vertical="center" wrapText="1"/>
    </xf>
    <xf numFmtId="0" fontId="14" fillId="0" borderId="0" xfId="16" applyFont="1" applyFill="1" applyBorder="1"/>
    <xf numFmtId="3" fontId="14" fillId="0" borderId="25" xfId="16" applyNumberFormat="1" applyFont="1" applyFill="1" applyBorder="1" applyAlignment="1">
      <alignment vertical="center"/>
    </xf>
    <xf numFmtId="3" fontId="15" fillId="0" borderId="25" xfId="16" applyNumberFormat="1" applyFont="1" applyFill="1" applyBorder="1" applyAlignment="1">
      <alignment horizontal="left" vertical="center" wrapText="1"/>
    </xf>
    <xf numFmtId="3" fontId="68" fillId="0" borderId="25" xfId="16" applyNumberFormat="1" applyFont="1" applyFill="1" applyBorder="1" applyAlignment="1">
      <alignment vertical="center"/>
    </xf>
    <xf numFmtId="3" fontId="18" fillId="34" borderId="180" xfId="16" applyNumberFormat="1" applyFont="1" applyFill="1" applyBorder="1" applyAlignment="1">
      <alignment vertical="center" wrapText="1"/>
    </xf>
    <xf numFmtId="3" fontId="68" fillId="34" borderId="149" xfId="16" applyNumberFormat="1" applyFont="1" applyFill="1" applyBorder="1" applyAlignment="1">
      <alignment vertical="center" wrapText="1"/>
    </xf>
    <xf numFmtId="3" fontId="14" fillId="34" borderId="181" xfId="16" applyNumberFormat="1" applyFont="1" applyFill="1" applyBorder="1" applyAlignment="1">
      <alignment vertical="center"/>
    </xf>
    <xf numFmtId="3" fontId="14" fillId="34" borderId="149" xfId="16" applyNumberFormat="1" applyFont="1" applyFill="1" applyBorder="1" applyAlignment="1">
      <alignment vertical="center" wrapText="1"/>
    </xf>
    <xf numFmtId="3" fontId="14" fillId="34" borderId="149" xfId="16" applyNumberFormat="1" applyFont="1" applyFill="1" applyBorder="1" applyAlignment="1">
      <alignment horizontal="left" vertical="center" wrapText="1"/>
    </xf>
    <xf numFmtId="3" fontId="14" fillId="34" borderId="180" xfId="16" applyNumberFormat="1" applyFont="1" applyFill="1" applyBorder="1" applyAlignment="1">
      <alignment horizontal="left" vertical="center" wrapText="1"/>
    </xf>
    <xf numFmtId="3" fontId="18" fillId="34" borderId="180" xfId="16" applyNumberFormat="1" applyFont="1" applyFill="1" applyBorder="1" applyAlignment="1">
      <alignment horizontal="left" vertical="center" wrapText="1"/>
    </xf>
    <xf numFmtId="3" fontId="14" fillId="34" borderId="173" xfId="16" applyNumberFormat="1" applyFont="1" applyFill="1" applyBorder="1" applyAlignment="1">
      <alignment vertical="center"/>
    </xf>
    <xf numFmtId="3" fontId="14" fillId="14" borderId="180" xfId="16" applyNumberFormat="1" applyFont="1" applyFill="1" applyBorder="1" applyAlignment="1">
      <alignment horizontal="left" vertical="center" wrapText="1"/>
    </xf>
    <xf numFmtId="3" fontId="68" fillId="14" borderId="149" xfId="16" applyNumberFormat="1" applyFont="1" applyFill="1" applyBorder="1" applyAlignment="1">
      <alignment horizontal="right" vertical="center"/>
    </xf>
    <xf numFmtId="3" fontId="14" fillId="14" borderId="181" xfId="16" applyNumberFormat="1" applyFont="1" applyFill="1" applyBorder="1" applyAlignment="1">
      <alignment horizontal="right" vertical="center"/>
    </xf>
    <xf numFmtId="3" fontId="68" fillId="14" borderId="149" xfId="16" applyNumberFormat="1" applyFont="1" applyFill="1" applyBorder="1" applyAlignment="1">
      <alignment horizontal="right" vertical="center" wrapText="1"/>
    </xf>
    <xf numFmtId="3" fontId="14" fillId="14" borderId="173" xfId="16" applyNumberFormat="1" applyFont="1" applyFill="1" applyBorder="1"/>
    <xf numFmtId="3" fontId="14" fillId="49" borderId="180" xfId="16" applyNumberFormat="1" applyFont="1" applyFill="1" applyBorder="1" applyAlignment="1">
      <alignment horizontal="left" vertical="center" wrapText="1"/>
    </xf>
    <xf numFmtId="3" fontId="68" fillId="49" borderId="149" xfId="16" applyNumberFormat="1" applyFont="1" applyFill="1" applyBorder="1" applyAlignment="1">
      <alignment horizontal="right" vertical="center" wrapText="1"/>
    </xf>
    <xf numFmtId="3" fontId="14" fillId="49" borderId="181" xfId="16" applyNumberFormat="1" applyFont="1" applyFill="1" applyBorder="1" applyAlignment="1">
      <alignment vertical="center"/>
    </xf>
    <xf numFmtId="3" fontId="18" fillId="49" borderId="180" xfId="16" applyNumberFormat="1" applyFont="1" applyFill="1" applyBorder="1" applyAlignment="1">
      <alignment horizontal="left" vertical="center" wrapText="1"/>
    </xf>
    <xf numFmtId="3" fontId="14" fillId="49" borderId="173" xfId="16" applyNumberFormat="1" applyFont="1" applyFill="1" applyBorder="1" applyAlignment="1">
      <alignment vertical="center"/>
    </xf>
    <xf numFmtId="1" fontId="14" fillId="49" borderId="173" xfId="16" applyNumberFormat="1" applyFont="1" applyFill="1" applyBorder="1" applyAlignment="1">
      <alignment vertical="center"/>
    </xf>
    <xf numFmtId="4" fontId="69" fillId="0" borderId="166" xfId="0" applyNumberFormat="1" applyFont="1" applyBorder="1" applyAlignment="1">
      <alignment horizontal="right" vertical="center"/>
    </xf>
    <xf numFmtId="4" fontId="23" fillId="0" borderId="149" xfId="0" applyNumberFormat="1" applyFont="1" applyBorder="1" applyAlignment="1">
      <alignment horizontal="right" vertical="center"/>
    </xf>
    <xf numFmtId="0" fontId="78" fillId="0" borderId="161" xfId="0" applyFont="1" applyBorder="1"/>
    <xf numFmtId="171" fontId="14" fillId="24" borderId="37" xfId="3" applyNumberFormat="1" applyFont="1" applyFill="1" applyBorder="1" applyAlignment="1">
      <alignment vertical="center"/>
    </xf>
    <xf numFmtId="171" fontId="14" fillId="24" borderId="61" xfId="3" applyNumberFormat="1" applyFont="1" applyFill="1" applyBorder="1" applyAlignment="1">
      <alignment vertical="center"/>
    </xf>
    <xf numFmtId="171" fontId="15" fillId="24" borderId="24" xfId="3" applyNumberFormat="1" applyFont="1" applyFill="1" applyBorder="1" applyAlignment="1">
      <alignment horizontal="left" vertical="center" wrapText="1"/>
    </xf>
    <xf numFmtId="171" fontId="68" fillId="24" borderId="61" xfId="3" applyNumberFormat="1" applyFont="1" applyFill="1" applyBorder="1" applyAlignment="1">
      <alignment vertical="center"/>
    </xf>
    <xf numFmtId="3" fontId="86" fillId="0" borderId="166" xfId="16" applyNumberFormat="1" applyFont="1" applyBorder="1" applyAlignment="1">
      <alignment horizontal="left" vertical="center" wrapText="1"/>
    </xf>
    <xf numFmtId="3" fontId="86" fillId="0" borderId="167" xfId="16" applyNumberFormat="1" applyFont="1" applyBorder="1" applyAlignment="1">
      <alignment horizontal="left" vertical="center" wrapText="1"/>
    </xf>
    <xf numFmtId="3" fontId="86" fillId="0" borderId="166" xfId="16" applyNumberFormat="1" applyFont="1" applyBorder="1" applyAlignment="1">
      <alignment vertical="center" wrapText="1"/>
    </xf>
    <xf numFmtId="3" fontId="88" fillId="7" borderId="165" xfId="16" applyNumberFormat="1" applyFont="1" applyFill="1" applyBorder="1" applyAlignment="1">
      <alignment horizontal="left" vertical="center"/>
    </xf>
    <xf numFmtId="3" fontId="89" fillId="7" borderId="165" xfId="16" applyNumberFormat="1" applyFont="1" applyFill="1" applyBorder="1" applyAlignment="1">
      <alignment horizontal="left" vertical="center" wrapText="1"/>
    </xf>
    <xf numFmtId="3" fontId="89" fillId="7" borderId="165" xfId="16" applyNumberFormat="1" applyFont="1" applyFill="1" applyBorder="1" applyAlignment="1">
      <alignment vertical="center" wrapText="1"/>
    </xf>
    <xf numFmtId="0" fontId="88" fillId="7" borderId="165" xfId="16" applyFont="1" applyFill="1" applyBorder="1" applyAlignment="1">
      <alignment horizontal="left" vertical="center"/>
    </xf>
    <xf numFmtId="4" fontId="90" fillId="0" borderId="149" xfId="0" applyNumberFormat="1" applyFont="1" applyBorder="1"/>
    <xf numFmtId="0" fontId="70" fillId="0" borderId="163" xfId="0" applyFont="1" applyBorder="1" applyAlignment="1">
      <alignment horizontal="center"/>
    </xf>
    <xf numFmtId="0" fontId="70" fillId="0" borderId="130" xfId="0" applyFont="1" applyBorder="1" applyAlignment="1">
      <alignment horizontal="center"/>
    </xf>
    <xf numFmtId="4" fontId="91" fillId="0" borderId="149" xfId="0" applyNumberFormat="1" applyFont="1" applyBorder="1" applyAlignment="1">
      <alignment horizontal="right"/>
    </xf>
    <xf numFmtId="3" fontId="92" fillId="0" borderId="166" xfId="16" applyNumberFormat="1" applyFont="1" applyBorder="1" applyAlignment="1">
      <alignment horizontal="left" vertical="center" wrapText="1"/>
    </xf>
    <xf numFmtId="3" fontId="87" fillId="0" borderId="130" xfId="16" applyNumberFormat="1" applyFont="1" applyBorder="1" applyAlignment="1">
      <alignment horizontal="left" vertical="center" wrapText="1"/>
    </xf>
    <xf numFmtId="3" fontId="79" fillId="0" borderId="130" xfId="16" applyNumberFormat="1" applyFont="1" applyBorder="1" applyAlignment="1">
      <alignment horizontal="left" vertical="center" wrapText="1"/>
    </xf>
    <xf numFmtId="3" fontId="93" fillId="7" borderId="130" xfId="16" applyNumberFormat="1" applyFont="1" applyFill="1" applyBorder="1" applyAlignment="1">
      <alignment horizontal="left" vertical="center" wrapText="1"/>
    </xf>
    <xf numFmtId="4" fontId="0" fillId="7" borderId="130" xfId="0" applyNumberFormat="1" applyFill="1" applyBorder="1"/>
    <xf numFmtId="0" fontId="0" fillId="7" borderId="130" xfId="0" applyFill="1" applyBorder="1" applyAlignment="1">
      <alignment horizontal="center"/>
    </xf>
    <xf numFmtId="4" fontId="69" fillId="7" borderId="130" xfId="0" applyNumberFormat="1" applyFont="1" applyFill="1" applyBorder="1" applyAlignment="1">
      <alignment horizontal="right"/>
    </xf>
    <xf numFmtId="4" fontId="23" fillId="7" borderId="130" xfId="0" applyNumberFormat="1" applyFont="1" applyFill="1" applyBorder="1" applyAlignment="1">
      <alignment horizontal="right"/>
    </xf>
    <xf numFmtId="3" fontId="77" fillId="7" borderId="131" xfId="0" applyNumberFormat="1" applyFont="1" applyFill="1" applyBorder="1"/>
    <xf numFmtId="4" fontId="80" fillId="0" borderId="149" xfId="0" applyNumberFormat="1" applyFont="1" applyBorder="1" applyAlignment="1">
      <alignment vertical="center"/>
    </xf>
    <xf numFmtId="0" fontId="0" fillId="0" borderId="163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4" fontId="77" fillId="0" borderId="163" xfId="0" applyNumberFormat="1" applyFont="1" applyBorder="1" applyAlignment="1">
      <alignment vertical="center"/>
    </xf>
    <xf numFmtId="0" fontId="0" fillId="0" borderId="16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170" fontId="16" fillId="7" borderId="6" xfId="0" applyNumberFormat="1" applyFont="1" applyFill="1" applyBorder="1"/>
    <xf numFmtId="170" fontId="16" fillId="7" borderId="13" xfId="0" applyNumberFormat="1" applyFont="1" applyFill="1" applyBorder="1"/>
    <xf numFmtId="173" fontId="16" fillId="7" borderId="41" xfId="0" applyNumberFormat="1" applyFont="1" applyFill="1" applyBorder="1" applyAlignment="1">
      <alignment horizontal="right" indent="1"/>
    </xf>
    <xf numFmtId="173" fontId="16" fillId="7" borderId="42" xfId="0" applyNumberFormat="1" applyFont="1" applyFill="1" applyBorder="1" applyAlignment="1">
      <alignment horizontal="right" indent="1"/>
    </xf>
    <xf numFmtId="173" fontId="16" fillId="7" borderId="76" xfId="0" applyNumberFormat="1" applyFont="1" applyFill="1" applyBorder="1" applyAlignment="1">
      <alignment horizontal="right" indent="1"/>
    </xf>
    <xf numFmtId="173" fontId="16" fillId="7" borderId="43" xfId="0" applyNumberFormat="1" applyFont="1" applyFill="1" applyBorder="1" applyAlignment="1">
      <alignment horizontal="right" indent="1"/>
    </xf>
    <xf numFmtId="173" fontId="16" fillId="7" borderId="77" xfId="0" applyNumberFormat="1" applyFont="1" applyFill="1" applyBorder="1" applyAlignment="1">
      <alignment horizontal="right" indent="1"/>
    </xf>
    <xf numFmtId="173" fontId="16" fillId="7" borderId="47" xfId="0" applyNumberFormat="1" applyFont="1" applyFill="1" applyBorder="1" applyAlignment="1">
      <alignment horizontal="right" indent="1"/>
    </xf>
    <xf numFmtId="173" fontId="16" fillId="7" borderId="0" xfId="0" applyNumberFormat="1" applyFont="1" applyFill="1" applyAlignment="1">
      <alignment horizontal="right" indent="1"/>
    </xf>
    <xf numFmtId="173" fontId="16" fillId="7" borderId="103" xfId="0" applyNumberFormat="1" applyFont="1" applyFill="1" applyBorder="1" applyAlignment="1">
      <alignment horizontal="right" indent="1"/>
    </xf>
    <xf numFmtId="173" fontId="16" fillId="7" borderId="56" xfId="0" applyNumberFormat="1" applyFont="1" applyFill="1" applyBorder="1" applyAlignment="1">
      <alignment horizontal="right" indent="1"/>
    </xf>
    <xf numFmtId="173" fontId="16" fillId="7" borderId="102" xfId="0" applyNumberFormat="1" applyFont="1" applyFill="1" applyBorder="1" applyAlignment="1">
      <alignment horizontal="right" indent="1"/>
    </xf>
    <xf numFmtId="3" fontId="16" fillId="0" borderId="132" xfId="0" applyNumberFormat="1" applyFont="1" applyBorder="1"/>
    <xf numFmtId="3" fontId="16" fillId="0" borderId="162" xfId="0" applyNumberFormat="1" applyFont="1" applyBorder="1"/>
    <xf numFmtId="170" fontId="94" fillId="0" borderId="72" xfId="0" applyNumberFormat="1" applyFont="1" applyBorder="1"/>
    <xf numFmtId="4" fontId="94" fillId="0" borderId="101" xfId="0" applyNumberFormat="1" applyFont="1" applyBorder="1"/>
    <xf numFmtId="180" fontId="94" fillId="0" borderId="96" xfId="0" applyNumberFormat="1" applyFont="1" applyBorder="1"/>
    <xf numFmtId="173" fontId="94" fillId="0" borderId="132" xfId="0" applyNumberFormat="1" applyFont="1" applyBorder="1"/>
    <xf numFmtId="4" fontId="94" fillId="0" borderId="163" xfId="0" applyNumberFormat="1" applyFont="1" applyBorder="1"/>
    <xf numFmtId="180" fontId="94" fillId="0" borderId="162" xfId="0" applyNumberFormat="1" applyFont="1" applyBorder="1"/>
    <xf numFmtId="173" fontId="94" fillId="0" borderId="72" xfId="0" applyNumberFormat="1" applyFont="1" applyBorder="1"/>
    <xf numFmtId="180" fontId="94" fillId="0" borderId="77" xfId="0" applyNumberFormat="1" applyFont="1" applyBorder="1"/>
    <xf numFmtId="177" fontId="94" fillId="16" borderId="72" xfId="1" applyNumberFormat="1" applyFont="1" applyFill="1" applyBorder="1" applyAlignment="1"/>
    <xf numFmtId="177" fontId="94" fillId="16" borderId="96" xfId="1" applyNumberFormat="1" applyFont="1" applyFill="1" applyBorder="1" applyAlignment="1"/>
    <xf numFmtId="180" fontId="16" fillId="0" borderId="149" xfId="0" applyNumberFormat="1" applyFont="1" applyBorder="1"/>
    <xf numFmtId="180" fontId="94" fillId="0" borderId="149" xfId="0" applyNumberFormat="1" applyFont="1" applyBorder="1"/>
    <xf numFmtId="177" fontId="16" fillId="88" borderId="132" xfId="1" applyNumberFormat="1" applyFont="1" applyFill="1" applyBorder="1" applyAlignment="1"/>
    <xf numFmtId="177" fontId="16" fillId="88" borderId="162" xfId="1" applyNumberFormat="1" applyFont="1" applyFill="1" applyBorder="1" applyAlignment="1"/>
    <xf numFmtId="177" fontId="16" fillId="16" borderId="132" xfId="1" applyNumberFormat="1" applyFont="1" applyFill="1" applyBorder="1" applyAlignment="1"/>
    <xf numFmtId="177" fontId="16" fillId="16" borderId="162" xfId="1" applyNumberFormat="1" applyFont="1" applyFill="1" applyBorder="1" applyAlignment="1"/>
    <xf numFmtId="177" fontId="94" fillId="16" borderId="132" xfId="1" applyNumberFormat="1" applyFont="1" applyFill="1" applyBorder="1" applyAlignment="1"/>
    <xf numFmtId="177" fontId="94" fillId="16" borderId="162" xfId="1" applyNumberFormat="1" applyFont="1" applyFill="1" applyBorder="1" applyAlignment="1"/>
    <xf numFmtId="3" fontId="15" fillId="24" borderId="58" xfId="16" applyNumberFormat="1" applyFont="1" applyFill="1" applyBorder="1" applyAlignment="1">
      <alignment horizontal="left" vertical="center" wrapText="1"/>
    </xf>
    <xf numFmtId="3" fontId="14" fillId="24" borderId="47" xfId="16" applyNumberFormat="1" applyFont="1" applyFill="1" applyBorder="1" applyAlignment="1">
      <alignment vertical="center"/>
    </xf>
    <xf numFmtId="3" fontId="15" fillId="24" borderId="59" xfId="16" applyNumberFormat="1" applyFont="1" applyFill="1" applyBorder="1" applyAlignment="1">
      <alignment horizontal="left" vertical="center" wrapText="1"/>
    </xf>
    <xf numFmtId="3" fontId="14" fillId="24" borderId="62" xfId="16" applyNumberFormat="1" applyFont="1" applyFill="1" applyBorder="1" applyAlignment="1">
      <alignment vertical="center"/>
    </xf>
    <xf numFmtId="3" fontId="14" fillId="24" borderId="43" xfId="16" applyNumberFormat="1" applyFont="1" applyFill="1" applyBorder="1" applyAlignment="1">
      <alignment vertical="center"/>
    </xf>
    <xf numFmtId="3" fontId="68" fillId="24" borderId="43" xfId="16" applyNumberFormat="1" applyFont="1" applyFill="1" applyBorder="1" applyAlignment="1">
      <alignment vertical="center"/>
    </xf>
    <xf numFmtId="10" fontId="68" fillId="24" borderId="47" xfId="3" applyNumberFormat="1" applyFont="1" applyFill="1" applyBorder="1" applyAlignment="1">
      <alignment vertical="center"/>
    </xf>
    <xf numFmtId="10" fontId="14" fillId="24" borderId="0" xfId="3" applyNumberFormat="1" applyFont="1" applyFill="1" applyBorder="1" applyAlignment="1">
      <alignment vertical="center"/>
    </xf>
    <xf numFmtId="10" fontId="14" fillId="24" borderId="47" xfId="3" applyNumberFormat="1" applyFont="1" applyFill="1" applyBorder="1" applyAlignment="1">
      <alignment vertical="center"/>
    </xf>
    <xf numFmtId="3" fontId="15" fillId="24" borderId="26" xfId="16" applyNumberFormat="1" applyFont="1" applyFill="1" applyBorder="1" applyAlignment="1">
      <alignment horizontal="left" vertical="center" wrapText="1"/>
    </xf>
    <xf numFmtId="3" fontId="14" fillId="24" borderId="47" xfId="3" applyNumberFormat="1" applyFont="1" applyFill="1" applyBorder="1" applyAlignment="1">
      <alignment vertical="center"/>
    </xf>
    <xf numFmtId="3" fontId="14" fillId="24" borderId="0" xfId="3" applyNumberFormat="1" applyFont="1" applyFill="1" applyBorder="1" applyAlignment="1">
      <alignment vertical="center"/>
    </xf>
    <xf numFmtId="0" fontId="4" fillId="7" borderId="161" xfId="0" applyFont="1" applyFill="1" applyBorder="1"/>
    <xf numFmtId="169" fontId="4" fillId="7" borderId="161" xfId="0" applyNumberFormat="1" applyFont="1" applyFill="1" applyBorder="1"/>
    <xf numFmtId="0" fontId="4" fillId="0" borderId="161" xfId="0" applyFont="1" applyBorder="1"/>
    <xf numFmtId="169" fontId="4" fillId="0" borderId="161" xfId="0" applyNumberFormat="1" applyFont="1" applyBorder="1"/>
    <xf numFmtId="179" fontId="4" fillId="7" borderId="161" xfId="0" applyNumberFormat="1" applyFont="1" applyFill="1" applyBorder="1"/>
    <xf numFmtId="179" fontId="4" fillId="0" borderId="161" xfId="0" applyNumberFormat="1" applyFont="1" applyBorder="1"/>
    <xf numFmtId="0" fontId="16" fillId="0" borderId="161" xfId="8" applyFont="1" applyBorder="1" applyAlignment="1">
      <alignment wrapText="1"/>
    </xf>
    <xf numFmtId="0" fontId="16" fillId="89" borderId="161" xfId="8" applyFont="1" applyFill="1" applyBorder="1" applyAlignment="1">
      <alignment horizontal="center" vertical="center" wrapText="1"/>
    </xf>
    <xf numFmtId="0" fontId="16" fillId="0" borderId="161" xfId="8" applyFont="1" applyBorder="1" applyAlignment="1">
      <alignment horizontal="center" vertical="center" wrapText="1"/>
    </xf>
    <xf numFmtId="173" fontId="16" fillId="7" borderId="161" xfId="8" applyNumberFormat="1" applyFont="1" applyFill="1" applyBorder="1" applyAlignment="1">
      <alignment horizontal="center"/>
    </xf>
    <xf numFmtId="166" fontId="16" fillId="7" borderId="161" xfId="8" applyNumberFormat="1" applyFont="1" applyFill="1" applyBorder="1"/>
    <xf numFmtId="173" fontId="16" fillId="23" borderId="161" xfId="8" applyNumberFormat="1" applyFont="1" applyFill="1" applyBorder="1" applyAlignment="1">
      <alignment horizontal="center"/>
    </xf>
    <xf numFmtId="166" fontId="16" fillId="0" borderId="161" xfId="8" applyNumberFormat="1" applyFont="1" applyBorder="1"/>
    <xf numFmtId="169" fontId="16" fillId="0" borderId="161" xfId="8" applyNumberFormat="1" applyFont="1" applyBorder="1"/>
    <xf numFmtId="0" fontId="16" fillId="0" borderId="166" xfId="8" applyFont="1" applyBorder="1" applyAlignment="1">
      <alignment wrapText="1"/>
    </xf>
    <xf numFmtId="10" fontId="16" fillId="7" borderId="161" xfId="9" applyNumberFormat="1" applyFont="1" applyFill="1" applyBorder="1"/>
    <xf numFmtId="10" fontId="16" fillId="0" borderId="161" xfId="3" applyNumberFormat="1" applyFont="1" applyBorder="1"/>
    <xf numFmtId="10" fontId="16" fillId="7" borderId="161" xfId="3" applyNumberFormat="1" applyFont="1" applyFill="1" applyBorder="1"/>
    <xf numFmtId="10" fontId="4" fillId="7" borderId="7" xfId="3" applyNumberFormat="1" applyFont="1" applyFill="1" applyBorder="1"/>
    <xf numFmtId="10" fontId="4" fillId="0" borderId="5" xfId="3" applyNumberFormat="1" applyFont="1" applyBorder="1"/>
    <xf numFmtId="10" fontId="4" fillId="0" borderId="106" xfId="3" applyNumberFormat="1" applyFont="1" applyBorder="1"/>
    <xf numFmtId="10" fontId="16" fillId="7" borderId="2" xfId="3" applyNumberFormat="1" applyFont="1" applyFill="1" applyBorder="1"/>
    <xf numFmtId="10" fontId="16" fillId="13" borderId="2" xfId="3" applyNumberFormat="1" applyFont="1" applyFill="1" applyBorder="1"/>
    <xf numFmtId="10" fontId="4" fillId="7" borderId="8" xfId="3" applyNumberFormat="1" applyFont="1" applyFill="1" applyBorder="1"/>
    <xf numFmtId="10" fontId="4" fillId="7" borderId="9" xfId="3" applyNumberFormat="1" applyFont="1" applyFill="1" applyBorder="1"/>
    <xf numFmtId="10" fontId="16" fillId="7" borderId="66" xfId="3" applyNumberFormat="1" applyFont="1" applyFill="1" applyBorder="1"/>
    <xf numFmtId="10" fontId="4" fillId="0" borderId="69" xfId="3" applyNumberFormat="1" applyFont="1" applyBorder="1"/>
    <xf numFmtId="10" fontId="16" fillId="0" borderId="71" xfId="3" applyNumberFormat="1" applyFont="1" applyBorder="1"/>
    <xf numFmtId="10" fontId="4" fillId="16" borderId="5" xfId="3" applyNumberFormat="1" applyFont="1" applyFill="1" applyBorder="1"/>
    <xf numFmtId="10" fontId="4" fillId="0" borderId="107" xfId="3" applyNumberFormat="1" applyFont="1" applyBorder="1"/>
    <xf numFmtId="10" fontId="16" fillId="0" borderId="109" xfId="3" applyNumberFormat="1" applyFont="1" applyBorder="1"/>
    <xf numFmtId="10" fontId="4" fillId="16" borderId="106" xfId="3" applyNumberFormat="1" applyFont="1" applyFill="1" applyBorder="1"/>
    <xf numFmtId="10" fontId="16" fillId="7" borderId="3" xfId="3" applyNumberFormat="1" applyFont="1" applyFill="1" applyBorder="1"/>
    <xf numFmtId="10" fontId="16" fillId="7" borderId="33" xfId="3" applyNumberFormat="1" applyFont="1" applyFill="1" applyBorder="1"/>
    <xf numFmtId="10" fontId="16" fillId="13" borderId="3" xfId="3" applyNumberFormat="1" applyFont="1" applyFill="1" applyBorder="1"/>
    <xf numFmtId="10" fontId="16" fillId="13" borderId="33" xfId="3" applyNumberFormat="1" applyFont="1" applyFill="1" applyBorder="1"/>
    <xf numFmtId="180" fontId="16" fillId="6" borderId="162" xfId="0" applyNumberFormat="1" applyFont="1" applyFill="1" applyBorder="1"/>
    <xf numFmtId="180" fontId="16" fillId="6" borderId="96" xfId="0" applyNumberFormat="1" applyFont="1" applyFill="1" applyBorder="1"/>
    <xf numFmtId="0" fontId="81" fillId="0" borderId="0" xfId="0" applyFon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Fill="1" applyBorder="1"/>
    <xf numFmtId="0" fontId="0" fillId="0" borderId="111" xfId="0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14" borderId="7" xfId="0" applyFill="1" applyBorder="1"/>
    <xf numFmtId="4" fontId="0" fillId="14" borderId="8" xfId="0" applyNumberFormat="1" applyFill="1" applyBorder="1"/>
    <xf numFmtId="10" fontId="0" fillId="14" borderId="8" xfId="3" applyNumberFormat="1" applyFont="1" applyFill="1" applyBorder="1"/>
    <xf numFmtId="0" fontId="0" fillId="14" borderId="132" xfId="0" applyFill="1" applyBorder="1"/>
    <xf numFmtId="0" fontId="0" fillId="14" borderId="12" xfId="0" applyFill="1" applyBorder="1"/>
    <xf numFmtId="4" fontId="0" fillId="14" borderId="13" xfId="0" applyNumberFormat="1" applyFill="1" applyBorder="1"/>
    <xf numFmtId="10" fontId="0" fillId="14" borderId="13" xfId="3" applyNumberFormat="1" applyFont="1" applyFill="1" applyBorder="1"/>
    <xf numFmtId="4" fontId="0" fillId="24" borderId="8" xfId="0" applyNumberFormat="1" applyFill="1" applyBorder="1"/>
    <xf numFmtId="10" fontId="0" fillId="24" borderId="8" xfId="3" applyNumberFormat="1" applyFont="1" applyFill="1" applyBorder="1"/>
    <xf numFmtId="0" fontId="0" fillId="24" borderId="12" xfId="0" applyFill="1" applyBorder="1"/>
    <xf numFmtId="4" fontId="0" fillId="24" borderId="13" xfId="0" applyNumberFormat="1" applyFill="1" applyBorder="1"/>
    <xf numFmtId="4" fontId="0" fillId="8" borderId="8" xfId="0" applyNumberFormat="1" applyFill="1" applyBorder="1"/>
    <xf numFmtId="0" fontId="0" fillId="8" borderId="12" xfId="0" applyFill="1" applyBorder="1"/>
    <xf numFmtId="4" fontId="0" fillId="8" borderId="13" xfId="0" applyNumberFormat="1" applyFill="1" applyBorder="1"/>
    <xf numFmtId="0" fontId="16" fillId="0" borderId="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115" borderId="19" xfId="0" applyFont="1" applyFill="1" applyBorder="1" applyAlignment="1">
      <alignment horizontal="left" indent="1"/>
    </xf>
    <xf numFmtId="0" fontId="97" fillId="0" borderId="0" xfId="0" applyFont="1"/>
    <xf numFmtId="180" fontId="97" fillId="0" borderId="0" xfId="0" applyNumberFormat="1" applyFont="1"/>
    <xf numFmtId="2" fontId="16" fillId="0" borderId="43" xfId="0" applyNumberFormat="1" applyFont="1" applyBorder="1" applyAlignment="1">
      <alignment horizontal="right"/>
    </xf>
    <xf numFmtId="2" fontId="16" fillId="0" borderId="149" xfId="0" applyNumberFormat="1" applyFont="1" applyBorder="1" applyAlignment="1">
      <alignment horizontal="right"/>
    </xf>
    <xf numFmtId="2" fontId="16" fillId="0" borderId="56" xfId="0" applyNumberFormat="1" applyFont="1" applyBorder="1" applyAlignment="1">
      <alignment horizontal="right"/>
    </xf>
    <xf numFmtId="0" fontId="97" fillId="0" borderId="0" xfId="0" applyFont="1" applyBorder="1"/>
    <xf numFmtId="2" fontId="16" fillId="0" borderId="161" xfId="0" applyNumberFormat="1" applyFont="1" applyBorder="1" applyAlignment="1">
      <alignment horizontal="right" vertical="center" wrapText="1"/>
    </xf>
    <xf numFmtId="0" fontId="4" fillId="0" borderId="149" xfId="0" applyFont="1" applyBorder="1"/>
    <xf numFmtId="2" fontId="16" fillId="0" borderId="132" xfId="0" applyNumberFormat="1" applyFont="1" applyBorder="1" applyAlignment="1">
      <alignment horizontal="right" vertical="center" wrapText="1"/>
    </xf>
    <xf numFmtId="173" fontId="16" fillId="12" borderId="149" xfId="0" applyNumberFormat="1" applyFont="1" applyFill="1" applyBorder="1" applyAlignment="1">
      <alignment horizontal="right" inden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80" fontId="16" fillId="22" borderId="19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2" fontId="16" fillId="0" borderId="166" xfId="0" applyNumberFormat="1" applyFont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 wrapText="1"/>
    </xf>
    <xf numFmtId="0" fontId="16" fillId="0" borderId="193" xfId="0" applyFont="1" applyBorder="1" applyAlignment="1">
      <alignment horizontal="center" vertical="center" wrapText="1"/>
    </xf>
    <xf numFmtId="2" fontId="16" fillId="0" borderId="194" xfId="0" applyNumberFormat="1" applyFont="1" applyBorder="1" applyAlignment="1">
      <alignment horizontal="center" vertical="center" wrapText="1"/>
    </xf>
    <xf numFmtId="0" fontId="16" fillId="0" borderId="194" xfId="0" applyFont="1" applyBorder="1" applyAlignment="1">
      <alignment horizontal="center" vertical="center" wrapText="1"/>
    </xf>
    <xf numFmtId="0" fontId="16" fillId="0" borderId="195" xfId="0" applyFont="1" applyBorder="1" applyAlignment="1">
      <alignment horizontal="center" vertical="center" wrapText="1"/>
    </xf>
    <xf numFmtId="2" fontId="31" fillId="7" borderId="30" xfId="0" applyNumberFormat="1" applyFont="1" applyFill="1" applyBorder="1" applyAlignment="1">
      <alignment horizontal="right"/>
    </xf>
    <xf numFmtId="2" fontId="31" fillId="7" borderId="31" xfId="0" applyNumberFormat="1" applyFont="1" applyFill="1" applyBorder="1" applyAlignment="1">
      <alignment horizontal="right"/>
    </xf>
    <xf numFmtId="2" fontId="31" fillId="7" borderId="55" xfId="0" applyNumberFormat="1" applyFont="1" applyFill="1" applyBorder="1" applyAlignment="1">
      <alignment horizontal="right"/>
    </xf>
    <xf numFmtId="2" fontId="16" fillId="7" borderId="57" xfId="0" applyNumberFormat="1" applyFont="1" applyFill="1" applyBorder="1" applyAlignment="1">
      <alignment horizontal="right"/>
    </xf>
    <xf numFmtId="0" fontId="4" fillId="0" borderId="43" xfId="0" applyFont="1" applyBorder="1"/>
    <xf numFmtId="2" fontId="16" fillId="0" borderId="7" xfId="0" applyNumberFormat="1" applyFont="1" applyBorder="1" applyAlignment="1">
      <alignment horizontal="righ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0" fontId="4" fillId="0" borderId="56" xfId="0" applyFont="1" applyBorder="1"/>
    <xf numFmtId="2" fontId="16" fillId="0" borderId="12" xfId="0" applyNumberFormat="1" applyFont="1" applyBorder="1" applyAlignment="1">
      <alignment horizontal="right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173" fontId="16" fillId="12" borderId="43" xfId="0" applyNumberFormat="1" applyFont="1" applyFill="1" applyBorder="1" applyAlignment="1">
      <alignment horizontal="right" indent="1"/>
    </xf>
    <xf numFmtId="173" fontId="16" fillId="12" borderId="56" xfId="0" applyNumberFormat="1" applyFont="1" applyFill="1" applyBorder="1" applyAlignment="1">
      <alignment horizontal="right" indent="1"/>
    </xf>
    <xf numFmtId="173" fontId="16" fillId="7" borderId="57" xfId="0" applyNumberFormat="1" applyFont="1" applyFill="1" applyBorder="1" applyAlignment="1">
      <alignment horizontal="right" indent="1"/>
    </xf>
    <xf numFmtId="4" fontId="16" fillId="0" borderId="161" xfId="8" applyNumberFormat="1" applyFont="1" applyBorder="1"/>
    <xf numFmtId="179" fontId="16" fillId="0" borderId="166" xfId="8" applyNumberFormat="1" applyFont="1" applyBorder="1"/>
    <xf numFmtId="179" fontId="16" fillId="7" borderId="166" xfId="8" applyNumberFormat="1" applyFont="1" applyFill="1" applyBorder="1"/>
    <xf numFmtId="3" fontId="16" fillId="49" borderId="10" xfId="0" applyNumberFormat="1" applyFont="1" applyFill="1" applyBorder="1" applyAlignment="1">
      <alignment horizontal="right"/>
    </xf>
    <xf numFmtId="4" fontId="0" fillId="14" borderId="212" xfId="0" applyNumberFormat="1" applyFill="1" applyBorder="1"/>
    <xf numFmtId="10" fontId="0" fillId="14" borderId="212" xfId="3" applyNumberFormat="1" applyFont="1" applyFill="1" applyBorder="1"/>
    <xf numFmtId="0" fontId="0" fillId="24" borderId="7" xfId="0" applyFill="1" applyBorder="1"/>
    <xf numFmtId="10" fontId="0" fillId="24" borderId="31" xfId="3" applyNumberFormat="1" applyFont="1" applyFill="1" applyBorder="1"/>
    <xf numFmtId="0" fontId="0" fillId="8" borderId="7" xfId="0" applyFill="1" applyBorder="1"/>
    <xf numFmtId="10" fontId="68" fillId="24" borderId="57" xfId="3" applyNumberFormat="1" applyFont="1" applyFill="1" applyBorder="1" applyAlignment="1">
      <alignment vertical="center"/>
    </xf>
    <xf numFmtId="10" fontId="14" fillId="24" borderId="27" xfId="3" applyNumberFormat="1" applyFont="1" applyFill="1" applyBorder="1" applyAlignment="1">
      <alignment vertical="center"/>
    </xf>
    <xf numFmtId="10" fontId="14" fillId="24" borderId="57" xfId="3" applyNumberFormat="1" applyFont="1" applyFill="1" applyBorder="1" applyAlignment="1">
      <alignment vertical="center"/>
    </xf>
    <xf numFmtId="3" fontId="15" fillId="24" borderId="29" xfId="16" applyNumberFormat="1" applyFont="1" applyFill="1" applyBorder="1" applyAlignment="1">
      <alignment horizontal="left" vertical="center" wrapText="1"/>
    </xf>
    <xf numFmtId="10" fontId="68" fillId="24" borderId="41" xfId="3" applyNumberFormat="1" applyFont="1" applyFill="1" applyBorder="1" applyAlignment="1">
      <alignment vertical="center"/>
    </xf>
    <xf numFmtId="10" fontId="14" fillId="24" borderId="42" xfId="3" applyNumberFormat="1" applyFont="1" applyFill="1" applyBorder="1" applyAlignment="1">
      <alignment vertical="center"/>
    </xf>
    <xf numFmtId="10" fontId="14" fillId="24" borderId="41" xfId="3" applyNumberFormat="1" applyFont="1" applyFill="1" applyBorder="1" applyAlignment="1">
      <alignment vertical="center"/>
    </xf>
    <xf numFmtId="10" fontId="14" fillId="24" borderId="44" xfId="3" applyNumberFormat="1" applyFont="1" applyFill="1" applyBorder="1" applyAlignment="1">
      <alignment vertical="center"/>
    </xf>
    <xf numFmtId="3" fontId="68" fillId="24" borderId="43" xfId="3" applyNumberFormat="1" applyFont="1" applyFill="1" applyBorder="1" applyAlignment="1">
      <alignment vertical="center"/>
    </xf>
    <xf numFmtId="3" fontId="14" fillId="24" borderId="62" xfId="3" applyNumberFormat="1" applyFont="1" applyFill="1" applyBorder="1" applyAlignment="1">
      <alignment vertical="center"/>
    </xf>
    <xf numFmtId="3" fontId="14" fillId="24" borderId="43" xfId="3" applyNumberFormat="1" applyFont="1" applyFill="1" applyBorder="1" applyAlignment="1">
      <alignment vertical="center"/>
    </xf>
    <xf numFmtId="0" fontId="78" fillId="0" borderId="133" xfId="0" applyFont="1" applyFill="1" applyBorder="1"/>
    <xf numFmtId="0" fontId="0" fillId="0" borderId="0" xfId="0" applyFill="1"/>
    <xf numFmtId="0" fontId="78" fillId="0" borderId="163" xfId="0" applyFont="1" applyFill="1" applyBorder="1"/>
    <xf numFmtId="0" fontId="78" fillId="0" borderId="20" xfId="0" applyFont="1" applyFill="1" applyBorder="1"/>
    <xf numFmtId="0" fontId="78" fillId="0" borderId="130" xfId="0" applyFont="1" applyFill="1" applyBorder="1"/>
    <xf numFmtId="3" fontId="140" fillId="5" borderId="168" xfId="0" applyNumberFormat="1" applyFont="1" applyFill="1" applyBorder="1" applyAlignment="1">
      <alignment horizontal="right"/>
    </xf>
    <xf numFmtId="10" fontId="140" fillId="5" borderId="168" xfId="3" applyNumberFormat="1" applyFont="1" applyFill="1" applyBorder="1"/>
    <xf numFmtId="4" fontId="0" fillId="49" borderId="20" xfId="3" applyNumberFormat="1" applyFont="1" applyFill="1" applyBorder="1"/>
    <xf numFmtId="4" fontId="0" fillId="49" borderId="31" xfId="3" applyNumberFormat="1" applyFont="1" applyFill="1" applyBorder="1"/>
    <xf numFmtId="10" fontId="0" fillId="49" borderId="40" xfId="3" applyNumberFormat="1" applyFont="1" applyFill="1" applyBorder="1"/>
    <xf numFmtId="10" fontId="0" fillId="49" borderId="90" xfId="3" applyNumberFormat="1" applyFont="1" applyFill="1" applyBorder="1"/>
    <xf numFmtId="0" fontId="23" fillId="0" borderId="163" xfId="0" applyFont="1" applyBorder="1" applyAlignment="1">
      <alignment horizontal="center"/>
    </xf>
    <xf numFmtId="0" fontId="0" fillId="14" borderId="193" xfId="0" applyFill="1" applyBorder="1"/>
    <xf numFmtId="4" fontId="0" fillId="14" borderId="226" xfId="0" applyNumberFormat="1" applyFill="1" applyBorder="1"/>
    <xf numFmtId="0" fontId="0" fillId="24" borderId="182" xfId="0" applyFill="1" applyBorder="1"/>
    <xf numFmtId="4" fontId="0" fillId="24" borderId="104" xfId="0" applyNumberFormat="1" applyFill="1" applyBorder="1"/>
    <xf numFmtId="0" fontId="0" fillId="8" borderId="182" xfId="0" applyFill="1" applyBorder="1"/>
    <xf numFmtId="4" fontId="0" fillId="8" borderId="104" xfId="0" applyNumberFormat="1" applyFill="1" applyBorder="1"/>
    <xf numFmtId="10" fontId="0" fillId="8" borderId="111" xfId="3" applyNumberFormat="1" applyFont="1" applyFill="1" applyBorder="1"/>
    <xf numFmtId="10" fontId="0" fillId="24" borderId="161" xfId="3" applyNumberFormat="1" applyFont="1" applyFill="1" applyBorder="1"/>
    <xf numFmtId="10" fontId="0" fillId="8" borderId="31" xfId="3" applyNumberFormat="1" applyFont="1" applyFill="1" applyBorder="1"/>
    <xf numFmtId="10" fontId="0" fillId="8" borderId="161" xfId="3" applyNumberFormat="1" applyFont="1" applyFill="1" applyBorder="1"/>
    <xf numFmtId="10" fontId="0" fillId="49" borderId="162" xfId="3" applyNumberFormat="1" applyFont="1" applyFill="1" applyBorder="1"/>
    <xf numFmtId="10" fontId="0" fillId="49" borderId="39" xfId="3" applyNumberFormat="1" applyFont="1" applyFill="1" applyBorder="1"/>
    <xf numFmtId="10" fontId="0" fillId="0" borderId="0" xfId="0" applyNumberFormat="1"/>
    <xf numFmtId="4" fontId="23" fillId="0" borderId="149" xfId="0" applyNumberFormat="1" applyFont="1" applyFill="1" applyBorder="1" applyAlignment="1">
      <alignment horizontal="right"/>
    </xf>
    <xf numFmtId="4" fontId="23" fillId="0" borderId="149" xfId="0" applyNumberFormat="1" applyFont="1" applyFill="1" applyBorder="1" applyAlignment="1">
      <alignment horizontal="right" vertical="center"/>
    </xf>
    <xf numFmtId="0" fontId="57" fillId="0" borderId="0" xfId="16" applyFont="1" applyAlignment="1">
      <alignment horizontal="center" vertical="center"/>
    </xf>
    <xf numFmtId="0" fontId="57" fillId="0" borderId="24" xfId="16" applyFont="1" applyBorder="1" applyAlignment="1">
      <alignment horizontal="center" vertical="center"/>
    </xf>
    <xf numFmtId="0" fontId="57" fillId="0" borderId="25" xfId="16" applyFont="1" applyBorder="1" applyAlignment="1">
      <alignment horizontal="center" vertical="center"/>
    </xf>
    <xf numFmtId="0" fontId="57" fillId="0" borderId="23" xfId="16" applyFont="1" applyBorder="1" applyAlignment="1">
      <alignment horizontal="center" vertical="center"/>
    </xf>
    <xf numFmtId="0" fontId="4" fillId="34" borderId="130" xfId="0" applyFont="1" applyFill="1" applyBorder="1" applyAlignment="1">
      <alignment horizontal="left"/>
    </xf>
    <xf numFmtId="0" fontId="4" fillId="34" borderId="131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161" xfId="0" applyFill="1" applyBorder="1" applyAlignment="1">
      <alignment horizontal="left"/>
    </xf>
    <xf numFmtId="0" fontId="0" fillId="34" borderId="162" xfId="0" applyFill="1" applyBorder="1" applyAlignment="1">
      <alignment horizontal="left"/>
    </xf>
    <xf numFmtId="0" fontId="0" fillId="34" borderId="93" xfId="0" applyFill="1" applyBorder="1" applyAlignment="1">
      <alignment horizontal="left"/>
    </xf>
    <xf numFmtId="0" fontId="0" fillId="34" borderId="92" xfId="0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40" xfId="0" applyFont="1" applyFill="1" applyBorder="1" applyAlignment="1">
      <alignment horizontal="left"/>
    </xf>
    <xf numFmtId="4" fontId="75" fillId="16" borderId="103" xfId="3" applyNumberFormat="1" applyFont="1" applyFill="1" applyBorder="1" applyAlignment="1">
      <alignment horizontal="center" vertical="center" wrapText="1"/>
    </xf>
    <xf numFmtId="4" fontId="75" fillId="16" borderId="227" xfId="3" applyNumberFormat="1" applyFont="1" applyFill="1" applyBorder="1" applyAlignment="1">
      <alignment horizontal="center" vertical="center" wrapText="1"/>
    </xf>
    <xf numFmtId="4" fontId="75" fillId="16" borderId="26" xfId="3" applyNumberFormat="1" applyFont="1" applyFill="1" applyBorder="1" applyAlignment="1">
      <alignment horizontal="center" vertical="center" wrapText="1"/>
    </xf>
    <xf numFmtId="4" fontId="75" fillId="16" borderId="28" xfId="3" applyNumberFormat="1" applyFont="1" applyFill="1" applyBorder="1" applyAlignment="1">
      <alignment horizontal="center" vertical="center" wrapText="1"/>
    </xf>
    <xf numFmtId="0" fontId="83" fillId="87" borderId="0" xfId="0" applyFont="1" applyFill="1" applyAlignment="1">
      <alignment horizontal="center"/>
    </xf>
    <xf numFmtId="0" fontId="79" fillId="0" borderId="27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81" fillId="0" borderId="7" xfId="0" applyFont="1" applyBorder="1" applyAlignment="1">
      <alignment horizontal="center" vertical="center"/>
    </xf>
    <xf numFmtId="0" fontId="81" fillId="0" borderId="180" xfId="0" applyFont="1" applyBorder="1" applyAlignment="1">
      <alignment horizontal="center" vertical="center"/>
    </xf>
    <xf numFmtId="0" fontId="81" fillId="0" borderId="103" xfId="0" applyFont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81" fillId="0" borderId="106" xfId="0" applyFont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23" fillId="14" borderId="183" xfId="0" applyFont="1" applyFill="1" applyBorder="1" applyAlignment="1">
      <alignment horizontal="center" vertical="center"/>
    </xf>
    <xf numFmtId="0" fontId="23" fillId="14" borderId="32" xfId="0" applyFont="1" applyFill="1" applyBorder="1" applyAlignment="1">
      <alignment horizontal="center" vertical="center"/>
    </xf>
    <xf numFmtId="0" fontId="23" fillId="24" borderId="4" xfId="0" applyFont="1" applyFill="1" applyBorder="1" applyAlignment="1">
      <alignment horizontal="center" vertical="center"/>
    </xf>
    <xf numFmtId="0" fontId="23" fillId="24" borderId="183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23" fillId="8" borderId="183" xfId="0" applyFont="1" applyFill="1" applyBorder="1" applyAlignment="1">
      <alignment horizontal="center" vertical="center"/>
    </xf>
    <xf numFmtId="0" fontId="23" fillId="8" borderId="32" xfId="0" applyFont="1" applyFill="1" applyBorder="1" applyAlignment="1">
      <alignment horizontal="center" vertical="center"/>
    </xf>
    <xf numFmtId="3" fontId="0" fillId="14" borderId="111" xfId="0" applyNumberFormat="1" applyFill="1" applyBorder="1" applyAlignment="1">
      <alignment horizontal="center" vertical="center"/>
    </xf>
    <xf numFmtId="3" fontId="0" fillId="14" borderId="104" xfId="0" applyNumberFormat="1" applyFill="1" applyBorder="1" applyAlignment="1">
      <alignment horizontal="center" vertical="center"/>
    </xf>
    <xf numFmtId="3" fontId="0" fillId="14" borderId="31" xfId="0" applyNumberFormat="1" applyFill="1" applyBorder="1" applyAlignment="1">
      <alignment horizontal="center" vertical="center"/>
    </xf>
    <xf numFmtId="3" fontId="0" fillId="24" borderId="111" xfId="0" applyNumberFormat="1" applyFill="1" applyBorder="1" applyAlignment="1">
      <alignment horizontal="center" vertical="center"/>
    </xf>
    <xf numFmtId="3" fontId="0" fillId="24" borderId="104" xfId="0" applyNumberFormat="1" applyFill="1" applyBorder="1" applyAlignment="1">
      <alignment horizontal="center" vertical="center"/>
    </xf>
    <xf numFmtId="3" fontId="0" fillId="24" borderId="31" xfId="0" applyNumberFormat="1" applyFill="1" applyBorder="1" applyAlignment="1">
      <alignment horizontal="center" vertical="center"/>
    </xf>
    <xf numFmtId="3" fontId="0" fillId="8" borderId="111" xfId="0" applyNumberFormat="1" applyFill="1" applyBorder="1" applyAlignment="1">
      <alignment horizontal="center" vertical="center"/>
    </xf>
    <xf numFmtId="3" fontId="0" fillId="8" borderId="104" xfId="0" applyNumberFormat="1" applyFill="1" applyBorder="1" applyAlignment="1">
      <alignment horizontal="center" vertical="center"/>
    </xf>
    <xf numFmtId="3" fontId="0" fillId="8" borderId="31" xfId="0" applyNumberFormat="1" applyFill="1" applyBorder="1" applyAlignment="1">
      <alignment horizontal="center" vertical="center"/>
    </xf>
    <xf numFmtId="3" fontId="57" fillId="36" borderId="174" xfId="16" quotePrefix="1" applyNumberFormat="1" applyFont="1" applyFill="1" applyBorder="1" applyAlignment="1">
      <alignment horizontal="left" vertical="center" wrapText="1"/>
    </xf>
    <xf numFmtId="3" fontId="57" fillId="36" borderId="175" xfId="16" quotePrefix="1" applyNumberFormat="1" applyFont="1" applyFill="1" applyBorder="1" applyAlignment="1">
      <alignment horizontal="left" vertical="center" wrapText="1"/>
    </xf>
    <xf numFmtId="3" fontId="57" fillId="36" borderId="176" xfId="16" quotePrefix="1" applyNumberFormat="1" applyFont="1" applyFill="1" applyBorder="1" applyAlignment="1">
      <alignment horizontal="left" vertical="center" wrapText="1"/>
    </xf>
    <xf numFmtId="3" fontId="57" fillId="36" borderId="177" xfId="16" quotePrefix="1" applyNumberFormat="1" applyFont="1" applyFill="1" applyBorder="1" applyAlignment="1">
      <alignment horizontal="left" vertical="center" wrapText="1"/>
    </xf>
    <xf numFmtId="3" fontId="57" fillId="36" borderId="178" xfId="16" quotePrefix="1" applyNumberFormat="1" applyFont="1" applyFill="1" applyBorder="1" applyAlignment="1">
      <alignment horizontal="left" vertical="center" wrapText="1"/>
    </xf>
    <xf numFmtId="3" fontId="57" fillId="36" borderId="179" xfId="16" quotePrefix="1" applyNumberFormat="1" applyFont="1" applyFill="1" applyBorder="1" applyAlignment="1">
      <alignment horizontal="left" vertical="center" wrapText="1"/>
    </xf>
    <xf numFmtId="0" fontId="84" fillId="87" borderId="0" xfId="0" applyFont="1" applyFill="1" applyAlignment="1">
      <alignment horizontal="center"/>
    </xf>
    <xf numFmtId="4" fontId="69" fillId="0" borderId="166" xfId="0" applyNumberFormat="1" applyFont="1" applyBorder="1" applyAlignment="1">
      <alignment horizontal="right" vertical="center"/>
    </xf>
    <xf numFmtId="4" fontId="23" fillId="0" borderId="149" xfId="0" applyNumberFormat="1" applyFont="1" applyFill="1" applyBorder="1" applyAlignment="1">
      <alignment horizontal="right" vertical="center"/>
    </xf>
    <xf numFmtId="4" fontId="77" fillId="0" borderId="163" xfId="0" applyNumberFormat="1" applyFont="1" applyBorder="1" applyAlignment="1">
      <alignment horizontal="right" vertical="center"/>
    </xf>
    <xf numFmtId="0" fontId="0" fillId="5" borderId="59" xfId="0" applyFont="1" applyFill="1" applyBorder="1" applyAlignment="1">
      <alignment horizontal="center" vertical="center" wrapText="1"/>
    </xf>
    <xf numFmtId="0" fontId="0" fillId="5" borderId="62" xfId="0" applyFont="1" applyFill="1" applyBorder="1" applyAlignment="1">
      <alignment horizontal="center" vertical="center" wrapText="1"/>
    </xf>
    <xf numFmtId="0" fontId="0" fillId="5" borderId="63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/>
    </xf>
    <xf numFmtId="3" fontId="16" fillId="0" borderId="26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6" fillId="13" borderId="61" xfId="0" applyNumberFormat="1" applyFont="1" applyFill="1" applyBorder="1" applyAlignment="1">
      <alignment horizontal="center" vertical="center" wrapText="1"/>
    </xf>
    <xf numFmtId="3" fontId="16" fillId="13" borderId="57" xfId="0" applyNumberFormat="1" applyFont="1" applyFill="1" applyBorder="1" applyAlignment="1">
      <alignment horizontal="center" vertical="center" wrapText="1"/>
    </xf>
    <xf numFmtId="3" fontId="16" fillId="29" borderId="6" xfId="0" applyNumberFormat="1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vertical="center"/>
    </xf>
    <xf numFmtId="3" fontId="16" fillId="0" borderId="8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3" fontId="16" fillId="29" borderId="9" xfId="0" applyNumberFormat="1" applyFont="1" applyFill="1" applyBorder="1" applyAlignment="1">
      <alignment horizontal="center" vertical="center" wrapText="1"/>
    </xf>
    <xf numFmtId="0" fontId="16" fillId="29" borderId="14" xfId="0" applyFont="1" applyFill="1" applyBorder="1" applyAlignment="1">
      <alignment vertical="center"/>
    </xf>
    <xf numFmtId="164" fontId="16" fillId="30" borderId="43" xfId="2" applyFont="1" applyFill="1" applyBorder="1" applyAlignment="1">
      <alignment horizontal="center" vertical="center" wrapText="1"/>
    </xf>
    <xf numFmtId="164" fontId="16" fillId="30" borderId="56" xfId="2" applyFont="1" applyFill="1" applyBorder="1" applyAlignment="1">
      <alignment horizontal="center" vertical="center" wrapText="1"/>
    </xf>
    <xf numFmtId="3" fontId="16" fillId="0" borderId="61" xfId="0" applyNumberFormat="1" applyFont="1" applyBorder="1" applyAlignment="1">
      <alignment horizontal="center" vertical="center" wrapText="1"/>
    </xf>
    <xf numFmtId="0" fontId="16" fillId="0" borderId="57" xfId="0" applyFont="1" applyBorder="1" applyAlignment="1">
      <alignment vertical="center"/>
    </xf>
    <xf numFmtId="3" fontId="16" fillId="0" borderId="60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/>
    </xf>
    <xf numFmtId="0" fontId="16" fillId="11" borderId="0" xfId="0" applyFont="1" applyFill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39" borderId="24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3" fontId="16" fillId="0" borderId="43" xfId="0" applyNumberFormat="1" applyFont="1" applyBorder="1" applyAlignment="1">
      <alignment horizontal="center" vertical="center"/>
    </xf>
    <xf numFmtId="3" fontId="16" fillId="0" borderId="56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wrapText="1"/>
    </xf>
    <xf numFmtId="3" fontId="16" fillId="0" borderId="23" xfId="0" applyNumberFormat="1" applyFont="1" applyBorder="1" applyAlignment="1">
      <alignment horizont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83" borderId="24" xfId="0" applyNumberFormat="1" applyFont="1" applyFill="1" applyBorder="1" applyAlignment="1">
      <alignment horizontal="center" vertical="center" wrapText="1"/>
    </xf>
    <xf numFmtId="3" fontId="16" fillId="83" borderId="25" xfId="0" applyNumberFormat="1" applyFont="1" applyFill="1" applyBorder="1" applyAlignment="1">
      <alignment horizontal="center" vertical="center" wrapText="1"/>
    </xf>
    <xf numFmtId="3" fontId="16" fillId="83" borderId="2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22" borderId="61" xfId="0" applyNumberFormat="1" applyFont="1" applyFill="1" applyBorder="1" applyAlignment="1">
      <alignment horizontal="center" vertical="center" wrapText="1"/>
    </xf>
    <xf numFmtId="3" fontId="16" fillId="22" borderId="57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3" fontId="16" fillId="42" borderId="24" xfId="0" applyNumberFormat="1" applyFont="1" applyFill="1" applyBorder="1" applyAlignment="1">
      <alignment horizontal="center" vertical="center" wrapText="1"/>
    </xf>
    <xf numFmtId="3" fontId="16" fillId="42" borderId="25" xfId="0" applyNumberFormat="1" applyFont="1" applyFill="1" applyBorder="1" applyAlignment="1">
      <alignment horizontal="center" vertical="center" wrapText="1"/>
    </xf>
    <xf numFmtId="3" fontId="16" fillId="42" borderId="23" xfId="0" applyNumberFormat="1" applyFont="1" applyFill="1" applyBorder="1" applyAlignment="1">
      <alignment horizontal="center" vertical="center" wrapText="1"/>
    </xf>
    <xf numFmtId="3" fontId="16" fillId="10" borderId="67" xfId="0" applyNumberFormat="1" applyFont="1" applyFill="1" applyBorder="1" applyAlignment="1">
      <alignment horizontal="center"/>
    </xf>
    <xf numFmtId="3" fontId="16" fillId="0" borderId="59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3" fontId="16" fillId="42" borderId="60" xfId="0" applyNumberFormat="1" applyFont="1" applyFill="1" applyBorder="1" applyAlignment="1">
      <alignment horizontal="center" vertical="center" wrapText="1"/>
    </xf>
    <xf numFmtId="3" fontId="16" fillId="42" borderId="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32" borderId="9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 vertical="center"/>
    </xf>
    <xf numFmtId="3" fontId="25" fillId="0" borderId="5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15" borderId="61" xfId="0" applyFont="1" applyFill="1" applyBorder="1" applyAlignment="1">
      <alignment horizontal="center" vertical="center" wrapText="1"/>
    </xf>
    <xf numFmtId="0" fontId="16" fillId="15" borderId="57" xfId="0" applyFont="1" applyFill="1" applyBorder="1" applyAlignment="1">
      <alignment horizontal="center" vertical="center" wrapText="1"/>
    </xf>
    <xf numFmtId="173" fontId="16" fillId="115" borderId="24" xfId="0" applyNumberFormat="1" applyFont="1" applyFill="1" applyBorder="1" applyAlignment="1">
      <alignment horizontal="center"/>
    </xf>
    <xf numFmtId="173" fontId="16" fillId="115" borderId="25" xfId="0" applyNumberFormat="1" applyFont="1" applyFill="1" applyBorder="1" applyAlignment="1">
      <alignment horizontal="center"/>
    </xf>
    <xf numFmtId="173" fontId="16" fillId="115" borderId="23" xfId="0" applyNumberFormat="1" applyFont="1" applyFill="1" applyBorder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5" fillId="23" borderId="2" xfId="0" applyFont="1" applyFill="1" applyBorder="1" applyAlignment="1">
      <alignment horizontal="center" vertical="center"/>
    </xf>
    <xf numFmtId="0" fontId="25" fillId="23" borderId="3" xfId="0" applyFont="1" applyFill="1" applyBorder="1" applyAlignment="1">
      <alignment horizontal="center" vertical="center"/>
    </xf>
    <xf numFmtId="0" fontId="25" fillId="23" borderId="33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192" xfId="0" applyFont="1" applyBorder="1" applyAlignment="1">
      <alignment horizontal="center" vertical="center" wrapText="1"/>
    </xf>
    <xf numFmtId="180" fontId="16" fillId="5" borderId="41" xfId="0" applyNumberFormat="1" applyFont="1" applyFill="1" applyBorder="1" applyAlignment="1">
      <alignment horizontal="center" vertical="center" wrapText="1"/>
    </xf>
    <xf numFmtId="180" fontId="16" fillId="5" borderId="192" xfId="0" applyNumberFormat="1" applyFont="1" applyFill="1" applyBorder="1" applyAlignment="1">
      <alignment horizontal="center" vertical="center" wrapText="1"/>
    </xf>
    <xf numFmtId="0" fontId="16" fillId="5" borderId="61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14" borderId="61" xfId="0" quotePrefix="1" applyFont="1" applyFill="1" applyBorder="1" applyAlignment="1">
      <alignment horizontal="center" vertical="center" wrapText="1"/>
    </xf>
    <xf numFmtId="0" fontId="16" fillId="14" borderId="57" xfId="0" applyFont="1" applyFill="1" applyBorder="1" applyAlignment="1">
      <alignment horizontal="center" vertical="center" wrapText="1"/>
    </xf>
    <xf numFmtId="0" fontId="16" fillId="49" borderId="37" xfId="0" quotePrefix="1" applyFont="1" applyFill="1" applyBorder="1" applyAlignment="1">
      <alignment horizontal="center" vertical="center" wrapText="1"/>
    </xf>
    <xf numFmtId="0" fontId="16" fillId="49" borderId="27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14" borderId="37" xfId="0" quotePrefix="1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6" fillId="49" borderId="61" xfId="0" quotePrefix="1" applyFont="1" applyFill="1" applyBorder="1" applyAlignment="1">
      <alignment horizontal="center" vertical="center" wrapText="1"/>
    </xf>
    <xf numFmtId="0" fontId="16" fillId="49" borderId="5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</cellXfs>
  <cellStyles count="2884">
    <cellStyle name="20 % - zvýraznenie1 2" xfId="646"/>
    <cellStyle name="20 % - zvýraznenie1 2 2" xfId="647"/>
    <cellStyle name="20 % - zvýraznenie1 2 2 2" xfId="1126"/>
    <cellStyle name="20 % - zvýraznenie1 2 2 3" xfId="1771"/>
    <cellStyle name="20 % - zvýraznenie1 2 2 4" xfId="2647"/>
    <cellStyle name="20 % - zvýraznenie1 2 3" xfId="1125"/>
    <cellStyle name="20 % - zvýraznenie1 2 4" xfId="1770"/>
    <cellStyle name="20 % - zvýraznenie1 2 5" xfId="2467"/>
    <cellStyle name="20 % - zvýraznenie1 3" xfId="648"/>
    <cellStyle name="20 % - zvýraznenie1 3 2" xfId="649"/>
    <cellStyle name="20 % - zvýraznenie1 3 2 2" xfId="1128"/>
    <cellStyle name="20 % - zvýraznenie1 3 2 3" xfId="1773"/>
    <cellStyle name="20 % - zvýraznenie1 3 3" xfId="1127"/>
    <cellStyle name="20 % - zvýraznenie1 3 4" xfId="1772"/>
    <cellStyle name="20 % - zvýraznenie1 3 5" xfId="2617"/>
    <cellStyle name="20 % - zvýraznenie1 4" xfId="650"/>
    <cellStyle name="20 % - zvýraznenie1 4 2" xfId="651"/>
    <cellStyle name="20 % - zvýraznenie1 4 2 2" xfId="1130"/>
    <cellStyle name="20 % - zvýraznenie1 4 2 3" xfId="1775"/>
    <cellStyle name="20 % - zvýraznenie1 4 3" xfId="1129"/>
    <cellStyle name="20 % - zvýraznenie1 4 4" xfId="1774"/>
    <cellStyle name="20 % - zvýraznenie1 5" xfId="652"/>
    <cellStyle name="20 % - zvýraznenie1 5 2" xfId="653"/>
    <cellStyle name="20 % - zvýraznenie1 5 2 2" xfId="1132"/>
    <cellStyle name="20 % - zvýraznenie1 5 2 3" xfId="1777"/>
    <cellStyle name="20 % - zvýraznenie1 5 3" xfId="1131"/>
    <cellStyle name="20 % - zvýraznenie1 5 4" xfId="1776"/>
    <cellStyle name="20 % - zvýraznenie1 6" xfId="654"/>
    <cellStyle name="20 % - zvýraznenie1 6 2" xfId="1133"/>
    <cellStyle name="20 % - zvýraznenie1 6 3" xfId="1778"/>
    <cellStyle name="20 % - zvýraznenie1 7" xfId="655"/>
    <cellStyle name="20 % - zvýraznenie1 7 2" xfId="1134"/>
    <cellStyle name="20 % - zvýraznenie1 7 3" xfId="1779"/>
    <cellStyle name="20 % - zvýraznenie1 8" xfId="2435"/>
    <cellStyle name="20 % - zvýraznenie2 2" xfId="656"/>
    <cellStyle name="20 % - zvýraznenie2 2 2" xfId="657"/>
    <cellStyle name="20 % - zvýraznenie2 2 2 2" xfId="1136"/>
    <cellStyle name="20 % - zvýraznenie2 2 2 3" xfId="1781"/>
    <cellStyle name="20 % - zvýraznenie2 2 2 4" xfId="2649"/>
    <cellStyle name="20 % - zvýraznenie2 2 3" xfId="1135"/>
    <cellStyle name="20 % - zvýraznenie2 2 4" xfId="1780"/>
    <cellStyle name="20 % - zvýraznenie2 2 5" xfId="2469"/>
    <cellStyle name="20 % - zvýraznenie2 3" xfId="658"/>
    <cellStyle name="20 % - zvýraznenie2 3 2" xfId="659"/>
    <cellStyle name="20 % - zvýraznenie2 3 2 2" xfId="1138"/>
    <cellStyle name="20 % - zvýraznenie2 3 2 3" xfId="1783"/>
    <cellStyle name="20 % - zvýraznenie2 3 3" xfId="1137"/>
    <cellStyle name="20 % - zvýraznenie2 3 4" xfId="1782"/>
    <cellStyle name="20 % - zvýraznenie2 3 5" xfId="2620"/>
    <cellStyle name="20 % - zvýraznenie2 4" xfId="660"/>
    <cellStyle name="20 % - zvýraznenie2 4 2" xfId="661"/>
    <cellStyle name="20 % - zvýraznenie2 4 2 2" xfId="1140"/>
    <cellStyle name="20 % - zvýraznenie2 4 2 3" xfId="1785"/>
    <cellStyle name="20 % - zvýraznenie2 4 3" xfId="1139"/>
    <cellStyle name="20 % - zvýraznenie2 4 4" xfId="1784"/>
    <cellStyle name="20 % - zvýraznenie2 5" xfId="662"/>
    <cellStyle name="20 % - zvýraznenie2 5 2" xfId="663"/>
    <cellStyle name="20 % - zvýraznenie2 5 2 2" xfId="1142"/>
    <cellStyle name="20 % - zvýraznenie2 5 2 3" xfId="1787"/>
    <cellStyle name="20 % - zvýraznenie2 5 3" xfId="1141"/>
    <cellStyle name="20 % - zvýraznenie2 5 4" xfId="1786"/>
    <cellStyle name="20 % - zvýraznenie2 6" xfId="664"/>
    <cellStyle name="20 % - zvýraznenie2 6 2" xfId="1143"/>
    <cellStyle name="20 % - zvýraznenie2 6 3" xfId="1788"/>
    <cellStyle name="20 % - zvýraznenie2 7" xfId="665"/>
    <cellStyle name="20 % - zvýraznenie2 7 2" xfId="1144"/>
    <cellStyle name="20 % - zvýraznenie2 7 3" xfId="1789"/>
    <cellStyle name="20 % - zvýraznenie2 8" xfId="2438"/>
    <cellStyle name="20 % - zvýraznenie3" xfId="4" builtinId="38"/>
    <cellStyle name="20 % - zvýraznenie3 10" xfId="2086"/>
    <cellStyle name="20 % - zvýraznenie3 11" xfId="2441"/>
    <cellStyle name="20 % - zvýraznenie3 12" xfId="214"/>
    <cellStyle name="20 % - zvýraznenie3 2" xfId="666"/>
    <cellStyle name="20 % - zvýraznenie3 2 2" xfId="667"/>
    <cellStyle name="20 % - zvýraznenie3 2 2 2" xfId="1146"/>
    <cellStyle name="20 % - zvýraznenie3 2 2 3" xfId="1791"/>
    <cellStyle name="20 % - zvýraznenie3 2 2 4" xfId="2651"/>
    <cellStyle name="20 % - zvýraznenie3 2 3" xfId="1145"/>
    <cellStyle name="20 % - zvýraznenie3 2 4" xfId="1790"/>
    <cellStyle name="20 % - zvýraznenie3 2 5" xfId="2471"/>
    <cellStyle name="20 % - zvýraznenie3 3" xfId="668"/>
    <cellStyle name="20 % - zvýraznenie3 3 2" xfId="669"/>
    <cellStyle name="20 % - zvýraznenie3 3 2 2" xfId="1148"/>
    <cellStyle name="20 % - zvýraznenie3 3 2 3" xfId="1793"/>
    <cellStyle name="20 % - zvýraznenie3 3 3" xfId="1147"/>
    <cellStyle name="20 % - zvýraznenie3 3 4" xfId="1792"/>
    <cellStyle name="20 % - zvýraznenie3 3 5" xfId="2623"/>
    <cellStyle name="20 % - zvýraznenie3 4" xfId="670"/>
    <cellStyle name="20 % - zvýraznenie3 4 2" xfId="671"/>
    <cellStyle name="20 % - zvýraznenie3 4 2 2" xfId="1150"/>
    <cellStyle name="20 % - zvýraznenie3 4 2 3" xfId="1795"/>
    <cellStyle name="20 % - zvýraznenie3 4 3" xfId="1149"/>
    <cellStyle name="20 % - zvýraznenie3 4 4" xfId="1794"/>
    <cellStyle name="20 % - zvýraznenie3 5" xfId="672"/>
    <cellStyle name="20 % - zvýraznenie3 5 2" xfId="673"/>
    <cellStyle name="20 % - zvýraznenie3 5 2 2" xfId="1152"/>
    <cellStyle name="20 % - zvýraznenie3 5 2 3" xfId="1797"/>
    <cellStyle name="20 % - zvýraznenie3 5 3" xfId="1151"/>
    <cellStyle name="20 % - zvýraznenie3 5 4" xfId="1796"/>
    <cellStyle name="20 % - zvýraznenie3 6" xfId="674"/>
    <cellStyle name="20 % - zvýraznenie3 6 2" xfId="1153"/>
    <cellStyle name="20 % - zvýraznenie3 6 3" xfId="1798"/>
    <cellStyle name="20 % - zvýraznenie3 7" xfId="675"/>
    <cellStyle name="20 % - zvýraznenie3 7 2" xfId="1154"/>
    <cellStyle name="20 % - zvýraznenie3 7 3" xfId="1799"/>
    <cellStyle name="20 % - zvýraznenie3 8" xfId="785"/>
    <cellStyle name="20 % - zvýraznenie3 9" xfId="1445"/>
    <cellStyle name="20 % - zvýraznenie4 2" xfId="676"/>
    <cellStyle name="20 % - zvýraznenie4 2 2" xfId="677"/>
    <cellStyle name="20 % - zvýraznenie4 2 2 2" xfId="1156"/>
    <cellStyle name="20 % - zvýraznenie4 2 2 3" xfId="1801"/>
    <cellStyle name="20 % - zvýraznenie4 2 2 4" xfId="2653"/>
    <cellStyle name="20 % - zvýraznenie4 2 3" xfId="1155"/>
    <cellStyle name="20 % - zvýraznenie4 2 4" xfId="1800"/>
    <cellStyle name="20 % - zvýraznenie4 2 5" xfId="2473"/>
    <cellStyle name="20 % - zvýraznenie4 3" xfId="678"/>
    <cellStyle name="20 % - zvýraznenie4 3 2" xfId="679"/>
    <cellStyle name="20 % - zvýraznenie4 3 2 2" xfId="1158"/>
    <cellStyle name="20 % - zvýraznenie4 3 2 3" xfId="1803"/>
    <cellStyle name="20 % - zvýraznenie4 3 3" xfId="1157"/>
    <cellStyle name="20 % - zvýraznenie4 3 4" xfId="1802"/>
    <cellStyle name="20 % - zvýraznenie4 3 5" xfId="2626"/>
    <cellStyle name="20 % - zvýraznenie4 4" xfId="680"/>
    <cellStyle name="20 % - zvýraznenie4 4 2" xfId="681"/>
    <cellStyle name="20 % - zvýraznenie4 4 2 2" xfId="1160"/>
    <cellStyle name="20 % - zvýraznenie4 4 2 3" xfId="1805"/>
    <cellStyle name="20 % - zvýraznenie4 4 3" xfId="1159"/>
    <cellStyle name="20 % - zvýraznenie4 4 4" xfId="1804"/>
    <cellStyle name="20 % - zvýraznenie4 5" xfId="682"/>
    <cellStyle name="20 % - zvýraznenie4 5 2" xfId="683"/>
    <cellStyle name="20 % - zvýraznenie4 5 2 2" xfId="1162"/>
    <cellStyle name="20 % - zvýraznenie4 5 2 3" xfId="1807"/>
    <cellStyle name="20 % - zvýraznenie4 5 3" xfId="1161"/>
    <cellStyle name="20 % - zvýraznenie4 5 4" xfId="1806"/>
    <cellStyle name="20 % - zvýraznenie4 6" xfId="684"/>
    <cellStyle name="20 % - zvýraznenie4 6 2" xfId="1163"/>
    <cellStyle name="20 % - zvýraznenie4 6 3" xfId="1808"/>
    <cellStyle name="20 % - zvýraznenie4 7" xfId="685"/>
    <cellStyle name="20 % - zvýraznenie4 7 2" xfId="1164"/>
    <cellStyle name="20 % - zvýraznenie4 7 3" xfId="1809"/>
    <cellStyle name="20 % - zvýraznenie4 8" xfId="2444"/>
    <cellStyle name="20 % - zvýraznenie5 2" xfId="686"/>
    <cellStyle name="20 % - zvýraznenie5 2 2" xfId="687"/>
    <cellStyle name="20 % - zvýraznenie5 2 2 2" xfId="1166"/>
    <cellStyle name="20 % - zvýraznenie5 2 2 3" xfId="1811"/>
    <cellStyle name="20 % - zvýraznenie5 2 2 4" xfId="2655"/>
    <cellStyle name="20 % - zvýraznenie5 2 3" xfId="1165"/>
    <cellStyle name="20 % - zvýraznenie5 2 4" xfId="1810"/>
    <cellStyle name="20 % - zvýraznenie5 2 5" xfId="2475"/>
    <cellStyle name="20 % - zvýraznenie5 3" xfId="688"/>
    <cellStyle name="20 % - zvýraznenie5 3 2" xfId="689"/>
    <cellStyle name="20 % - zvýraznenie5 3 2 2" xfId="1168"/>
    <cellStyle name="20 % - zvýraznenie5 3 2 3" xfId="1813"/>
    <cellStyle name="20 % - zvýraznenie5 3 3" xfId="1167"/>
    <cellStyle name="20 % - zvýraznenie5 3 4" xfId="1812"/>
    <cellStyle name="20 % - zvýraznenie5 3 5" xfId="2629"/>
    <cellStyle name="20 % - zvýraznenie5 4" xfId="690"/>
    <cellStyle name="20 % - zvýraznenie5 4 2" xfId="1169"/>
    <cellStyle name="20 % - zvýraznenie5 4 3" xfId="1814"/>
    <cellStyle name="20 % - zvýraznenie5 5" xfId="2447"/>
    <cellStyle name="20 % - zvýraznenie6 2" xfId="691"/>
    <cellStyle name="20 % - zvýraznenie6 2 2" xfId="692"/>
    <cellStyle name="20 % - zvýraznenie6 2 2 2" xfId="1171"/>
    <cellStyle name="20 % - zvýraznenie6 2 2 3" xfId="1816"/>
    <cellStyle name="20 % - zvýraznenie6 2 2 4" xfId="2657"/>
    <cellStyle name="20 % - zvýraznenie6 2 3" xfId="1170"/>
    <cellStyle name="20 % - zvýraznenie6 2 4" xfId="1815"/>
    <cellStyle name="20 % - zvýraznenie6 2 5" xfId="2477"/>
    <cellStyle name="20 % - zvýraznenie6 3" xfId="693"/>
    <cellStyle name="20 % - zvýraznenie6 3 2" xfId="694"/>
    <cellStyle name="20 % - zvýraznenie6 3 2 2" xfId="1173"/>
    <cellStyle name="20 % - zvýraznenie6 3 2 3" xfId="1818"/>
    <cellStyle name="20 % - zvýraznenie6 3 3" xfId="1172"/>
    <cellStyle name="20 % - zvýraznenie6 3 4" xfId="1817"/>
    <cellStyle name="20 % - zvýraznenie6 3 5" xfId="2632"/>
    <cellStyle name="20 % - zvýraznenie6 4" xfId="695"/>
    <cellStyle name="20 % - zvýraznenie6 4 2" xfId="1174"/>
    <cellStyle name="20 % - zvýraznenie6 4 3" xfId="1819"/>
    <cellStyle name="20 % - zvýraznenie6 5" xfId="2451"/>
    <cellStyle name="20% - Accent1" xfId="36"/>
    <cellStyle name="20% - Accent1 2" xfId="250"/>
    <cellStyle name="20% - Accent1 3" xfId="251"/>
    <cellStyle name="20% - Accent2" xfId="37"/>
    <cellStyle name="20% - Accent2 2" xfId="252"/>
    <cellStyle name="20% - Accent2 3" xfId="253"/>
    <cellStyle name="20% - Accent3" xfId="38"/>
    <cellStyle name="20% - Accent3 2" xfId="254"/>
    <cellStyle name="20% - Accent3 3" xfId="255"/>
    <cellStyle name="20% - Accent4" xfId="39"/>
    <cellStyle name="20% - Accent4 2" xfId="256"/>
    <cellStyle name="20% - Accent4 3" xfId="257"/>
    <cellStyle name="20% - Accent5" xfId="40"/>
    <cellStyle name="20% - Accent5 2" xfId="258"/>
    <cellStyle name="20% - Accent5 3" xfId="259"/>
    <cellStyle name="20% - Accent6" xfId="41"/>
    <cellStyle name="20% - Accent6 2" xfId="260"/>
    <cellStyle name="20% - Accent6 3" xfId="261"/>
    <cellStyle name="40 % - zvýraznenie1 2" xfId="696"/>
    <cellStyle name="40 % - zvýraznenie1 2 2" xfId="697"/>
    <cellStyle name="40 % - zvýraznenie1 2 2 2" xfId="1176"/>
    <cellStyle name="40 % - zvýraznenie1 2 2 3" xfId="1821"/>
    <cellStyle name="40 % - zvýraznenie1 2 2 4" xfId="2648"/>
    <cellStyle name="40 % - zvýraznenie1 2 3" xfId="1175"/>
    <cellStyle name="40 % - zvýraznenie1 2 4" xfId="1820"/>
    <cellStyle name="40 % - zvýraznenie1 2 5" xfId="2468"/>
    <cellStyle name="40 % - zvýraznenie1 3" xfId="698"/>
    <cellStyle name="40 % - zvýraznenie1 3 2" xfId="699"/>
    <cellStyle name="40 % - zvýraznenie1 3 2 2" xfId="1178"/>
    <cellStyle name="40 % - zvýraznenie1 3 2 3" xfId="1823"/>
    <cellStyle name="40 % - zvýraznenie1 3 3" xfId="1177"/>
    <cellStyle name="40 % - zvýraznenie1 3 4" xfId="1822"/>
    <cellStyle name="40 % - zvýraznenie1 3 5" xfId="2618"/>
    <cellStyle name="40 % - zvýraznenie1 4" xfId="700"/>
    <cellStyle name="40 % - zvýraznenie1 4 2" xfId="1179"/>
    <cellStyle name="40 % - zvýraznenie1 4 3" xfId="1824"/>
    <cellStyle name="40 % - zvýraznenie1 5" xfId="2436"/>
    <cellStyle name="40 % - zvýraznenie2 2" xfId="701"/>
    <cellStyle name="40 % - zvýraznenie2 2 2" xfId="702"/>
    <cellStyle name="40 % - zvýraznenie2 2 2 2" xfId="1181"/>
    <cellStyle name="40 % - zvýraznenie2 2 2 3" xfId="1826"/>
    <cellStyle name="40 % - zvýraznenie2 2 2 4" xfId="2650"/>
    <cellStyle name="40 % - zvýraznenie2 2 3" xfId="1180"/>
    <cellStyle name="40 % - zvýraznenie2 2 4" xfId="1825"/>
    <cellStyle name="40 % - zvýraznenie2 2 5" xfId="2470"/>
    <cellStyle name="40 % - zvýraznenie2 3" xfId="703"/>
    <cellStyle name="40 % - zvýraznenie2 3 2" xfId="704"/>
    <cellStyle name="40 % - zvýraznenie2 3 2 2" xfId="1183"/>
    <cellStyle name="40 % - zvýraznenie2 3 2 3" xfId="1828"/>
    <cellStyle name="40 % - zvýraznenie2 3 3" xfId="1182"/>
    <cellStyle name="40 % - zvýraznenie2 3 4" xfId="1827"/>
    <cellStyle name="40 % - zvýraznenie2 3 5" xfId="2621"/>
    <cellStyle name="40 % - zvýraznenie2 4" xfId="705"/>
    <cellStyle name="40 % - zvýraznenie2 4 2" xfId="1184"/>
    <cellStyle name="40 % - zvýraznenie2 4 3" xfId="1829"/>
    <cellStyle name="40 % - zvýraznenie2 5" xfId="2439"/>
    <cellStyle name="40 % - zvýraznenie3 2" xfId="706"/>
    <cellStyle name="40 % - zvýraznenie3 2 2" xfId="707"/>
    <cellStyle name="40 % - zvýraznenie3 2 2 2" xfId="1186"/>
    <cellStyle name="40 % - zvýraznenie3 2 2 3" xfId="1831"/>
    <cellStyle name="40 % - zvýraznenie3 2 2 4" xfId="2652"/>
    <cellStyle name="40 % - zvýraznenie3 2 3" xfId="1185"/>
    <cellStyle name="40 % - zvýraznenie3 2 4" xfId="1830"/>
    <cellStyle name="40 % - zvýraznenie3 2 5" xfId="2472"/>
    <cellStyle name="40 % - zvýraznenie3 3" xfId="708"/>
    <cellStyle name="40 % - zvýraznenie3 3 2" xfId="709"/>
    <cellStyle name="40 % - zvýraznenie3 3 2 2" xfId="1188"/>
    <cellStyle name="40 % - zvýraznenie3 3 2 3" xfId="1833"/>
    <cellStyle name="40 % - zvýraznenie3 3 3" xfId="1187"/>
    <cellStyle name="40 % - zvýraznenie3 3 4" xfId="1832"/>
    <cellStyle name="40 % - zvýraznenie3 3 5" xfId="2624"/>
    <cellStyle name="40 % - zvýraznenie3 4" xfId="710"/>
    <cellStyle name="40 % - zvýraznenie3 4 2" xfId="711"/>
    <cellStyle name="40 % - zvýraznenie3 4 2 2" xfId="1190"/>
    <cellStyle name="40 % - zvýraznenie3 4 2 3" xfId="1835"/>
    <cellStyle name="40 % - zvýraznenie3 4 3" xfId="1189"/>
    <cellStyle name="40 % - zvýraznenie3 4 4" xfId="1834"/>
    <cellStyle name="40 % - zvýraznenie3 5" xfId="712"/>
    <cellStyle name="40 % - zvýraznenie3 5 2" xfId="713"/>
    <cellStyle name="40 % - zvýraznenie3 5 2 2" xfId="1192"/>
    <cellStyle name="40 % - zvýraznenie3 5 2 3" xfId="1837"/>
    <cellStyle name="40 % - zvýraznenie3 5 3" xfId="1191"/>
    <cellStyle name="40 % - zvýraznenie3 5 4" xfId="1836"/>
    <cellStyle name="40 % - zvýraznenie3 6" xfId="714"/>
    <cellStyle name="40 % - zvýraznenie3 6 2" xfId="1193"/>
    <cellStyle name="40 % - zvýraznenie3 6 3" xfId="1838"/>
    <cellStyle name="40 % - zvýraznenie3 7" xfId="715"/>
    <cellStyle name="40 % - zvýraznenie3 7 2" xfId="1194"/>
    <cellStyle name="40 % - zvýraznenie3 7 3" xfId="1839"/>
    <cellStyle name="40 % - zvýraznenie3 8" xfId="2442"/>
    <cellStyle name="40 % - zvýraznenie4 2" xfId="716"/>
    <cellStyle name="40 % - zvýraznenie4 2 2" xfId="717"/>
    <cellStyle name="40 % - zvýraznenie4 2 2 2" xfId="1196"/>
    <cellStyle name="40 % - zvýraznenie4 2 2 3" xfId="1841"/>
    <cellStyle name="40 % - zvýraznenie4 2 2 4" xfId="2654"/>
    <cellStyle name="40 % - zvýraznenie4 2 3" xfId="1195"/>
    <cellStyle name="40 % - zvýraznenie4 2 4" xfId="1840"/>
    <cellStyle name="40 % - zvýraznenie4 2 5" xfId="2474"/>
    <cellStyle name="40 % - zvýraznenie4 3" xfId="718"/>
    <cellStyle name="40 % - zvýraznenie4 3 2" xfId="719"/>
    <cellStyle name="40 % - zvýraznenie4 3 2 2" xfId="1198"/>
    <cellStyle name="40 % - zvýraznenie4 3 2 3" xfId="1843"/>
    <cellStyle name="40 % - zvýraznenie4 3 3" xfId="1197"/>
    <cellStyle name="40 % - zvýraznenie4 3 4" xfId="1842"/>
    <cellStyle name="40 % - zvýraznenie4 3 5" xfId="2627"/>
    <cellStyle name="40 % - zvýraznenie4 4" xfId="720"/>
    <cellStyle name="40 % - zvýraznenie4 4 2" xfId="1199"/>
    <cellStyle name="40 % - zvýraznenie4 4 3" xfId="1844"/>
    <cellStyle name="40 % - zvýraznenie4 5" xfId="2445"/>
    <cellStyle name="40 % - zvýraznenie5 2" xfId="721"/>
    <cellStyle name="40 % - zvýraznenie5 2 2" xfId="722"/>
    <cellStyle name="40 % - zvýraznenie5 2 2 2" xfId="1201"/>
    <cellStyle name="40 % - zvýraznenie5 2 2 3" xfId="1846"/>
    <cellStyle name="40 % - zvýraznenie5 2 2 4" xfId="2656"/>
    <cellStyle name="40 % - zvýraznenie5 2 3" xfId="1200"/>
    <cellStyle name="40 % - zvýraznenie5 2 4" xfId="1845"/>
    <cellStyle name="40 % - zvýraznenie5 2 5" xfId="2476"/>
    <cellStyle name="40 % - zvýraznenie5 3" xfId="723"/>
    <cellStyle name="40 % - zvýraznenie5 3 2" xfId="724"/>
    <cellStyle name="40 % - zvýraznenie5 3 2 2" xfId="1203"/>
    <cellStyle name="40 % - zvýraznenie5 3 2 3" xfId="1848"/>
    <cellStyle name="40 % - zvýraznenie5 3 3" xfId="1202"/>
    <cellStyle name="40 % - zvýraznenie5 3 4" xfId="1847"/>
    <cellStyle name="40 % - zvýraznenie5 3 5" xfId="2630"/>
    <cellStyle name="40 % - zvýraznenie5 4" xfId="725"/>
    <cellStyle name="40 % - zvýraznenie5 4 2" xfId="1204"/>
    <cellStyle name="40 % - zvýraznenie5 4 3" xfId="1849"/>
    <cellStyle name="40 % - zvýraznenie5 5" xfId="2448"/>
    <cellStyle name="40 % - zvýraznenie6 2" xfId="726"/>
    <cellStyle name="40 % - zvýraznenie6 2 2" xfId="727"/>
    <cellStyle name="40 % - zvýraznenie6 2 2 2" xfId="1206"/>
    <cellStyle name="40 % - zvýraznenie6 2 2 3" xfId="1851"/>
    <cellStyle name="40 % - zvýraznenie6 2 2 4" xfId="2658"/>
    <cellStyle name="40 % - zvýraznenie6 2 3" xfId="1205"/>
    <cellStyle name="40 % - zvýraznenie6 2 4" xfId="1850"/>
    <cellStyle name="40 % - zvýraznenie6 2 5" xfId="2478"/>
    <cellStyle name="40 % - zvýraznenie6 3" xfId="728"/>
    <cellStyle name="40 % - zvýraznenie6 3 2" xfId="729"/>
    <cellStyle name="40 % - zvýraznenie6 3 2 2" xfId="1208"/>
    <cellStyle name="40 % - zvýraznenie6 3 2 3" xfId="1853"/>
    <cellStyle name="40 % - zvýraznenie6 3 3" xfId="1207"/>
    <cellStyle name="40 % - zvýraznenie6 3 4" xfId="1852"/>
    <cellStyle name="40 % - zvýraznenie6 3 5" xfId="2633"/>
    <cellStyle name="40 % - zvýraznenie6 4" xfId="730"/>
    <cellStyle name="40 % - zvýraznenie6 4 2" xfId="1209"/>
    <cellStyle name="40 % - zvýraznenie6 4 3" xfId="1854"/>
    <cellStyle name="40 % - zvýraznenie6 5" xfId="2452"/>
    <cellStyle name="40% - Accent1" xfId="42"/>
    <cellStyle name="40% - Accent1 2" xfId="262"/>
    <cellStyle name="40% - Accent1 3" xfId="263"/>
    <cellStyle name="40% - Accent2" xfId="43"/>
    <cellStyle name="40% - Accent2 2" xfId="264"/>
    <cellStyle name="40% - Accent2 3" xfId="265"/>
    <cellStyle name="40% - Accent3" xfId="44"/>
    <cellStyle name="40% - Accent3 2" xfId="266"/>
    <cellStyle name="40% - Accent3 3" xfId="267"/>
    <cellStyle name="40% - Accent4" xfId="45"/>
    <cellStyle name="40% - Accent4 2" xfId="268"/>
    <cellStyle name="40% - Accent4 3" xfId="269"/>
    <cellStyle name="40% - Accent5" xfId="46"/>
    <cellStyle name="40% - Accent5 2" xfId="270"/>
    <cellStyle name="40% - Accent5 3" xfId="271"/>
    <cellStyle name="40% - Accent6" xfId="47"/>
    <cellStyle name="40% - Accent6 2" xfId="272"/>
    <cellStyle name="40% - Accent6 3" xfId="273"/>
    <cellStyle name="60 % - zvýraznenie1 2" xfId="201"/>
    <cellStyle name="60 % - zvýraznenie2 2" xfId="202"/>
    <cellStyle name="60 % - zvýraznenie3 2" xfId="731"/>
    <cellStyle name="60 % - zvýraznenie3 3" xfId="732"/>
    <cellStyle name="60 % - zvýraznenie3 4" xfId="733"/>
    <cellStyle name="60 % - zvýraznenie3 5" xfId="734"/>
    <cellStyle name="60 % - zvýraznenie3 6" xfId="203"/>
    <cellStyle name="60 % - zvýraznenie4 2" xfId="735"/>
    <cellStyle name="60 % - zvýraznenie4 3" xfId="736"/>
    <cellStyle name="60 % - zvýraznenie4 4" xfId="737"/>
    <cellStyle name="60 % - zvýraznenie4 5" xfId="738"/>
    <cellStyle name="60 % - zvýraznenie4 6" xfId="204"/>
    <cellStyle name="60 % - zvýraznenie5 2" xfId="205"/>
    <cellStyle name="60 % - zvýraznenie6 2" xfId="739"/>
    <cellStyle name="60 % - zvýraznenie6 3" xfId="740"/>
    <cellStyle name="60 % - zvýraznenie6 4" xfId="741"/>
    <cellStyle name="60 % - zvýraznenie6 5" xfId="742"/>
    <cellStyle name="60 % - zvýraznenie6 6" xfId="206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1 - 20%" xfId="514"/>
    <cellStyle name="Accent1 - 40%" xfId="515"/>
    <cellStyle name="Accent1 - 60%" xfId="516"/>
    <cellStyle name="Accent1 2" xfId="2289"/>
    <cellStyle name="Accent2" xfId="55"/>
    <cellStyle name="Accent2 - 20%" xfId="517"/>
    <cellStyle name="Accent2 - 40%" xfId="518"/>
    <cellStyle name="Accent2 - 60%" xfId="519"/>
    <cellStyle name="Accent2 2" xfId="2290"/>
    <cellStyle name="Accent3" xfId="56"/>
    <cellStyle name="Accent3 - 20%" xfId="520"/>
    <cellStyle name="Accent3 - 40%" xfId="521"/>
    <cellStyle name="Accent3 - 60%" xfId="522"/>
    <cellStyle name="Accent3 2" xfId="2291"/>
    <cellStyle name="Accent4" xfId="57"/>
    <cellStyle name="Accent4 - 20%" xfId="523"/>
    <cellStyle name="Accent4 - 40%" xfId="524"/>
    <cellStyle name="Accent4 - 60%" xfId="525"/>
    <cellStyle name="Accent4 2" xfId="2292"/>
    <cellStyle name="Accent5" xfId="58"/>
    <cellStyle name="Accent5 - 20%" xfId="526"/>
    <cellStyle name="Accent5 - 40%" xfId="527"/>
    <cellStyle name="Accent5 - 60%" xfId="528"/>
    <cellStyle name="Accent5 2" xfId="2293"/>
    <cellStyle name="Accent6" xfId="59"/>
    <cellStyle name="Accent6 - 20%" xfId="529"/>
    <cellStyle name="Accent6 - 40%" xfId="530"/>
    <cellStyle name="Accent6 - 60%" xfId="531"/>
    <cellStyle name="Accent6 2" xfId="2294"/>
    <cellStyle name="Bad" xfId="60"/>
    <cellStyle name="Bad 2" xfId="2282"/>
    <cellStyle name="Calculation" xfId="61"/>
    <cellStyle name="Calculation 10" xfId="2354"/>
    <cellStyle name="Calculation 11" xfId="2788"/>
    <cellStyle name="Calculation 12" xfId="2285"/>
    <cellStyle name="Calculation 2" xfId="149"/>
    <cellStyle name="Calculation 2 10" xfId="2222"/>
    <cellStyle name="Calculation 2 11" xfId="2527"/>
    <cellStyle name="Calculation 2 12" xfId="2778"/>
    <cellStyle name="Calculation 2 13" xfId="2730"/>
    <cellStyle name="Calculation 2 14" xfId="274"/>
    <cellStyle name="Calculation 2 2" xfId="177"/>
    <cellStyle name="Calculation 2 2 2" xfId="956"/>
    <cellStyle name="Calculation 2 2 3" xfId="1269"/>
    <cellStyle name="Calculation 2 2 4" xfId="1615"/>
    <cellStyle name="Calculation 2 2 5" xfId="1883"/>
    <cellStyle name="Calculation 2 2 6" xfId="2085"/>
    <cellStyle name="Calculation 2 2 7" xfId="408"/>
    <cellStyle name="Calculation 2 3" xfId="191"/>
    <cellStyle name="Calculation 2 3 2" xfId="934"/>
    <cellStyle name="Calculation 2 3 3" xfId="1248"/>
    <cellStyle name="Calculation 2 3 4" xfId="1594"/>
    <cellStyle name="Calculation 2 3 5" xfId="1411"/>
    <cellStyle name="Calculation 2 3 6" xfId="2062"/>
    <cellStyle name="Calculation 2 3 7" xfId="386"/>
    <cellStyle name="Calculation 2 4" xfId="402"/>
    <cellStyle name="Calculation 2 4 2" xfId="950"/>
    <cellStyle name="Calculation 2 4 3" xfId="1263"/>
    <cellStyle name="Calculation 2 4 4" xfId="1609"/>
    <cellStyle name="Calculation 2 4 5" xfId="1877"/>
    <cellStyle name="Calculation 2 4 6" xfId="2160"/>
    <cellStyle name="Calculation 2 5" xfId="479"/>
    <cellStyle name="Calculation 2 5 2" xfId="1027"/>
    <cellStyle name="Calculation 2 5 3" xfId="1340"/>
    <cellStyle name="Calculation 2 5 4" xfId="1685"/>
    <cellStyle name="Calculation 2 5 5" xfId="1952"/>
    <cellStyle name="Calculation 2 5 6" xfId="2254"/>
    <cellStyle name="Calculation 2 6" xfId="849"/>
    <cellStyle name="Calculation 2 7" xfId="1069"/>
    <cellStyle name="Calculation 2 8" xfId="1508"/>
    <cellStyle name="Calculation 2 9" xfId="1738"/>
    <cellStyle name="Calculation 3" xfId="146"/>
    <cellStyle name="Calculation 3 2" xfId="174"/>
    <cellStyle name="Calculation 3 2 2" xfId="806"/>
    <cellStyle name="Calculation 3 3" xfId="188"/>
    <cellStyle name="Calculation 3 3 2" xfId="1075"/>
    <cellStyle name="Calculation 3 4" xfId="1468"/>
    <cellStyle name="Calculation 3 5" xfId="1482"/>
    <cellStyle name="Calculation 3 6" xfId="2225"/>
    <cellStyle name="Calculation 3 7" xfId="2544"/>
    <cellStyle name="Calculation 3 8" xfId="2756"/>
    <cellStyle name="Calculation 3 9" xfId="226"/>
    <cellStyle name="Calculation 4" xfId="163"/>
    <cellStyle name="Calculation 4 2" xfId="2534"/>
    <cellStyle name="Calculation 4 3" xfId="2766"/>
    <cellStyle name="Calculation 4 4" xfId="775"/>
    <cellStyle name="Calculation 5" xfId="160"/>
    <cellStyle name="Calculation 5 2" xfId="2663"/>
    <cellStyle name="Calculation 5 3" xfId="2761"/>
    <cellStyle name="Calculation 5 4" xfId="1095"/>
    <cellStyle name="Calculation 6" xfId="1427"/>
    <cellStyle name="Calculation 6 2" xfId="2605"/>
    <cellStyle name="Calculation 6 3" xfId="2393"/>
    <cellStyle name="Calculation 7" xfId="1548"/>
    <cellStyle name="Calculation 8" xfId="2195"/>
    <cellStyle name="Calculation 9" xfId="2340"/>
    <cellStyle name="cf1" xfId="62"/>
    <cellStyle name="cf10" xfId="63"/>
    <cellStyle name="cf11" xfId="64"/>
    <cellStyle name="cf12" xfId="65"/>
    <cellStyle name="cf13" xfId="66"/>
    <cellStyle name="cf14" xfId="67"/>
    <cellStyle name="cf15" xfId="68"/>
    <cellStyle name="cf16" xfId="69"/>
    <cellStyle name="cf17" xfId="70"/>
    <cellStyle name="cf18" xfId="71"/>
    <cellStyle name="cf19" xfId="72"/>
    <cellStyle name="cf2" xfId="73"/>
    <cellStyle name="cf20" xfId="74"/>
    <cellStyle name="cf3" xfId="75"/>
    <cellStyle name="cf4" xfId="76"/>
    <cellStyle name="cf5" xfId="77"/>
    <cellStyle name="cf6" xfId="78"/>
    <cellStyle name="cf7" xfId="79"/>
    <cellStyle name="cf8" xfId="80"/>
    <cellStyle name="cf9" xfId="81"/>
    <cellStyle name="Čiarka" xfId="1" builtinId="3"/>
    <cellStyle name="Čiarka 2" xfId="25"/>
    <cellStyle name="Čiarka 2 2" xfId="83"/>
    <cellStyle name="Čiarka 2 2 2" xfId="84"/>
    <cellStyle name="Čiarka 2 2 3" xfId="218"/>
    <cellStyle name="Čiarka 2 3" xfId="82"/>
    <cellStyle name="Čiarka 2 3 2" xfId="276"/>
    <cellStyle name="Čiarka 3" xfId="143"/>
    <cellStyle name="Čiarka 3 2" xfId="275"/>
    <cellStyle name="Čiarka 4" xfId="7"/>
    <cellStyle name="Čiarka 4 2" xfId="802"/>
    <cellStyle name="Čiarka 4 3" xfId="1464"/>
    <cellStyle name="Čiarka 4 4" xfId="2109"/>
    <cellStyle name="Čiarka 5" xfId="503"/>
    <cellStyle name="Čiarka 5 2" xfId="1052"/>
    <cellStyle name="Čiarka 5 3" xfId="1710"/>
    <cellStyle name="Čiarka 5 4" xfId="2235"/>
    <cellStyle name="Čiarka 6" xfId="506"/>
    <cellStyle name="Čiarka 6 2" xfId="1055"/>
    <cellStyle name="Čiarka 7" xfId="644"/>
    <cellStyle name="Čiarka 7 2" xfId="1122"/>
    <cellStyle name="Čiarka 7 3" xfId="1767"/>
    <cellStyle name="Čiarka 8" xfId="756"/>
    <cellStyle name="Čiarka 8 2" xfId="1229"/>
    <cellStyle name="Čiarka 8 3" xfId="1876"/>
    <cellStyle name="čiarky 2" xfId="277"/>
    <cellStyle name="čiarky 3" xfId="278"/>
    <cellStyle name="čiarky 3 2" xfId="279"/>
    <cellStyle name="čiarky 3 3" xfId="280"/>
    <cellStyle name="Data-vstup" xfId="85"/>
    <cellStyle name="Data-vstup 10" xfId="1439"/>
    <cellStyle name="Data-vstup 11" xfId="2233"/>
    <cellStyle name="Data-vstup 12" xfId="210"/>
    <cellStyle name="Data-vstup 2" xfId="153"/>
    <cellStyle name="Data-vstup 2 10" xfId="2204"/>
    <cellStyle name="Data-vstup 2 11" xfId="248"/>
    <cellStyle name="Data-vstup 2 2" xfId="181"/>
    <cellStyle name="Data-vstup 2 2 2" xfId="954"/>
    <cellStyle name="Data-vstup 2 2 3" xfId="1267"/>
    <cellStyle name="Data-vstup 2 2 4" xfId="1613"/>
    <cellStyle name="Data-vstup 2 2 5" xfId="1881"/>
    <cellStyle name="Data-vstup 2 2 6" xfId="1635"/>
    <cellStyle name="Data-vstup 2 2 7" xfId="2158"/>
    <cellStyle name="Data-vstup 2 2 8" xfId="406"/>
    <cellStyle name="Data-vstup 2 3" xfId="195"/>
    <cellStyle name="Data-vstup 2 3 2" xfId="957"/>
    <cellStyle name="Data-vstup 2 3 3" xfId="1270"/>
    <cellStyle name="Data-vstup 2 3 4" xfId="1616"/>
    <cellStyle name="Data-vstup 2 3 5" xfId="1884"/>
    <cellStyle name="Data-vstup 2 3 6" xfId="1550"/>
    <cellStyle name="Data-vstup 2 3 7" xfId="2058"/>
    <cellStyle name="Data-vstup 2 3 8" xfId="409"/>
    <cellStyle name="Data-vstup 2 4" xfId="478"/>
    <cellStyle name="Data-vstup 2 4 2" xfId="1026"/>
    <cellStyle name="Data-vstup 2 4 3" xfId="1339"/>
    <cellStyle name="Data-vstup 2 4 4" xfId="1684"/>
    <cellStyle name="Data-vstup 2 4 5" xfId="1951"/>
    <cellStyle name="Data-vstup 2 4 6" xfId="2019"/>
    <cellStyle name="Data-vstup 2 4 7" xfId="2253"/>
    <cellStyle name="Data-vstup 2 5" xfId="826"/>
    <cellStyle name="Data-vstup 2 6" xfId="794"/>
    <cellStyle name="Data-vstup 2 7" xfId="1486"/>
    <cellStyle name="Data-vstup 2 8" xfId="1739"/>
    <cellStyle name="Data-vstup 2 9" xfId="1744"/>
    <cellStyle name="Data-vstup 3" xfId="145"/>
    <cellStyle name="Data-vstup 3 2" xfId="173"/>
    <cellStyle name="Data-vstup 3 2 2" xfId="807"/>
    <cellStyle name="Data-vstup 3 3" xfId="187"/>
    <cellStyle name="Data-vstup 3 3 2" xfId="1074"/>
    <cellStyle name="Data-vstup 3 4" xfId="1469"/>
    <cellStyle name="Data-vstup 3 5" xfId="1441"/>
    <cellStyle name="Data-vstup 3 6" xfId="2018"/>
    <cellStyle name="Data-vstup 3 7" xfId="2111"/>
    <cellStyle name="Data-vstup 3 8" xfId="227"/>
    <cellStyle name="Data-vstup 4" xfId="167"/>
    <cellStyle name="Data-vstup 4 2" xfId="936"/>
    <cellStyle name="Data-vstup 4 3" xfId="1250"/>
    <cellStyle name="Data-vstup 4 4" xfId="1596"/>
    <cellStyle name="Data-vstup 4 5" xfId="1494"/>
    <cellStyle name="Data-vstup 4 6" xfId="2021"/>
    <cellStyle name="Data-vstup 4 7" xfId="2060"/>
    <cellStyle name="Data-vstup 4 8" xfId="388"/>
    <cellStyle name="Data-vstup 5" xfId="159"/>
    <cellStyle name="Data-vstup 5 2" xfId="901"/>
    <cellStyle name="Data-vstup 5 3" xfId="835"/>
    <cellStyle name="Data-vstup 5 4" xfId="1560"/>
    <cellStyle name="Data-vstup 5 5" xfId="1420"/>
    <cellStyle name="Data-vstup 5 6" xfId="1515"/>
    <cellStyle name="Data-vstup 5 7" xfId="2131"/>
    <cellStyle name="Data-vstup 5 8" xfId="350"/>
    <cellStyle name="Data-vstup 6" xfId="393"/>
    <cellStyle name="Data-vstup 6 2" xfId="941"/>
    <cellStyle name="Data-vstup 6 3" xfId="1254"/>
    <cellStyle name="Data-vstup 6 4" xfId="1600"/>
    <cellStyle name="Data-vstup 6 5" xfId="1492"/>
    <cellStyle name="Data-vstup 6 6" xfId="2020"/>
    <cellStyle name="Data-vstup 6 7" xfId="2205"/>
    <cellStyle name="Data-vstup 7" xfId="383"/>
    <cellStyle name="Data-vstup 7 2" xfId="931"/>
    <cellStyle name="Data-vstup 7 3" xfId="1245"/>
    <cellStyle name="Data-vstup 7 4" xfId="1591"/>
    <cellStyle name="Data-vstup 7 5" xfId="1412"/>
    <cellStyle name="Data-vstup 7 6" xfId="1760"/>
    <cellStyle name="Data-vstup 7 7" xfId="2089"/>
    <cellStyle name="Data-vstup 8" xfId="780"/>
    <cellStyle name="Data-vstup 9" xfId="872"/>
    <cellStyle name="Dobrá 2" xfId="139"/>
    <cellStyle name="Dobrá 3" xfId="2106"/>
    <cellStyle name="Dobrá 4" xfId="220"/>
    <cellStyle name="Emphasis 1" xfId="532"/>
    <cellStyle name="Emphasis 2" xfId="533"/>
    <cellStyle name="Emphasis 3" xfId="534"/>
    <cellStyle name="Euro" xfId="535"/>
    <cellStyle name="Excel Built-in Normal" xfId="640"/>
    <cellStyle name="Explanatory Text" xfId="86"/>
    <cellStyle name="Explanatory Text 2" xfId="2288"/>
    <cellStyle name="Good" xfId="87"/>
    <cellStyle name="Heading 1" xfId="88"/>
    <cellStyle name="Heading 1 2" xfId="2278"/>
    <cellStyle name="Heading 2" xfId="89"/>
    <cellStyle name="Heading 2 2" xfId="2279"/>
    <cellStyle name="Heading 3" xfId="90"/>
    <cellStyle name="Heading 3 2" xfId="776"/>
    <cellStyle name="Heading 3 3" xfId="2280"/>
    <cellStyle name="Heading 4" xfId="91"/>
    <cellStyle name="Heading 4 2" xfId="2281"/>
    <cellStyle name="Hlav-stlpcov" xfId="92"/>
    <cellStyle name="Hlav-stlpcov 2" xfId="228"/>
    <cellStyle name="Hlav-stlpcov 2 2" xfId="808"/>
    <cellStyle name="Hlav-stlpcov 2 3" xfId="1498"/>
    <cellStyle name="Hlav-stlpcov 2 4" xfId="2184"/>
    <cellStyle name="Hlav-stlpcov 3" xfId="788"/>
    <cellStyle name="Hlav-stlpcov 4" xfId="2022"/>
    <cellStyle name="Hlav-stlpcov 5" xfId="2226"/>
    <cellStyle name="Hlav-stlpcov 6" xfId="217"/>
    <cellStyle name="Hypertextové prepojenie" xfId="12" builtinId="8"/>
    <cellStyle name="Hypertextové prepojenie 2" xfId="93"/>
    <cellStyle name="Hypertextové prepojenie 2 2" xfId="536"/>
    <cellStyle name="Check Cell" xfId="94"/>
    <cellStyle name="Check Cell 2" xfId="2287"/>
    <cellStyle name="Input" xfId="95"/>
    <cellStyle name="Input 10" xfId="2457"/>
    <cellStyle name="Input 11" xfId="2798"/>
    <cellStyle name="Input 12" xfId="207"/>
    <cellStyle name="Input 2" xfId="154"/>
    <cellStyle name="Input 2 10" xfId="2181"/>
    <cellStyle name="Input 2 11" xfId="2535"/>
    <cellStyle name="Input 2 12" xfId="2780"/>
    <cellStyle name="Input 2 13" xfId="2450"/>
    <cellStyle name="Input 2 14" xfId="281"/>
    <cellStyle name="Input 2 2" xfId="182"/>
    <cellStyle name="Input 2 2 2" xfId="981"/>
    <cellStyle name="Input 2 2 3" xfId="1294"/>
    <cellStyle name="Input 2 2 4" xfId="1639"/>
    <cellStyle name="Input 2 2 5" xfId="1906"/>
    <cellStyle name="Input 2 2 6" xfId="2045"/>
    <cellStyle name="Input 2 2 7" xfId="433"/>
    <cellStyle name="Input 2 3" xfId="196"/>
    <cellStyle name="Input 2 3 2" xfId="926"/>
    <cellStyle name="Input 2 3 3" xfId="1241"/>
    <cellStyle name="Input 2 3 4" xfId="1586"/>
    <cellStyle name="Input 2 3 5" xfId="1501"/>
    <cellStyle name="Input 2 3 6" xfId="2219"/>
    <cellStyle name="Input 2 3 7" xfId="379"/>
    <cellStyle name="Input 2 4" xfId="369"/>
    <cellStyle name="Input 2 4 2" xfId="918"/>
    <cellStyle name="Input 2 4 3" xfId="1233"/>
    <cellStyle name="Input 2 4 4" xfId="1578"/>
    <cellStyle name="Input 2 4 5" xfId="1416"/>
    <cellStyle name="Input 2 4 6" xfId="2088"/>
    <cellStyle name="Input 2 5" xfId="403"/>
    <cellStyle name="Input 2 5 2" xfId="951"/>
    <cellStyle name="Input 2 5 3" xfId="1264"/>
    <cellStyle name="Input 2 5 4" xfId="1610"/>
    <cellStyle name="Input 2 5 5" xfId="1878"/>
    <cellStyle name="Input 2 5 6" xfId="2159"/>
    <cellStyle name="Input 2 6" xfId="851"/>
    <cellStyle name="Input 2 7" xfId="850"/>
    <cellStyle name="Input 2 8" xfId="1512"/>
    <cellStyle name="Input 2 9" xfId="1457"/>
    <cellStyle name="Input 3" xfId="152"/>
    <cellStyle name="Input 3 2" xfId="180"/>
    <cellStyle name="Input 3 2 2" xfId="809"/>
    <cellStyle name="Input 3 3" xfId="194"/>
    <cellStyle name="Input 3 3 2" xfId="1073"/>
    <cellStyle name="Input 3 4" xfId="1470"/>
    <cellStyle name="Input 3 5" xfId="1577"/>
    <cellStyle name="Input 3 6" xfId="2231"/>
    <cellStyle name="Input 3 7" xfId="2536"/>
    <cellStyle name="Input 3 8" xfId="2735"/>
    <cellStyle name="Input 3 9" xfId="229"/>
    <cellStyle name="Input 4" xfId="168"/>
    <cellStyle name="Input 4 2" xfId="2680"/>
    <cellStyle name="Input 4 3" xfId="2856"/>
    <cellStyle name="Input 4 4" xfId="777"/>
    <cellStyle name="Input 5" xfId="166"/>
    <cellStyle name="Input 5 2" xfId="2696"/>
    <cellStyle name="Input 5 3" xfId="2872"/>
    <cellStyle name="Input 5 4" xfId="1094"/>
    <cellStyle name="Input 6" xfId="1435"/>
    <cellStyle name="Input 6 2" xfId="2673"/>
    <cellStyle name="Input 6 3" xfId="2849"/>
    <cellStyle name="Input 7" xfId="1745"/>
    <cellStyle name="Input 8" xfId="2207"/>
    <cellStyle name="Input 9" xfId="2353"/>
    <cellStyle name="KT-stlpec" xfId="96"/>
    <cellStyle name="KT-stlpec 10" xfId="2186"/>
    <cellStyle name="KT-stlpec 11" xfId="215"/>
    <cellStyle name="KT-stlpec 2" xfId="155"/>
    <cellStyle name="KT-stlpec 2 2" xfId="183"/>
    <cellStyle name="KT-stlpec 2 2 2" xfId="810"/>
    <cellStyle name="KT-stlpec 2 3" xfId="197"/>
    <cellStyle name="KT-stlpec 2 3 2" xfId="1072"/>
    <cellStyle name="KT-stlpec 2 4" xfId="1471"/>
    <cellStyle name="KT-stlpec 2 5" xfId="2114"/>
    <cellStyle name="KT-stlpec 2 6" xfId="2223"/>
    <cellStyle name="KT-stlpec 2 7" xfId="230"/>
    <cellStyle name="KT-stlpec 3" xfId="151"/>
    <cellStyle name="KT-stlpec 3 2" xfId="179"/>
    <cellStyle name="KT-stlpec 3 2 2" xfId="912"/>
    <cellStyle name="KT-stlpec 3 3" xfId="193"/>
    <cellStyle name="KT-stlpec 3 3 2" xfId="828"/>
    <cellStyle name="KT-stlpec 3 4" xfId="1571"/>
    <cellStyle name="KT-stlpec 3 5" xfId="1859"/>
    <cellStyle name="KT-stlpec 3 6" xfId="1978"/>
    <cellStyle name="KT-stlpec 3 7" xfId="2033"/>
    <cellStyle name="KT-stlpec 3 8" xfId="362"/>
    <cellStyle name="KT-stlpec 4" xfId="169"/>
    <cellStyle name="KT-stlpec 4 2" xfId="897"/>
    <cellStyle name="KT-stlpec 4 3" xfId="764"/>
    <cellStyle name="KT-stlpec 4 4" xfId="1556"/>
    <cellStyle name="KT-stlpec 4 5" xfId="1719"/>
    <cellStyle name="KT-stlpec 4 6" xfId="2023"/>
    <cellStyle name="KT-stlpec 4 7" xfId="2169"/>
    <cellStyle name="KT-stlpec 4 8" xfId="346"/>
    <cellStyle name="KT-stlpec 5" xfId="165"/>
    <cellStyle name="KT-stlpec 5 2" xfId="905"/>
    <cellStyle name="KT-stlpec 5 3" xfId="761"/>
    <cellStyle name="KT-stlpec 5 4" xfId="1564"/>
    <cellStyle name="KT-stlpec 5 5" xfId="1866"/>
    <cellStyle name="KT-stlpec 5 6" xfId="1717"/>
    <cellStyle name="KT-stlpec 5 7" xfId="2167"/>
    <cellStyle name="KT-stlpec 5 8" xfId="355"/>
    <cellStyle name="KT-stlpec 6" xfId="348"/>
    <cellStyle name="KT-stlpec 6 2" xfId="899"/>
    <cellStyle name="KT-stlpec 6 3" xfId="836"/>
    <cellStyle name="KT-stlpec 6 4" xfId="1558"/>
    <cellStyle name="KT-stlpec 6 5" xfId="1422"/>
    <cellStyle name="KT-stlpec 6 6" xfId="1976"/>
    <cellStyle name="KT-stlpec 6 7" xfId="2102"/>
    <cellStyle name="KT-stlpec 7" xfId="786"/>
    <cellStyle name="KT-stlpec 8" xfId="855"/>
    <cellStyle name="KT-stlpec 9" xfId="1446"/>
    <cellStyle name="KT-sučet" xfId="97"/>
    <cellStyle name="KT-sučet 2" xfId="156"/>
    <cellStyle name="KT-sučet 2 2" xfId="184"/>
    <cellStyle name="KT-sučet 2 2 2" xfId="811"/>
    <cellStyle name="KT-sučet 2 3" xfId="198"/>
    <cellStyle name="KT-sučet 2 3 2" xfId="1071"/>
    <cellStyle name="KT-sučet 2 4" xfId="1472"/>
    <cellStyle name="KT-sučet 2 5" xfId="2224"/>
    <cellStyle name="KT-sučet 2 6" xfId="231"/>
    <cellStyle name="KT-sučet 3" xfId="150"/>
    <cellStyle name="KT-sučet 3 2" xfId="178"/>
    <cellStyle name="KT-sučet 3 3" xfId="192"/>
    <cellStyle name="KT-sučet 3 4" xfId="787"/>
    <cellStyle name="KT-sučet 4" xfId="170"/>
    <cellStyle name="KT-sučet 4 2" xfId="856"/>
    <cellStyle name="KT-sučet 5" xfId="164"/>
    <cellStyle name="KT-sučet 5 2" xfId="1447"/>
    <cellStyle name="KT-sučet 6" xfId="2232"/>
    <cellStyle name="KT-sučet 7" xfId="216"/>
    <cellStyle name="Linked Cell" xfId="98"/>
    <cellStyle name="Linked Cell 2" xfId="2286"/>
    <cellStyle name="Mena" xfId="2" builtinId="4"/>
    <cellStyle name="Mena 2" xfId="19"/>
    <cellStyle name="Mena 2 2" xfId="2644"/>
    <cellStyle name="Mena 2 3" xfId="2463"/>
    <cellStyle name="Mena 2 4" xfId="504"/>
    <cellStyle name="Mena 3" xfId="2709"/>
    <cellStyle name="Mena 4" xfId="208"/>
    <cellStyle name="měny_Abs_0503_2r" xfId="99"/>
    <cellStyle name="Neutral" xfId="100"/>
    <cellStyle name="Neutral 2" xfId="2283"/>
    <cellStyle name="Neutrálna 2" xfId="27"/>
    <cellStyle name="Normal_1 Prir.vedy" xfId="101"/>
    <cellStyle name="Normálna" xfId="0" builtinId="0"/>
    <cellStyle name="Normálna 10" xfId="132"/>
    <cellStyle name="Normálna 10 2" xfId="1051"/>
    <cellStyle name="Normálna 10 3" xfId="1709"/>
    <cellStyle name="Normálna 10 4" xfId="2234"/>
    <cellStyle name="Normálna 10 5" xfId="2481"/>
    <cellStyle name="Normálna 11" xfId="14"/>
    <cellStyle name="Normálna 11 2" xfId="133"/>
    <cellStyle name="Normálna 11 2 2" xfId="1053"/>
    <cellStyle name="Normálna 11 3" xfId="1711"/>
    <cellStyle name="Normálna 11 4" xfId="2236"/>
    <cellStyle name="Normálna 11 5" xfId="2708"/>
    <cellStyle name="Normálna 12" xfId="34"/>
    <cellStyle name="Normálna 12 2" xfId="507"/>
    <cellStyle name="Normálna 12 2 2" xfId="509"/>
    <cellStyle name="Normálna 12 2 2 2" xfId="1058"/>
    <cellStyle name="Normálna 12 2 2 3" xfId="1715"/>
    <cellStyle name="Normálna 12 2 3" xfId="1056"/>
    <cellStyle name="Normálna 12 2 4" xfId="1713"/>
    <cellStyle name="Normálna 12 3" xfId="1054"/>
    <cellStyle name="Normálna 12 4" xfId="1712"/>
    <cellStyle name="Normálna 12 5" xfId="2238"/>
    <cellStyle name="Normálna 12 6" xfId="2710"/>
    <cellStyle name="Normálna 12 7" xfId="505"/>
    <cellStyle name="Normálna 13" xfId="134"/>
    <cellStyle name="Normálna 13 2" xfId="642"/>
    <cellStyle name="Normálna 13 3" xfId="2712"/>
    <cellStyle name="Normálna 14" xfId="508"/>
    <cellStyle name="Normálna 14 2" xfId="1057"/>
    <cellStyle name="Normálna 14 3" xfId="1714"/>
    <cellStyle name="Normálna 15" xfId="510"/>
    <cellStyle name="Normálna 16" xfId="639"/>
    <cellStyle name="Normálna 16 2" xfId="1119"/>
    <cellStyle name="Normálna 16 3" xfId="1762"/>
    <cellStyle name="Normálna 17" xfId="641"/>
    <cellStyle name="Normálna 17 2" xfId="1120"/>
    <cellStyle name="Normálna 17 3" xfId="1765"/>
    <cellStyle name="Normálna 18" xfId="643"/>
    <cellStyle name="Normálna 18 2" xfId="1121"/>
    <cellStyle name="Normálna 18 3" xfId="1766"/>
    <cellStyle name="Normálna 19" xfId="32"/>
    <cellStyle name="Normálna 19 2" xfId="1124"/>
    <cellStyle name="Normálna 19 3" xfId="1769"/>
    <cellStyle name="Normálna 2" xfId="17"/>
    <cellStyle name="Normálna 2 2" xfId="26"/>
    <cellStyle name="Normálna 2 2 2" xfId="103"/>
    <cellStyle name="Normálna 2 2 2 2" xfId="5"/>
    <cellStyle name="Normálna 2 2 2 2 2" xfId="812"/>
    <cellStyle name="Normálna 2 2 2 2 3" xfId="138"/>
    <cellStyle name="Normálna 2 2 2 2 4" xfId="1473"/>
    <cellStyle name="Normálna 2 2 2 2 5" xfId="2115"/>
    <cellStyle name="Normálna 2 2 2 3" xfId="790"/>
    <cellStyle name="Normálna 2 2 2 4" xfId="1450"/>
    <cellStyle name="Normálna 2 2 2 5" xfId="2092"/>
    <cellStyle name="Normálna 2 2 3" xfId="104"/>
    <cellStyle name="Normálna 2 2 3 2" xfId="232"/>
    <cellStyle name="Normálna 2 2 3 2 2" xfId="813"/>
    <cellStyle name="Normálna 2 2 3 2 3" xfId="1474"/>
    <cellStyle name="Normálna 2 2 3 2 4" xfId="2116"/>
    <cellStyle name="Normálna 2 2 3 3" xfId="797"/>
    <cellStyle name="Normálna 2 2 3 4" xfId="1456"/>
    <cellStyle name="Normálna 2 2 3 5" xfId="2100"/>
    <cellStyle name="Normálna 2 2 4" xfId="141"/>
    <cellStyle name="Normálna 2 2 4 2" xfId="283"/>
    <cellStyle name="Normálna 2 2 5" xfId="102"/>
    <cellStyle name="Normálna 2 3" xfId="284"/>
    <cellStyle name="Normálna 2 3 2" xfId="135"/>
    <cellStyle name="Normálna 2 4" xfId="282"/>
    <cellStyle name="Normálna 2 4 2" xfId="2460"/>
    <cellStyle name="Normálna 2 4 3" xfId="2420"/>
    <cellStyle name="Normálna 2 5" xfId="778"/>
    <cellStyle name="Normálna 2 5 2" xfId="2715"/>
    <cellStyle name="Normálna 2 6" xfId="1437"/>
    <cellStyle name="Normálna 2 7" xfId="2071"/>
    <cellStyle name="Normálna 20" xfId="755"/>
    <cellStyle name="Normálna 20 2" xfId="1228"/>
    <cellStyle name="Normálna 20 3" xfId="1875"/>
    <cellStyle name="Normálna 21" xfId="1404"/>
    <cellStyle name="Normálna 22" xfId="1405"/>
    <cellStyle name="Normálna 23" xfId="140"/>
    <cellStyle name="Normálna 24" xfId="2031"/>
    <cellStyle name="Normálna 3" xfId="23"/>
    <cellStyle name="Normálna 3 2" xfId="31"/>
    <cellStyle name="Normálna 3 2 2" xfId="137"/>
    <cellStyle name="Normálna 3 2 2 2" xfId="2714"/>
    <cellStyle name="Normálna 3 2 3" xfId="285"/>
    <cellStyle name="Normálna 3 3" xfId="105"/>
    <cellStyle name="Normálna 4" xfId="21"/>
    <cellStyle name="Normálna 4 2" xfId="22"/>
    <cellStyle name="Normálna 4 2 2" xfId="136"/>
    <cellStyle name="Normálna 4 3" xfId="233"/>
    <cellStyle name="Normálna 4 3 2" xfId="814"/>
    <cellStyle name="Normálna 4 3 3" xfId="1475"/>
    <cellStyle name="Normálna 4 3 4" xfId="2117"/>
    <cellStyle name="Normálna 4 4" xfId="791"/>
    <cellStyle name="Normálna 4 5" xfId="1451"/>
    <cellStyle name="Normálna 4 6" xfId="2093"/>
    <cellStyle name="Normálna 5" xfId="29"/>
    <cellStyle name="Normálna 5 2" xfId="106"/>
    <cellStyle name="Normálna 5 2 2" xfId="235"/>
    <cellStyle name="Normálna 5 2 2 2" xfId="816"/>
    <cellStyle name="Normálna 5 2 2 3" xfId="1477"/>
    <cellStyle name="Normálna 5 2 2 4" xfId="2119"/>
    <cellStyle name="Normálna 5 2 2 5" xfId="2639"/>
    <cellStyle name="Normálna 5 2 3" xfId="799"/>
    <cellStyle name="Normálna 5 2 4" xfId="1460"/>
    <cellStyle name="Normálna 5 2 5" xfId="2105"/>
    <cellStyle name="Normálna 5 2 6" xfId="2459"/>
    <cellStyle name="Normálna 5 3" xfId="234"/>
    <cellStyle name="Normálna 5 3 2" xfId="815"/>
    <cellStyle name="Normálna 5 3 2 2" xfId="2659"/>
    <cellStyle name="Normálna 5 3 3" xfId="1476"/>
    <cellStyle name="Normálna 5 3 4" xfId="2118"/>
    <cellStyle name="Normálna 5 3 5" xfId="2479"/>
    <cellStyle name="Normálna 5 4" xfId="793"/>
    <cellStyle name="Normálna 5 4 2" xfId="2610"/>
    <cellStyle name="Normálna 5 5" xfId="1453"/>
    <cellStyle name="Normálna 5 6" xfId="2095"/>
    <cellStyle name="Normálna 5 7" xfId="2419"/>
    <cellStyle name="Normálna 6" xfId="107"/>
    <cellStyle name="Normálna 6 2" xfId="2456"/>
    <cellStyle name="Normálna 7" xfId="35"/>
    <cellStyle name="Normálna 7 2" xfId="236"/>
    <cellStyle name="Normálna 7 2 2" xfId="2635"/>
    <cellStyle name="Normálna 7 3" xfId="2454"/>
    <cellStyle name="Normálna 8" xfId="108"/>
    <cellStyle name="Normálna 8 2" xfId="511"/>
    <cellStyle name="Normálna 8 2 2" xfId="1716"/>
    <cellStyle name="Normálna 8 2 3" xfId="2643"/>
    <cellStyle name="Normálna 8 3" xfId="2462"/>
    <cellStyle name="Normálna 8 4" xfId="249"/>
    <cellStyle name="Normálna 9" xfId="109"/>
    <cellStyle name="Normálna 9 2" xfId="800"/>
    <cellStyle name="Normálna 9 2 2" xfId="2645"/>
    <cellStyle name="Normálna 9 3" xfId="1462"/>
    <cellStyle name="Normálna 9 3 2" xfId="2711"/>
    <cellStyle name="Normálna 9 4" xfId="2107"/>
    <cellStyle name="Normálna 9 5" xfId="2464"/>
    <cellStyle name="Normálna 9 6" xfId="221"/>
    <cellStyle name="normálne 10" xfId="537"/>
    <cellStyle name="normálne 11" xfId="538"/>
    <cellStyle name="normálne 11 2" xfId="539"/>
    <cellStyle name="normálne 11 3" xfId="540"/>
    <cellStyle name="normálne 12" xfId="541"/>
    <cellStyle name="normálne 2" xfId="110"/>
    <cellStyle name="normálne 2 2" xfId="111"/>
    <cellStyle name="normálne 2 2 2" xfId="288"/>
    <cellStyle name="normálne 2 2 2 2" xfId="512"/>
    <cellStyle name="normálne 2 2 3" xfId="287"/>
    <cellStyle name="normálne 2 2 4" xfId="219"/>
    <cellStyle name="normálne 2 3" xfId="286"/>
    <cellStyle name="normálne 2 3 2" xfId="542"/>
    <cellStyle name="Normálne 2 3 3" xfId="2480"/>
    <cellStyle name="Normálne 2 3 4" xfId="2765"/>
    <cellStyle name="Normálne 2 3 5" xfId="2323"/>
    <cellStyle name="normálne 2 4" xfId="543"/>
    <cellStyle name="normálne 2 4 2" xfId="544"/>
    <cellStyle name="normálne 2 5" xfId="545"/>
    <cellStyle name="normálne 2 5 2" xfId="546"/>
    <cellStyle name="normálne 2 6" xfId="547"/>
    <cellStyle name="normálne 2 7" xfId="548"/>
    <cellStyle name="normálne 2 8" xfId="549"/>
    <cellStyle name="normálne 2 9" xfId="209"/>
    <cellStyle name="normálne 2_PP 077 15    inventúra soc št a stravy 2010 odLV" xfId="144"/>
    <cellStyle name="normálne 22" xfId="550"/>
    <cellStyle name="normálne 24" xfId="551"/>
    <cellStyle name="normálne 3" xfId="112"/>
    <cellStyle name="normálne 3 2" xfId="290"/>
    <cellStyle name="normálne 3 3" xfId="289"/>
    <cellStyle name="normálne 3 4" xfId="33"/>
    <cellStyle name="normálne 35" xfId="552"/>
    <cellStyle name="normálne 4" xfId="113"/>
    <cellStyle name="normálne 4 2" xfId="291"/>
    <cellStyle name="normálne 4 3" xfId="237"/>
    <cellStyle name="normálne 5" xfId="114"/>
    <cellStyle name="normálne 5 2" xfId="553"/>
    <cellStyle name="normálne 6" xfId="13"/>
    <cellStyle name="normálne 6 2" xfId="115"/>
    <cellStyle name="normálne 6 2 2" xfId="116"/>
    <cellStyle name="normálne 6 2 2 2" xfId="240"/>
    <cellStyle name="normálne 6 2 2 2 2" xfId="820"/>
    <cellStyle name="normálne 6 2 2 2 3" xfId="1480"/>
    <cellStyle name="normálne 6 2 2 2 4" xfId="2123"/>
    <cellStyle name="normálne 6 2 2 3" xfId="798"/>
    <cellStyle name="normálne 6 2 2 4" xfId="1459"/>
    <cellStyle name="normálne 6 2 2 5" xfId="2104"/>
    <cellStyle name="normálne 6 2 3" xfId="239"/>
    <cellStyle name="normálne 6 2 3 2" xfId="819"/>
    <cellStyle name="normálne 6 2 3 3" xfId="1479"/>
    <cellStyle name="normálne 6 2 3 4" xfId="2122"/>
    <cellStyle name="normálne 6 2 4" xfId="795"/>
    <cellStyle name="normálne 6 2 5" xfId="1454"/>
    <cellStyle name="normálne 6 2 6" xfId="2097"/>
    <cellStyle name="normálne 6 3" xfId="238"/>
    <cellStyle name="normálne 6 3 2" xfId="818"/>
    <cellStyle name="normálne 6 3 3" xfId="1478"/>
    <cellStyle name="normálne 6 3 4" xfId="2121"/>
    <cellStyle name="normálne 6 4" xfId="779"/>
    <cellStyle name="normálne 6 5" xfId="1438"/>
    <cellStyle name="normálne 6 6" xfId="2076"/>
    <cellStyle name="normálne 7" xfId="743"/>
    <cellStyle name="normálne 7 2" xfId="554"/>
    <cellStyle name="normálne 8" xfId="555"/>
    <cellStyle name="normálne 8 2" xfId="556"/>
    <cellStyle name="normálne 8 3" xfId="2241"/>
    <cellStyle name="normálne 9" xfId="557"/>
    <cellStyle name="normálne 9 2" xfId="558"/>
    <cellStyle name="normálne 9 3" xfId="1077"/>
    <cellStyle name="normálne 9 4" xfId="1741"/>
    <cellStyle name="normálne_Databazy_VVŠ_2006_ severská" xfId="292"/>
    <cellStyle name="normálne_Suhrn DOT 2005 dofinanc v maji + korekcia v dec05" xfId="16"/>
    <cellStyle name="normálne_vykon2008_v2" xfId="8"/>
    <cellStyle name="normální 2" xfId="117"/>
    <cellStyle name="normální 2 2" xfId="241"/>
    <cellStyle name="normální_15.6.07 východ.+rozpočet 08-10" xfId="559"/>
    <cellStyle name="Note" xfId="118"/>
    <cellStyle name="Note 10" xfId="2227"/>
    <cellStyle name="Note 11" xfId="2368"/>
    <cellStyle name="Note 12" xfId="2326"/>
    <cellStyle name="Note 13" xfId="2841"/>
    <cellStyle name="Note 2" xfId="157"/>
    <cellStyle name="Note 2 10" xfId="2786"/>
    <cellStyle name="Note 2 11" xfId="2348"/>
    <cellStyle name="Note 2 12" xfId="293"/>
    <cellStyle name="Note 2 2" xfId="185"/>
    <cellStyle name="Note 2 2 2" xfId="958"/>
    <cellStyle name="Note 2 2 3" xfId="1271"/>
    <cellStyle name="Note 2 2 4" xfId="1617"/>
    <cellStyle name="Note 2 2 5" xfId="1885"/>
    <cellStyle name="Note 2 2 6" xfId="2066"/>
    <cellStyle name="Note 2 2 7" xfId="410"/>
    <cellStyle name="Note 2 3" xfId="199"/>
    <cellStyle name="Note 2 3 2" xfId="904"/>
    <cellStyle name="Note 2 3 3" xfId="833"/>
    <cellStyle name="Note 2 3 4" xfId="1563"/>
    <cellStyle name="Note 2 3 5" xfId="1417"/>
    <cellStyle name="Note 2 3 6" xfId="2096"/>
    <cellStyle name="Note 2 3 7" xfId="353"/>
    <cellStyle name="Note 2 4" xfId="853"/>
    <cellStyle name="Note 2 5" xfId="1068"/>
    <cellStyle name="Note 2 6" xfId="1513"/>
    <cellStyle name="Note 2 7" xfId="1458"/>
    <cellStyle name="Note 2 8" xfId="2208"/>
    <cellStyle name="Note 2 9" xfId="2557"/>
    <cellStyle name="Note 3" xfId="148"/>
    <cellStyle name="Note 3 2" xfId="176"/>
    <cellStyle name="Note 3 2 2" xfId="821"/>
    <cellStyle name="Note 3 3" xfId="190"/>
    <cellStyle name="Note 3 3 2" xfId="1070"/>
    <cellStyle name="Note 3 4" xfId="1481"/>
    <cellStyle name="Note 3 5" xfId="1764"/>
    <cellStyle name="Note 3 6" xfId="2183"/>
    <cellStyle name="Note 3 7" xfId="2525"/>
    <cellStyle name="Note 3 8" xfId="2848"/>
    <cellStyle name="Note 3 9" xfId="242"/>
    <cellStyle name="Note 4" xfId="171"/>
    <cellStyle name="Note 4 2" xfId="920"/>
    <cellStyle name="Note 4 3" xfId="1235"/>
    <cellStyle name="Note 4 4" xfId="1580"/>
    <cellStyle name="Note 4 5" xfId="1415"/>
    <cellStyle name="Note 4 6" xfId="2188"/>
    <cellStyle name="Note 4 7" xfId="2664"/>
    <cellStyle name="Note 4 8" xfId="2741"/>
    <cellStyle name="Note 4 9" xfId="372"/>
    <cellStyle name="Note 5" xfId="162"/>
    <cellStyle name="Note 5 2" xfId="940"/>
    <cellStyle name="Note 5 3" xfId="1253"/>
    <cellStyle name="Note 5 4" xfId="1599"/>
    <cellStyle name="Note 5 5" xfId="1409"/>
    <cellStyle name="Note 5 6" xfId="2191"/>
    <cellStyle name="Note 5 7" xfId="2612"/>
    <cellStyle name="Note 5 8" xfId="2820"/>
    <cellStyle name="Note 5 9" xfId="392"/>
    <cellStyle name="Note 6" xfId="782"/>
    <cellStyle name="Note 6 2" xfId="2693"/>
    <cellStyle name="Note 6 3" xfId="2869"/>
    <cellStyle name="Note 7" xfId="1223"/>
    <cellStyle name="Note 8" xfId="1440"/>
    <cellStyle name="Note 9" xfId="1743"/>
    <cellStyle name="Output" xfId="2284"/>
    <cellStyle name="Output 10" xfId="2325"/>
    <cellStyle name="Output 11" xfId="2832"/>
    <cellStyle name="Output 2" xfId="411"/>
    <cellStyle name="Output 2 2" xfId="959"/>
    <cellStyle name="Output 2 3" xfId="1272"/>
    <cellStyle name="Output 2 4" xfId="1618"/>
    <cellStyle name="Output 2 5" xfId="1886"/>
    <cellStyle name="Output 2 6" xfId="2112"/>
    <cellStyle name="Output 2 7" xfId="2558"/>
    <cellStyle name="Output 2 8" xfId="2734"/>
    <cellStyle name="Output 3" xfId="432"/>
    <cellStyle name="Output 3 2" xfId="980"/>
    <cellStyle name="Output 3 3" xfId="1293"/>
    <cellStyle name="Output 3 4" xfId="1638"/>
    <cellStyle name="Output 3 5" xfId="1905"/>
    <cellStyle name="Output 3 6" xfId="2154"/>
    <cellStyle name="Output 3 7" xfId="2524"/>
    <cellStyle name="Output 3 8" xfId="2336"/>
    <cellStyle name="Output 4" xfId="854"/>
    <cellStyle name="Output 4 2" xfId="2640"/>
    <cellStyle name="Output 4 3" xfId="2429"/>
    <cellStyle name="Output 5" xfId="1067"/>
    <cellStyle name="Output 5 2" xfId="2683"/>
    <cellStyle name="Output 5 3" xfId="2859"/>
    <cellStyle name="Output 6" xfId="1514"/>
    <cellStyle name="Output 6 2" xfId="2662"/>
    <cellStyle name="Output 6 3" xfId="2818"/>
    <cellStyle name="Output 7" xfId="1436"/>
    <cellStyle name="Output 8" xfId="2221"/>
    <cellStyle name="Output 9" xfId="2369"/>
    <cellStyle name="Percentá" xfId="3" builtinId="5"/>
    <cellStyle name="Percentá 10" xfId="6"/>
    <cellStyle name="Percentá 10 2" xfId="930"/>
    <cellStyle name="Percentá 10 3" xfId="1590"/>
    <cellStyle name="Percentá 10 4" xfId="2201"/>
    <cellStyle name="Percentá 10 5" xfId="2540"/>
    <cellStyle name="Percentá 11" xfId="645"/>
    <cellStyle name="Percentá 11 2" xfId="1123"/>
    <cellStyle name="Percentá 11 3" xfId="1768"/>
    <cellStyle name="Percentá 11 4" xfId="2713"/>
    <cellStyle name="Percentá 12" xfId="783"/>
    <cellStyle name="Percentá 13" xfId="142"/>
    <cellStyle name="Percentá 14" xfId="2032"/>
    <cellStyle name="Percentá 15" xfId="2370"/>
    <cellStyle name="Percentá 2" xfId="24"/>
    <cellStyle name="percentá 2 10" xfId="354"/>
    <cellStyle name="percentá 2 11" xfId="2371"/>
    <cellStyle name="percentá 2 12" xfId="211"/>
    <cellStyle name="Percentá 2 2" xfId="9"/>
    <cellStyle name="Percentá 2 2 2" xfId="120"/>
    <cellStyle name="percentá 2 2 2 2" xfId="296"/>
    <cellStyle name="Percentá 2 2 3" xfId="28"/>
    <cellStyle name="percentá 2 3" xfId="119"/>
    <cellStyle name="percentá 2 3 2" xfId="297"/>
    <cellStyle name="percentá 2 4" xfId="295"/>
    <cellStyle name="percentá 2 5" xfId="243"/>
    <cellStyle name="percentá 2 6" xfId="375"/>
    <cellStyle name="percentá 2 7" xfId="371"/>
    <cellStyle name="percentá 2 8" xfId="368"/>
    <cellStyle name="percentá 2 9" xfId="391"/>
    <cellStyle name="Percentá 3" xfId="30"/>
    <cellStyle name="percentá 3 2" xfId="121"/>
    <cellStyle name="Percentá 3 3" xfId="2374"/>
    <cellStyle name="Percentá 3 4" xfId="2322"/>
    <cellStyle name="Percentá 3 5" xfId="2836"/>
    <cellStyle name="Percentá 4" xfId="122"/>
    <cellStyle name="Percentá 4 2" xfId="298"/>
    <cellStyle name="Percentá 4 3" xfId="244"/>
    <cellStyle name="Percentá 4 3 2" xfId="822"/>
    <cellStyle name="Percentá 4 3 3" xfId="1483"/>
    <cellStyle name="Percentá 4 3 4" xfId="2128"/>
    <cellStyle name="Percentá 4 4" xfId="792"/>
    <cellStyle name="Percentá 4 5" xfId="1452"/>
    <cellStyle name="Percentá 4 6" xfId="2094"/>
    <cellStyle name="Percentá 5" xfId="123"/>
    <cellStyle name="Percentá 5 2" xfId="299"/>
    <cellStyle name="Percentá 5 3" xfId="245"/>
    <cellStyle name="Percentá 5 3 2" xfId="823"/>
    <cellStyle name="Percentá 5 3 3" xfId="1484"/>
    <cellStyle name="Percentá 5 3 4" xfId="2129"/>
    <cellStyle name="Percentá 5 4" xfId="796"/>
    <cellStyle name="Percentá 5 5" xfId="1455"/>
    <cellStyle name="Percentá 5 6" xfId="2099"/>
    <cellStyle name="Percentá 6" xfId="124"/>
    <cellStyle name="Percentá 6 2" xfId="300"/>
    <cellStyle name="Percentá 7" xfId="131"/>
    <cellStyle name="Percentá 7 2" xfId="294"/>
    <cellStyle name="Percentá 8" xfId="222"/>
    <cellStyle name="Percentá 8 2" xfId="801"/>
    <cellStyle name="Percentá 8 3" xfId="1463"/>
    <cellStyle name="Percentá 8 4" xfId="2108"/>
    <cellStyle name="Percentá 8 5" xfId="2559"/>
    <cellStyle name="Percentá 9" xfId="224"/>
    <cellStyle name="Percentá 9 2" xfId="804"/>
    <cellStyle name="Percentá 9 3" xfId="1466"/>
    <cellStyle name="Percentá 9 4" xfId="2110"/>
    <cellStyle name="Percentá 9 5" xfId="2523"/>
    <cellStyle name="Poznámka 2" xfId="744"/>
    <cellStyle name="Poznámka 2 2" xfId="745"/>
    <cellStyle name="Poznámka 2 2 2" xfId="746"/>
    <cellStyle name="Poznámka 2 2 2 2" xfId="1221"/>
    <cellStyle name="Poznámka 2 2 2 3" xfId="1869"/>
    <cellStyle name="Poznámka 2 2 3" xfId="1220"/>
    <cellStyle name="Poznámka 2 2 4" xfId="1868"/>
    <cellStyle name="Poznámka 2 2 5" xfId="2636"/>
    <cellStyle name="Poznámka 2 3" xfId="747"/>
    <cellStyle name="Poznámka 2 3 2" xfId="1222"/>
    <cellStyle name="Poznámka 2 3 3" xfId="1870"/>
    <cellStyle name="Poznámka 2 4" xfId="1219"/>
    <cellStyle name="Poznámka 2 5" xfId="1867"/>
    <cellStyle name="Poznámka 2 6" xfId="2455"/>
    <cellStyle name="Poznámka 3" xfId="748"/>
    <cellStyle name="Poznámka 3 2" xfId="2646"/>
    <cellStyle name="Poznámka 3 3" xfId="2466"/>
    <cellStyle name="Poznámka 4" xfId="749"/>
    <cellStyle name="Poznámka 4 2" xfId="750"/>
    <cellStyle name="Poznámka 4 2 2" xfId="1225"/>
    <cellStyle name="Poznámka 4 2 3" xfId="1872"/>
    <cellStyle name="Poznámka 4 3" xfId="1224"/>
    <cellStyle name="Poznámka 4 4" xfId="1871"/>
    <cellStyle name="Poznámka 5" xfId="751"/>
    <cellStyle name="Poznámka 6" xfId="752"/>
    <cellStyle name="Poznámka 6 2" xfId="753"/>
    <cellStyle name="Poznámka 6 2 2" xfId="1227"/>
    <cellStyle name="Poznámka 6 2 3" xfId="1874"/>
    <cellStyle name="Poznámka 6 3" xfId="1226"/>
    <cellStyle name="Poznámka 6 4" xfId="1873"/>
    <cellStyle name="Poznámka 7" xfId="754"/>
    <cellStyle name="procent 2" xfId="125"/>
    <cellStyle name="RD_pred_rokom" xfId="15"/>
    <cellStyle name="SAPBEXaggData" xfId="301"/>
    <cellStyle name="SAPBEXaggData 10" xfId="2190"/>
    <cellStyle name="SAPBEXaggData 11" xfId="2378"/>
    <cellStyle name="SAPBEXaggData 12" xfId="2321"/>
    <cellStyle name="SAPBEXaggData 13" xfId="2785"/>
    <cellStyle name="SAPBEXaggData 2" xfId="416"/>
    <cellStyle name="SAPBEXaggData 2 2" xfId="560"/>
    <cellStyle name="SAPBEXaggData 2 2 2" xfId="1078"/>
    <cellStyle name="SAPBEXaggData 2 2 3" xfId="1365"/>
    <cellStyle name="SAPBEXaggData 2 2 4" xfId="1979"/>
    <cellStyle name="SAPBEXaggData 2 3" xfId="964"/>
    <cellStyle name="SAPBEXaggData 2 4" xfId="1277"/>
    <cellStyle name="SAPBEXaggData 2 5" xfId="1623"/>
    <cellStyle name="SAPBEXaggData 2 6" xfId="1891"/>
    <cellStyle name="SAPBEXaggData 2 7" xfId="2156"/>
    <cellStyle name="SAPBEXaggData 2 8" xfId="2567"/>
    <cellStyle name="SAPBEXaggData 2 9" xfId="2825"/>
    <cellStyle name="SAPBEXaggData 3" xfId="436"/>
    <cellStyle name="SAPBEXaggData 3 2" xfId="984"/>
    <cellStyle name="SAPBEXaggData 3 3" xfId="1297"/>
    <cellStyle name="SAPBEXaggData 3 4" xfId="1642"/>
    <cellStyle name="SAPBEXaggData 3 5" xfId="1909"/>
    <cellStyle name="SAPBEXaggData 3 6" xfId="2044"/>
    <cellStyle name="SAPBEXaggData 3 7" xfId="2517"/>
    <cellStyle name="SAPBEXaggData 3 8" xfId="2822"/>
    <cellStyle name="SAPBEXaggData 4" xfId="376"/>
    <cellStyle name="SAPBEXaggData 4 2" xfId="923"/>
    <cellStyle name="SAPBEXaggData 4 3" xfId="1238"/>
    <cellStyle name="SAPBEXaggData 4 4" xfId="1583"/>
    <cellStyle name="SAPBEXaggData 4 5" xfId="1503"/>
    <cellStyle name="SAPBEXaggData 4 6" xfId="2210"/>
    <cellStyle name="SAPBEXaggData 4 7" xfId="2546"/>
    <cellStyle name="SAPBEXaggData 4 8" xfId="2736"/>
    <cellStyle name="SAPBEXaggData 5" xfId="349"/>
    <cellStyle name="SAPBEXaggData 5 2" xfId="900"/>
    <cellStyle name="SAPBEXaggData 5 3" xfId="763"/>
    <cellStyle name="SAPBEXaggData 5 4" xfId="1559"/>
    <cellStyle name="SAPBEXaggData 5 5" xfId="1421"/>
    <cellStyle name="SAPBEXaggData 5 6" xfId="2072"/>
    <cellStyle name="SAPBEXaggData 5 7" xfId="2614"/>
    <cellStyle name="SAPBEXaggData 5 8" xfId="2746"/>
    <cellStyle name="SAPBEXaggData 6" xfId="857"/>
    <cellStyle name="SAPBEXaggData 6 2" xfId="2684"/>
    <cellStyle name="SAPBEXaggData 6 3" xfId="2860"/>
    <cellStyle name="SAPBEXaggData 7" xfId="1066"/>
    <cellStyle name="SAPBEXaggData 8" xfId="1518"/>
    <cellStyle name="SAPBEXaggData 9" xfId="1448"/>
    <cellStyle name="SAPBEXaggDataEmph" xfId="302"/>
    <cellStyle name="SAPBEXaggDataEmph 10" xfId="2199"/>
    <cellStyle name="SAPBEXaggDataEmph 11" xfId="2379"/>
    <cellStyle name="SAPBEXaggDataEmph 12" xfId="2320"/>
    <cellStyle name="SAPBEXaggDataEmph 13" xfId="2834"/>
    <cellStyle name="SAPBEXaggDataEmph 2" xfId="417"/>
    <cellStyle name="SAPBEXaggDataEmph 2 2" xfId="561"/>
    <cellStyle name="SAPBEXaggDataEmph 2 2 2" xfId="1079"/>
    <cellStyle name="SAPBEXaggDataEmph 2 2 3" xfId="1366"/>
    <cellStyle name="SAPBEXaggDataEmph 2 2 4" xfId="1980"/>
    <cellStyle name="SAPBEXaggDataEmph 2 3" xfId="965"/>
    <cellStyle name="SAPBEXaggDataEmph 2 4" xfId="1278"/>
    <cellStyle name="SAPBEXaggDataEmph 2 5" xfId="1624"/>
    <cellStyle name="SAPBEXaggDataEmph 2 6" xfId="1892"/>
    <cellStyle name="SAPBEXaggDataEmph 2 7" xfId="2057"/>
    <cellStyle name="SAPBEXaggDataEmph 2 8" xfId="2568"/>
    <cellStyle name="SAPBEXaggDataEmph 2 9" xfId="2779"/>
    <cellStyle name="SAPBEXaggDataEmph 3" xfId="437"/>
    <cellStyle name="SAPBEXaggDataEmph 3 2" xfId="985"/>
    <cellStyle name="SAPBEXaggDataEmph 3 3" xfId="1298"/>
    <cellStyle name="SAPBEXaggDataEmph 3 4" xfId="1643"/>
    <cellStyle name="SAPBEXaggDataEmph 3 5" xfId="1910"/>
    <cellStyle name="SAPBEXaggDataEmph 3 6" xfId="2151"/>
    <cellStyle name="SAPBEXaggDataEmph 3 7" xfId="2516"/>
    <cellStyle name="SAPBEXaggDataEmph 3 8" xfId="2800"/>
    <cellStyle name="SAPBEXaggDataEmph 4" xfId="390"/>
    <cellStyle name="SAPBEXaggDataEmph 4 2" xfId="938"/>
    <cellStyle name="SAPBEXaggDataEmph 4 3" xfId="1252"/>
    <cellStyle name="SAPBEXaggDataEmph 4 4" xfId="1598"/>
    <cellStyle name="SAPBEXaggDataEmph 4 5" xfId="1493"/>
    <cellStyle name="SAPBEXaggDataEmph 4 6" xfId="2202"/>
    <cellStyle name="SAPBEXaggDataEmph 4 7" xfId="2547"/>
    <cellStyle name="SAPBEXaggDataEmph 4 8" xfId="2829"/>
    <cellStyle name="SAPBEXaggDataEmph 5" xfId="398"/>
    <cellStyle name="SAPBEXaggDataEmph 5 2" xfId="946"/>
    <cellStyle name="SAPBEXaggDataEmph 5 3" xfId="1259"/>
    <cellStyle name="SAPBEXaggDataEmph 5 4" xfId="1605"/>
    <cellStyle name="SAPBEXaggDataEmph 5 5" xfId="1407"/>
    <cellStyle name="SAPBEXaggDataEmph 5 6" xfId="2130"/>
    <cellStyle name="SAPBEXaggDataEmph 5 7" xfId="2533"/>
    <cellStyle name="SAPBEXaggDataEmph 5 8" xfId="2843"/>
    <cellStyle name="SAPBEXaggDataEmph 6" xfId="858"/>
    <cellStyle name="SAPBEXaggDataEmph 6 2" xfId="2613"/>
    <cellStyle name="SAPBEXaggDataEmph 6 3" xfId="2762"/>
    <cellStyle name="SAPBEXaggDataEmph 7" xfId="774"/>
    <cellStyle name="SAPBEXaggDataEmph 8" xfId="1519"/>
    <cellStyle name="SAPBEXaggDataEmph 9" xfId="1434"/>
    <cellStyle name="SAPBEXaggItem" xfId="303"/>
    <cellStyle name="SAPBEXaggItem 10" xfId="2220"/>
    <cellStyle name="SAPBEXaggItem 11" xfId="2380"/>
    <cellStyle name="SAPBEXaggItem 12" xfId="2319"/>
    <cellStyle name="SAPBEXaggItem 13" xfId="2792"/>
    <cellStyle name="SAPBEXaggItem 2" xfId="418"/>
    <cellStyle name="SAPBEXaggItem 2 2" xfId="562"/>
    <cellStyle name="SAPBEXaggItem 2 2 2" xfId="1080"/>
    <cellStyle name="SAPBEXaggItem 2 2 3" xfId="1367"/>
    <cellStyle name="SAPBEXaggItem 2 2 4" xfId="1981"/>
    <cellStyle name="SAPBEXaggItem 2 3" xfId="966"/>
    <cellStyle name="SAPBEXaggItem 2 4" xfId="1279"/>
    <cellStyle name="SAPBEXaggItem 2 5" xfId="1625"/>
    <cellStyle name="SAPBEXaggItem 2 6" xfId="1893"/>
    <cellStyle name="SAPBEXaggItem 2 7" xfId="2056"/>
    <cellStyle name="SAPBEXaggItem 2 8" xfId="2569"/>
    <cellStyle name="SAPBEXaggItem 2 9" xfId="2784"/>
    <cellStyle name="SAPBEXaggItem 3" xfId="438"/>
    <cellStyle name="SAPBEXaggItem 3 2" xfId="986"/>
    <cellStyle name="SAPBEXaggItem 3 3" xfId="1299"/>
    <cellStyle name="SAPBEXaggItem 3 4" xfId="1644"/>
    <cellStyle name="SAPBEXaggItem 3 5" xfId="1911"/>
    <cellStyle name="SAPBEXaggItem 3 6" xfId="2150"/>
    <cellStyle name="SAPBEXaggItem 3 7" xfId="2634"/>
    <cellStyle name="SAPBEXaggItem 3 8" xfId="2434"/>
    <cellStyle name="SAPBEXaggItem 4" xfId="401"/>
    <cellStyle name="SAPBEXaggItem 4 2" xfId="949"/>
    <cellStyle name="SAPBEXaggItem 4 3" xfId="1262"/>
    <cellStyle name="SAPBEXaggItem 4 4" xfId="1608"/>
    <cellStyle name="SAPBEXaggItem 4 5" xfId="1406"/>
    <cellStyle name="SAPBEXaggItem 4 6" xfId="2161"/>
    <cellStyle name="SAPBEXaggItem 4 7" xfId="2548"/>
    <cellStyle name="SAPBEXaggItem 4 8" xfId="2840"/>
    <cellStyle name="SAPBEXaggItem 5" xfId="384"/>
    <cellStyle name="SAPBEXaggItem 5 2" xfId="932"/>
    <cellStyle name="SAPBEXaggItem 5 3" xfId="1246"/>
    <cellStyle name="SAPBEXaggItem 5 4" xfId="1592"/>
    <cellStyle name="SAPBEXaggItem 5 5" xfId="1497"/>
    <cellStyle name="SAPBEXaggItem 5 6" xfId="2064"/>
    <cellStyle name="SAPBEXaggItem 5 7" xfId="2532"/>
    <cellStyle name="SAPBEXaggItem 5 8" xfId="2845"/>
    <cellStyle name="SAPBEXaggItem 6" xfId="859"/>
    <cellStyle name="SAPBEXaggItem 6 2" xfId="2665"/>
    <cellStyle name="SAPBEXaggItem 6 3" xfId="2803"/>
    <cellStyle name="SAPBEXaggItem 7" xfId="1065"/>
    <cellStyle name="SAPBEXaggItem 8" xfId="1520"/>
    <cellStyle name="SAPBEXaggItem 9" xfId="1433"/>
    <cellStyle name="SAPBEXaggItemX" xfId="304"/>
    <cellStyle name="SAPBEXaggItemX 10" xfId="2217"/>
    <cellStyle name="SAPBEXaggItemX 11" xfId="2381"/>
    <cellStyle name="SAPBEXaggItemX 12" xfId="2318"/>
    <cellStyle name="SAPBEXaggItemX 13" xfId="2767"/>
    <cellStyle name="SAPBEXaggItemX 2" xfId="419"/>
    <cellStyle name="SAPBEXaggItemX 2 2" xfId="967"/>
    <cellStyle name="SAPBEXaggItemX 2 3" xfId="1280"/>
    <cellStyle name="SAPBEXaggItemX 2 4" xfId="1626"/>
    <cellStyle name="SAPBEXaggItemX 2 5" xfId="1894"/>
    <cellStyle name="SAPBEXaggItemX 2 6" xfId="2055"/>
    <cellStyle name="SAPBEXaggItemX 2 7" xfId="2570"/>
    <cellStyle name="SAPBEXaggItemX 2 8" xfId="2422"/>
    <cellStyle name="SAPBEXaggItemX 3" xfId="439"/>
    <cellStyle name="SAPBEXaggItemX 3 2" xfId="987"/>
    <cellStyle name="SAPBEXaggItemX 3 3" xfId="1300"/>
    <cellStyle name="SAPBEXaggItemX 3 4" xfId="1645"/>
    <cellStyle name="SAPBEXaggItemX 3 5" xfId="1912"/>
    <cellStyle name="SAPBEXaggItemX 3 6" xfId="2043"/>
    <cellStyle name="SAPBEXaggItemX 3 7" xfId="2631"/>
    <cellStyle name="SAPBEXaggItemX 3 8" xfId="2396"/>
    <cellStyle name="SAPBEXaggItemX 4" xfId="435"/>
    <cellStyle name="SAPBEXaggItemX 4 2" xfId="983"/>
    <cellStyle name="SAPBEXaggItemX 4 3" xfId="1296"/>
    <cellStyle name="SAPBEXaggItemX 4 4" xfId="1641"/>
    <cellStyle name="SAPBEXaggItemX 4 5" xfId="1908"/>
    <cellStyle name="SAPBEXaggItemX 4 6" xfId="2152"/>
    <cellStyle name="SAPBEXaggItemX 4 7" xfId="2549"/>
    <cellStyle name="SAPBEXaggItemX 4 8" xfId="2835"/>
    <cellStyle name="SAPBEXaggItemX 5" xfId="480"/>
    <cellStyle name="SAPBEXaggItemX 5 2" xfId="1028"/>
    <cellStyle name="SAPBEXaggItemX 5 3" xfId="1341"/>
    <cellStyle name="SAPBEXaggItemX 5 4" xfId="1686"/>
    <cellStyle name="SAPBEXaggItemX 5 5" xfId="1953"/>
    <cellStyle name="SAPBEXaggItemX 5 6" xfId="2255"/>
    <cellStyle name="SAPBEXaggItemX 5 7" xfId="2682"/>
    <cellStyle name="SAPBEXaggItemX 5 8" xfId="2858"/>
    <cellStyle name="SAPBEXaggItemX 6" xfId="860"/>
    <cellStyle name="SAPBEXaggItemX 6 2" xfId="2615"/>
    <cellStyle name="SAPBEXaggItemX 6 3" xfId="2806"/>
    <cellStyle name="SAPBEXaggItemX 7" xfId="1064"/>
    <cellStyle name="SAPBEXaggItemX 8" xfId="1521"/>
    <cellStyle name="SAPBEXaggItemX 9" xfId="1432"/>
    <cellStyle name="SAPBEXexcBad7" xfId="305"/>
    <cellStyle name="SAPBEXexcBad7 10" xfId="2180"/>
    <cellStyle name="SAPBEXexcBad7 11" xfId="2382"/>
    <cellStyle name="SAPBEXexcBad7 12" xfId="2317"/>
    <cellStyle name="SAPBEXexcBad7 13" xfId="2797"/>
    <cellStyle name="SAPBEXexcBad7 2" xfId="420"/>
    <cellStyle name="SAPBEXexcBad7 2 2" xfId="563"/>
    <cellStyle name="SAPBEXexcBad7 2 2 2" xfId="1081"/>
    <cellStyle name="SAPBEXexcBad7 2 2 3" xfId="1368"/>
    <cellStyle name="SAPBEXexcBad7 2 2 4" xfId="1982"/>
    <cellStyle name="SAPBEXexcBad7 2 3" xfId="968"/>
    <cellStyle name="SAPBEXexcBad7 2 4" xfId="1281"/>
    <cellStyle name="SAPBEXexcBad7 2 5" xfId="1627"/>
    <cellStyle name="SAPBEXexcBad7 2 6" xfId="1895"/>
    <cellStyle name="SAPBEXexcBad7 2 7" xfId="2054"/>
    <cellStyle name="SAPBEXexcBad7 2 8" xfId="2571"/>
    <cellStyle name="SAPBEXexcBad7 2 9" xfId="2423"/>
    <cellStyle name="SAPBEXexcBad7 3" xfId="440"/>
    <cellStyle name="SAPBEXexcBad7 3 2" xfId="988"/>
    <cellStyle name="SAPBEXexcBad7 3 3" xfId="1301"/>
    <cellStyle name="SAPBEXexcBad7 3 4" xfId="1646"/>
    <cellStyle name="SAPBEXexcBad7 3 5" xfId="1913"/>
    <cellStyle name="SAPBEXexcBad7 3 6" xfId="2149"/>
    <cellStyle name="SAPBEXexcBad7 3 7" xfId="2628"/>
    <cellStyle name="SAPBEXexcBad7 3 8" xfId="2816"/>
    <cellStyle name="SAPBEXexcBad7 4" xfId="377"/>
    <cellStyle name="SAPBEXexcBad7 4 2" xfId="924"/>
    <cellStyle name="SAPBEXexcBad7 4 3" xfId="1239"/>
    <cellStyle name="SAPBEXexcBad7 4 4" xfId="1584"/>
    <cellStyle name="SAPBEXexcBad7 4 5" xfId="1502"/>
    <cellStyle name="SAPBEXexcBad7 4 6" xfId="2197"/>
    <cellStyle name="SAPBEXexcBad7 4 7" xfId="2550"/>
    <cellStyle name="SAPBEXexcBad7 4 8" xfId="2781"/>
    <cellStyle name="SAPBEXexcBad7 5" xfId="394"/>
    <cellStyle name="SAPBEXexcBad7 5 2" xfId="942"/>
    <cellStyle name="SAPBEXexcBad7 5 3" xfId="1255"/>
    <cellStyle name="SAPBEXexcBad7 5 4" xfId="1601"/>
    <cellStyle name="SAPBEXexcBad7 5 5" xfId="1491"/>
    <cellStyle name="SAPBEXexcBad7 5 6" xfId="2113"/>
    <cellStyle name="SAPBEXexcBad7 5 7" xfId="2531"/>
    <cellStyle name="SAPBEXexcBad7 5 8" xfId="2847"/>
    <cellStyle name="SAPBEXexcBad7 6" xfId="861"/>
    <cellStyle name="SAPBEXexcBad7 6 2" xfId="2698"/>
    <cellStyle name="SAPBEXexcBad7 6 3" xfId="2874"/>
    <cellStyle name="SAPBEXexcBad7 7" xfId="1063"/>
    <cellStyle name="SAPBEXexcBad7 8" xfId="1522"/>
    <cellStyle name="SAPBEXexcBad7 9" xfId="1431"/>
    <cellStyle name="SAPBEXexcBad8" xfId="306"/>
    <cellStyle name="SAPBEXexcBad8 10" xfId="2083"/>
    <cellStyle name="SAPBEXexcBad8 11" xfId="2383"/>
    <cellStyle name="SAPBEXexcBad8 12" xfId="2316"/>
    <cellStyle name="SAPBEXexcBad8 13" xfId="2823"/>
    <cellStyle name="SAPBEXexcBad8 2" xfId="357"/>
    <cellStyle name="SAPBEXexcBad8 2 2" xfId="564"/>
    <cellStyle name="SAPBEXexcBad8 2 2 2" xfId="1082"/>
    <cellStyle name="SAPBEXexcBad8 2 2 3" xfId="1369"/>
    <cellStyle name="SAPBEXexcBad8 2 2 4" xfId="1983"/>
    <cellStyle name="SAPBEXexcBad8 2 3" xfId="907"/>
    <cellStyle name="SAPBEXexcBad8 2 4" xfId="831"/>
    <cellStyle name="SAPBEXexcBad8 2 5" xfId="1566"/>
    <cellStyle name="SAPBEXexcBad8 2 6" xfId="1864"/>
    <cellStyle name="SAPBEXexcBad8 2 7" xfId="2164"/>
    <cellStyle name="SAPBEXexcBad8 2 8" xfId="2572"/>
    <cellStyle name="SAPBEXexcBad8 2 9" xfId="2424"/>
    <cellStyle name="SAPBEXexcBad8 3" xfId="441"/>
    <cellStyle name="SAPBEXexcBad8 3 2" xfId="989"/>
    <cellStyle name="SAPBEXexcBad8 3 3" xfId="1302"/>
    <cellStyle name="SAPBEXexcBad8 3 4" xfId="1647"/>
    <cellStyle name="SAPBEXexcBad8 3 5" xfId="1914"/>
    <cellStyle name="SAPBEXexcBad8 3 6" xfId="2148"/>
    <cellStyle name="SAPBEXexcBad8 3 7" xfId="2625"/>
    <cellStyle name="SAPBEXexcBad8 3 8" xfId="2760"/>
    <cellStyle name="SAPBEXexcBad8 4" xfId="343"/>
    <cellStyle name="SAPBEXexcBad8 4 2" xfId="894"/>
    <cellStyle name="SAPBEXexcBad8 4 3" xfId="765"/>
    <cellStyle name="SAPBEXexcBad8 4 4" xfId="1553"/>
    <cellStyle name="SAPBEXexcBad8 4 5" xfId="1721"/>
    <cellStyle name="SAPBEXexcBad8 4 6" xfId="2172"/>
    <cellStyle name="SAPBEXexcBad8 4 7" xfId="2642"/>
    <cellStyle name="SAPBEXexcBad8 4 8" xfId="2418"/>
    <cellStyle name="SAPBEXexcBad8 5" xfId="347"/>
    <cellStyle name="SAPBEXexcBad8 5 2" xfId="898"/>
    <cellStyle name="SAPBEXexcBad8 5 3" xfId="837"/>
    <cellStyle name="SAPBEXexcBad8 5 4" xfId="1557"/>
    <cellStyle name="SAPBEXexcBad8 5 5" xfId="1718"/>
    <cellStyle name="SAPBEXexcBad8 5 6" xfId="2170"/>
    <cellStyle name="SAPBEXexcBad8 5 7" xfId="2530"/>
    <cellStyle name="SAPBEXexcBad8 5 8" xfId="2339"/>
    <cellStyle name="SAPBEXexcBad8 6" xfId="862"/>
    <cellStyle name="SAPBEXexcBad8 6 2" xfId="2482"/>
    <cellStyle name="SAPBEXexcBad8 6 3" xfId="2782"/>
    <cellStyle name="SAPBEXexcBad8 7" xfId="773"/>
    <cellStyle name="SAPBEXexcBad8 8" xfId="1523"/>
    <cellStyle name="SAPBEXexcBad8 9" xfId="1430"/>
    <cellStyle name="SAPBEXexcBad9" xfId="307"/>
    <cellStyle name="SAPBEXexcBad9 10" xfId="2175"/>
    <cellStyle name="SAPBEXexcBad9 11" xfId="2384"/>
    <cellStyle name="SAPBEXexcBad9 12" xfId="2315"/>
    <cellStyle name="SAPBEXexcBad9 13" xfId="2772"/>
    <cellStyle name="SAPBEXexcBad9 2" xfId="358"/>
    <cellStyle name="SAPBEXexcBad9 2 2" xfId="908"/>
    <cellStyle name="SAPBEXexcBad9 2 3" xfId="760"/>
    <cellStyle name="SAPBEXexcBad9 2 4" xfId="1567"/>
    <cellStyle name="SAPBEXexcBad9 2 5" xfId="1863"/>
    <cellStyle name="SAPBEXexcBad9 2 6" xfId="2166"/>
    <cellStyle name="SAPBEXexcBad9 2 7" xfId="2573"/>
    <cellStyle name="SAPBEXexcBad9 2 8" xfId="2425"/>
    <cellStyle name="SAPBEXexcBad9 3" xfId="442"/>
    <cellStyle name="SAPBEXexcBad9 3 2" xfId="990"/>
    <cellStyle name="SAPBEXexcBad9 3 3" xfId="1303"/>
    <cellStyle name="SAPBEXexcBad9 3 4" xfId="1648"/>
    <cellStyle name="SAPBEXexcBad9 3 5" xfId="1915"/>
    <cellStyle name="SAPBEXexcBad9 3 6" xfId="2042"/>
    <cellStyle name="SAPBEXexcBad9 3 7" xfId="2622"/>
    <cellStyle name="SAPBEXexcBad9 3 8" xfId="2742"/>
    <cellStyle name="SAPBEXexcBad9 4" xfId="395"/>
    <cellStyle name="SAPBEXexcBad9 4 2" xfId="943"/>
    <cellStyle name="SAPBEXexcBad9 4 3" xfId="1256"/>
    <cellStyle name="SAPBEXexcBad9 4 4" xfId="1602"/>
    <cellStyle name="SAPBEXexcBad9 4 5" xfId="1408"/>
    <cellStyle name="SAPBEXexcBad9 4 6" xfId="2228"/>
    <cellStyle name="SAPBEXexcBad9 4 7" xfId="2551"/>
    <cellStyle name="SAPBEXexcBad9 4 8" xfId="2343"/>
    <cellStyle name="SAPBEXexcBad9 5" xfId="481"/>
    <cellStyle name="SAPBEXexcBad9 5 2" xfId="1029"/>
    <cellStyle name="SAPBEXexcBad9 5 3" xfId="1342"/>
    <cellStyle name="SAPBEXexcBad9 5 4" xfId="1687"/>
    <cellStyle name="SAPBEXexcBad9 5 5" xfId="1954"/>
    <cellStyle name="SAPBEXexcBad9 5 6" xfId="2256"/>
    <cellStyle name="SAPBEXexcBad9 5 7" xfId="2637"/>
    <cellStyle name="SAPBEXexcBad9 5 8" xfId="2432"/>
    <cellStyle name="SAPBEXexcBad9 6" xfId="863"/>
    <cellStyle name="SAPBEXexcBad9 6 2" xfId="2661"/>
    <cellStyle name="SAPBEXexcBad9 6 3" xfId="2804"/>
    <cellStyle name="SAPBEXexcBad9 7" xfId="1062"/>
    <cellStyle name="SAPBEXexcBad9 8" xfId="1524"/>
    <cellStyle name="SAPBEXexcBad9 9" xfId="1429"/>
    <cellStyle name="SAPBEXexcCritical4" xfId="308"/>
    <cellStyle name="SAPBEXexcCritical4 10" xfId="2179"/>
    <cellStyle name="SAPBEXexcCritical4 11" xfId="2385"/>
    <cellStyle name="SAPBEXexcCritical4 12" xfId="2314"/>
    <cellStyle name="SAPBEXexcCritical4 13" xfId="2791"/>
    <cellStyle name="SAPBEXexcCritical4 2" xfId="421"/>
    <cellStyle name="SAPBEXexcCritical4 2 2" xfId="565"/>
    <cellStyle name="SAPBEXexcCritical4 2 2 2" xfId="1083"/>
    <cellStyle name="SAPBEXexcCritical4 2 2 3" xfId="1370"/>
    <cellStyle name="SAPBEXexcCritical4 2 2 4" xfId="1984"/>
    <cellStyle name="SAPBEXexcCritical4 2 3" xfId="969"/>
    <cellStyle name="SAPBEXexcCritical4 2 4" xfId="1282"/>
    <cellStyle name="SAPBEXexcCritical4 2 5" xfId="1628"/>
    <cellStyle name="SAPBEXexcCritical4 2 6" xfId="1896"/>
    <cellStyle name="SAPBEXexcCritical4 2 7" xfId="2053"/>
    <cellStyle name="SAPBEXexcCritical4 2 8" xfId="2574"/>
    <cellStyle name="SAPBEXexcCritical4 2 9" xfId="2355"/>
    <cellStyle name="SAPBEXexcCritical4 3" xfId="443"/>
    <cellStyle name="SAPBEXexcCritical4 3 2" xfId="991"/>
    <cellStyle name="SAPBEXexcCritical4 3 3" xfId="1304"/>
    <cellStyle name="SAPBEXexcCritical4 3 4" xfId="1649"/>
    <cellStyle name="SAPBEXexcCritical4 3 5" xfId="1916"/>
    <cellStyle name="SAPBEXexcCritical4 3 6" xfId="2147"/>
    <cellStyle name="SAPBEXexcCritical4 3 7" xfId="2619"/>
    <cellStyle name="SAPBEXexcCritical4 3 8" xfId="2805"/>
    <cellStyle name="SAPBEXexcCritical4 4" xfId="345"/>
    <cellStyle name="SAPBEXexcCritical4 4 2" xfId="896"/>
    <cellStyle name="SAPBEXexcCritical4 4 3" xfId="838"/>
    <cellStyle name="SAPBEXexcCritical4 4 4" xfId="1555"/>
    <cellStyle name="SAPBEXexcCritical4 4 5" xfId="1720"/>
    <cellStyle name="SAPBEXexcCritical4 4 6" xfId="2168"/>
    <cellStyle name="SAPBEXexcCritical4 4 7" xfId="2552"/>
    <cellStyle name="SAPBEXexcCritical4 4 8" xfId="2344"/>
    <cellStyle name="SAPBEXexcCritical4 5" xfId="378"/>
    <cellStyle name="SAPBEXexcCritical4 5 2" xfId="925"/>
    <cellStyle name="SAPBEXexcCritical4 5 3" xfId="1240"/>
    <cellStyle name="SAPBEXexcCritical4 5 4" xfId="1585"/>
    <cellStyle name="SAPBEXexcCritical4 5 5" xfId="1414"/>
    <cellStyle name="SAPBEXexcCritical4 5 6" xfId="2200"/>
    <cellStyle name="SAPBEXexcCritical4 5 7" xfId="2529"/>
    <cellStyle name="SAPBEXexcCritical4 5 8" xfId="2338"/>
    <cellStyle name="SAPBEXexcCritical4 6" xfId="864"/>
    <cellStyle name="SAPBEXexcCritical4 6 2" xfId="2537"/>
    <cellStyle name="SAPBEXexcCritical4 6 3" xfId="2341"/>
    <cellStyle name="SAPBEXexcCritical4 7" xfId="1061"/>
    <cellStyle name="SAPBEXexcCritical4 8" xfId="1525"/>
    <cellStyle name="SAPBEXexcCritical4 9" xfId="1763"/>
    <cellStyle name="SAPBEXexcCritical5" xfId="309"/>
    <cellStyle name="SAPBEXexcCritical5 10" xfId="2178"/>
    <cellStyle name="SAPBEXexcCritical5 11" xfId="2386"/>
    <cellStyle name="SAPBEXexcCritical5 12" xfId="2313"/>
    <cellStyle name="SAPBEXexcCritical5 13" xfId="2768"/>
    <cellStyle name="SAPBEXexcCritical5 2" xfId="359"/>
    <cellStyle name="SAPBEXexcCritical5 2 2" xfId="566"/>
    <cellStyle name="SAPBEXexcCritical5 2 2 2" xfId="1084"/>
    <cellStyle name="SAPBEXexcCritical5 2 2 3" xfId="1371"/>
    <cellStyle name="SAPBEXexcCritical5 2 2 4" xfId="1985"/>
    <cellStyle name="SAPBEXexcCritical5 2 3" xfId="909"/>
    <cellStyle name="SAPBEXexcCritical5 2 4" xfId="830"/>
    <cellStyle name="SAPBEXexcCritical5 2 5" xfId="1568"/>
    <cellStyle name="SAPBEXexcCritical5 2 6" xfId="1862"/>
    <cellStyle name="SAPBEXexcCritical5 2 7" xfId="2165"/>
    <cellStyle name="SAPBEXexcCritical5 2 8" xfId="2575"/>
    <cellStyle name="SAPBEXexcCritical5 2 9" xfId="2427"/>
    <cellStyle name="SAPBEXexcCritical5 3" xfId="444"/>
    <cellStyle name="SAPBEXexcCritical5 3 2" xfId="992"/>
    <cellStyle name="SAPBEXexcCritical5 3 3" xfId="1305"/>
    <cellStyle name="SAPBEXexcCritical5 3 4" xfId="1650"/>
    <cellStyle name="SAPBEXexcCritical5 3 5" xfId="1917"/>
    <cellStyle name="SAPBEXexcCritical5 3 6" xfId="2146"/>
    <cellStyle name="SAPBEXexcCritical5 3 7" xfId="2515"/>
    <cellStyle name="SAPBEXexcCritical5 3 8" xfId="2750"/>
    <cellStyle name="SAPBEXexcCritical5 4" xfId="423"/>
    <cellStyle name="SAPBEXexcCritical5 4 2" xfId="971"/>
    <cellStyle name="SAPBEXexcCritical5 4 3" xfId="1284"/>
    <cellStyle name="SAPBEXexcCritical5 4 4" xfId="1630"/>
    <cellStyle name="SAPBEXexcCritical5 4 5" xfId="1898"/>
    <cellStyle name="SAPBEXexcCritical5 4 6" xfId="2051"/>
    <cellStyle name="SAPBEXexcCritical5 4 7" xfId="2553"/>
    <cellStyle name="SAPBEXexcCritical5 4 8" xfId="2345"/>
    <cellStyle name="SAPBEXexcCritical5 5" xfId="356"/>
    <cellStyle name="SAPBEXexcCritical5 5 2" xfId="906"/>
    <cellStyle name="SAPBEXexcCritical5 5 3" xfId="832"/>
    <cellStyle name="SAPBEXexcCritical5 5 4" xfId="1565"/>
    <cellStyle name="SAPBEXexcCritical5 5 5" xfId="1865"/>
    <cellStyle name="SAPBEXexcCritical5 5 6" xfId="2084"/>
    <cellStyle name="SAPBEXexcCritical5 5 7" xfId="2528"/>
    <cellStyle name="SAPBEXexcCritical5 5 8" xfId="2337"/>
    <cellStyle name="SAPBEXexcCritical5 6" xfId="865"/>
    <cellStyle name="SAPBEXexcCritical5 6 2" xfId="2538"/>
    <cellStyle name="SAPBEXexcCritical5 6 3" xfId="2733"/>
    <cellStyle name="SAPBEXexcCritical5 7" xfId="1060"/>
    <cellStyle name="SAPBEXexcCritical5 8" xfId="1526"/>
    <cellStyle name="SAPBEXexcCritical5 9" xfId="1737"/>
    <cellStyle name="SAPBEXexcCritical6" xfId="310"/>
    <cellStyle name="SAPBEXexcCritical6 10" xfId="2177"/>
    <cellStyle name="SAPBEXexcCritical6 11" xfId="2387"/>
    <cellStyle name="SAPBEXexcCritical6 12" xfId="2312"/>
    <cellStyle name="SAPBEXexcCritical6 13" xfId="2796"/>
    <cellStyle name="SAPBEXexcCritical6 2" xfId="360"/>
    <cellStyle name="SAPBEXexcCritical6 2 2" xfId="567"/>
    <cellStyle name="SAPBEXexcCritical6 2 2 2" xfId="1085"/>
    <cellStyle name="SAPBEXexcCritical6 2 2 3" xfId="1372"/>
    <cellStyle name="SAPBEXexcCritical6 2 2 4" xfId="1986"/>
    <cellStyle name="SAPBEXexcCritical6 2 3" xfId="910"/>
    <cellStyle name="SAPBEXexcCritical6 2 4" xfId="829"/>
    <cellStyle name="SAPBEXexcCritical6 2 5" xfId="1569"/>
    <cellStyle name="SAPBEXexcCritical6 2 6" xfId="1861"/>
    <cellStyle name="SAPBEXexcCritical6 2 7" xfId="2090"/>
    <cellStyle name="SAPBEXexcCritical6 2 8" xfId="2576"/>
    <cellStyle name="SAPBEXexcCritical6 2 9" xfId="2295"/>
    <cellStyle name="SAPBEXexcCritical6 3" xfId="445"/>
    <cellStyle name="SAPBEXexcCritical6 3 2" xfId="993"/>
    <cellStyle name="SAPBEXexcCritical6 3 3" xfId="1306"/>
    <cellStyle name="SAPBEXexcCritical6 3 4" xfId="1651"/>
    <cellStyle name="SAPBEXexcCritical6 3 5" xfId="1918"/>
    <cellStyle name="SAPBEXexcCritical6 3 6" xfId="2041"/>
    <cellStyle name="SAPBEXexcCritical6 3 7" xfId="2514"/>
    <cellStyle name="SAPBEXexcCritical6 3 8" xfId="2749"/>
    <cellStyle name="SAPBEXexcCritical6 4" xfId="407"/>
    <cellStyle name="SAPBEXexcCritical6 4 2" xfId="955"/>
    <cellStyle name="SAPBEXexcCritical6 4 3" xfId="1268"/>
    <cellStyle name="SAPBEXexcCritical6 4 4" xfId="1614"/>
    <cellStyle name="SAPBEXexcCritical6 4 5" xfId="1882"/>
    <cellStyle name="SAPBEXexcCritical6 4 6" xfId="2091"/>
    <cellStyle name="SAPBEXexcCritical6 4 7" xfId="2554"/>
    <cellStyle name="SAPBEXexcCritical6 4 8" xfId="2346"/>
    <cellStyle name="SAPBEXexcCritical6 5" xfId="477"/>
    <cellStyle name="SAPBEXexcCritical6 5 2" xfId="1025"/>
    <cellStyle name="SAPBEXexcCritical6 5 3" xfId="1338"/>
    <cellStyle name="SAPBEXexcCritical6 5 4" xfId="1683"/>
    <cellStyle name="SAPBEXexcCritical6 5 5" xfId="1950"/>
    <cellStyle name="SAPBEXexcCritical6 5 6" xfId="2252"/>
    <cellStyle name="SAPBEXexcCritical6 5 7" xfId="2526"/>
    <cellStyle name="SAPBEXexcCritical6 5 8" xfId="2753"/>
    <cellStyle name="SAPBEXexcCritical6 6" xfId="866"/>
    <cellStyle name="SAPBEXexcCritical6 6 2" xfId="2539"/>
    <cellStyle name="SAPBEXexcCritical6 6 3" xfId="2732"/>
    <cellStyle name="SAPBEXexcCritical6 7" xfId="772"/>
    <cellStyle name="SAPBEXexcCritical6 8" xfId="1527"/>
    <cellStyle name="SAPBEXexcCritical6 9" xfId="1736"/>
    <cellStyle name="SAPBEXexcGood1" xfId="311"/>
    <cellStyle name="SAPBEXexcGood1 10" xfId="2127"/>
    <cellStyle name="SAPBEXexcGood1 11" xfId="2388"/>
    <cellStyle name="SAPBEXexcGood1 12" xfId="2311"/>
    <cellStyle name="SAPBEXexcGood1 13" xfId="2783"/>
    <cellStyle name="SAPBEXexcGood1 2" xfId="422"/>
    <cellStyle name="SAPBEXexcGood1 2 2" xfId="568"/>
    <cellStyle name="SAPBEXexcGood1 2 2 2" xfId="1086"/>
    <cellStyle name="SAPBEXexcGood1 2 2 3" xfId="1373"/>
    <cellStyle name="SAPBEXexcGood1 2 2 4" xfId="1987"/>
    <cellStyle name="SAPBEXexcGood1 2 3" xfId="970"/>
    <cellStyle name="SAPBEXexcGood1 2 4" xfId="1283"/>
    <cellStyle name="SAPBEXexcGood1 2 5" xfId="1629"/>
    <cellStyle name="SAPBEXexcGood1 2 6" xfId="1897"/>
    <cellStyle name="SAPBEXexcGood1 2 7" xfId="2052"/>
    <cellStyle name="SAPBEXexcGood1 2 8" xfId="2577"/>
    <cellStyle name="SAPBEXexcGood1 2 9" xfId="2356"/>
    <cellStyle name="SAPBEXexcGood1 3" xfId="446"/>
    <cellStyle name="SAPBEXexcGood1 3 2" xfId="994"/>
    <cellStyle name="SAPBEXexcGood1 3 3" xfId="1307"/>
    <cellStyle name="SAPBEXexcGood1 3 4" xfId="1652"/>
    <cellStyle name="SAPBEXexcGood1 3 5" xfId="1919"/>
    <cellStyle name="SAPBEXexcGood1 3 6" xfId="2145"/>
    <cellStyle name="SAPBEXexcGood1 3 7" xfId="2513"/>
    <cellStyle name="SAPBEXexcGood1 3 8" xfId="2809"/>
    <cellStyle name="SAPBEXexcGood1 4" xfId="449"/>
    <cellStyle name="SAPBEXexcGood1 4 2" xfId="997"/>
    <cellStyle name="SAPBEXexcGood1 4 3" xfId="1310"/>
    <cellStyle name="SAPBEXexcGood1 4 4" xfId="1655"/>
    <cellStyle name="SAPBEXexcGood1 4 5" xfId="1922"/>
    <cellStyle name="SAPBEXexcGood1 4 6" xfId="2143"/>
    <cellStyle name="SAPBEXexcGood1 4 7" xfId="2555"/>
    <cellStyle name="SAPBEXexcGood1 4 8" xfId="2426"/>
    <cellStyle name="SAPBEXexcGood1 5" xfId="482"/>
    <cellStyle name="SAPBEXexcGood1 5 2" xfId="1030"/>
    <cellStyle name="SAPBEXexcGood1 5 3" xfId="1343"/>
    <cellStyle name="SAPBEXexcGood1 5 4" xfId="1688"/>
    <cellStyle name="SAPBEXexcGood1 5 5" xfId="1955"/>
    <cellStyle name="SAPBEXexcGood1 5 6" xfId="2257"/>
    <cellStyle name="SAPBEXexcGood1 5 7" xfId="2522"/>
    <cellStyle name="SAPBEXexcGood1 5 8" xfId="2335"/>
    <cellStyle name="SAPBEXexcGood1 6" xfId="867"/>
    <cellStyle name="SAPBEXexcGood1 6 2" xfId="2611"/>
    <cellStyle name="SAPBEXexcGood1 6 3" xfId="2807"/>
    <cellStyle name="SAPBEXexcGood1 7" xfId="771"/>
    <cellStyle name="SAPBEXexcGood1 8" xfId="1528"/>
    <cellStyle name="SAPBEXexcGood1 9" xfId="1735"/>
    <cellStyle name="SAPBEXexcGood2" xfId="312"/>
    <cellStyle name="SAPBEXexcGood2 10" xfId="2082"/>
    <cellStyle name="SAPBEXexcGood2 11" xfId="2389"/>
    <cellStyle name="SAPBEXexcGood2 12" xfId="2310"/>
    <cellStyle name="SAPBEXexcGood2 13" xfId="2773"/>
    <cellStyle name="SAPBEXexcGood2 2" xfId="361"/>
    <cellStyle name="SAPBEXexcGood2 2 2" xfId="569"/>
    <cellStyle name="SAPBEXexcGood2 2 2 2" xfId="1087"/>
    <cellStyle name="SAPBEXexcGood2 2 2 3" xfId="1374"/>
    <cellStyle name="SAPBEXexcGood2 2 2 4" xfId="1988"/>
    <cellStyle name="SAPBEXexcGood2 2 3" xfId="911"/>
    <cellStyle name="SAPBEXexcGood2 2 4" xfId="759"/>
    <cellStyle name="SAPBEXexcGood2 2 5" xfId="1570"/>
    <cellStyle name="SAPBEXexcGood2 2 6" xfId="1860"/>
    <cellStyle name="SAPBEXexcGood2 2 7" xfId="2239"/>
    <cellStyle name="SAPBEXexcGood2 2 8" xfId="2578"/>
    <cellStyle name="SAPBEXexcGood2 2 9" xfId="2357"/>
    <cellStyle name="SAPBEXexcGood2 3" xfId="447"/>
    <cellStyle name="SAPBEXexcGood2 3 2" xfId="995"/>
    <cellStyle name="SAPBEXexcGood2 3 3" xfId="1308"/>
    <cellStyle name="SAPBEXexcGood2 3 4" xfId="1653"/>
    <cellStyle name="SAPBEXexcGood2 3 5" xfId="1920"/>
    <cellStyle name="SAPBEXexcGood2 3 6" xfId="2144"/>
    <cellStyle name="SAPBEXexcGood2 3 7" xfId="2512"/>
    <cellStyle name="SAPBEXexcGood2 3 8" xfId="2755"/>
    <cellStyle name="SAPBEXexcGood2 4" xfId="387"/>
    <cellStyle name="SAPBEXexcGood2 4 2" xfId="935"/>
    <cellStyle name="SAPBEXexcGood2 4 3" xfId="1249"/>
    <cellStyle name="SAPBEXexcGood2 4 4" xfId="1595"/>
    <cellStyle name="SAPBEXexcGood2 4 5" xfId="1495"/>
    <cellStyle name="SAPBEXexcGood2 4 6" xfId="2061"/>
    <cellStyle name="SAPBEXexcGood2 4 7" xfId="2676"/>
    <cellStyle name="SAPBEXexcGood2 4 8" xfId="2852"/>
    <cellStyle name="SAPBEXexcGood2 5" xfId="483"/>
    <cellStyle name="SAPBEXexcGood2 5 2" xfId="1031"/>
    <cellStyle name="SAPBEXexcGood2 5 3" xfId="1344"/>
    <cellStyle name="SAPBEXexcGood2 5 4" xfId="1689"/>
    <cellStyle name="SAPBEXexcGood2 5 5" xfId="1956"/>
    <cellStyle name="SAPBEXexcGood2 5 6" xfId="2258"/>
    <cellStyle name="SAPBEXexcGood2 5 7" xfId="2692"/>
    <cellStyle name="SAPBEXexcGood2 5 8" xfId="2868"/>
    <cellStyle name="SAPBEXexcGood2 6" xfId="868"/>
    <cellStyle name="SAPBEXexcGood2 6 2" xfId="2541"/>
    <cellStyle name="SAPBEXexcGood2 6 3" xfId="2731"/>
    <cellStyle name="SAPBEXexcGood2 7" xfId="770"/>
    <cellStyle name="SAPBEXexcGood2 8" xfId="1529"/>
    <cellStyle name="SAPBEXexcGood2 9" xfId="1734"/>
    <cellStyle name="SAPBEXexcGood3" xfId="313"/>
    <cellStyle name="SAPBEXexcGood3 10" xfId="2206"/>
    <cellStyle name="SAPBEXexcGood3 11" xfId="2390"/>
    <cellStyle name="SAPBEXexcGood3 12" xfId="2309"/>
    <cellStyle name="SAPBEXexcGood3 13" xfId="2790"/>
    <cellStyle name="SAPBEXexcGood3 2" xfId="396"/>
    <cellStyle name="SAPBEXexcGood3 2 2" xfId="570"/>
    <cellStyle name="SAPBEXexcGood3 2 2 2" xfId="1088"/>
    <cellStyle name="SAPBEXexcGood3 2 2 3" xfId="1375"/>
    <cellStyle name="SAPBEXexcGood3 2 2 4" xfId="1989"/>
    <cellStyle name="SAPBEXexcGood3 2 3" xfId="944"/>
    <cellStyle name="SAPBEXexcGood3 2 4" xfId="1257"/>
    <cellStyle name="SAPBEXexcGood3 2 5" xfId="1603"/>
    <cellStyle name="SAPBEXexcGood3 2 6" xfId="1490"/>
    <cellStyle name="SAPBEXexcGood3 2 7" xfId="2213"/>
    <cellStyle name="SAPBEXexcGood3 2 8" xfId="2579"/>
    <cellStyle name="SAPBEXexcGood3 2 9" xfId="2358"/>
    <cellStyle name="SAPBEXexcGood3 3" xfId="448"/>
    <cellStyle name="SAPBEXexcGood3 3 2" xfId="996"/>
    <cellStyle name="SAPBEXexcGood3 3 3" xfId="1309"/>
    <cellStyle name="SAPBEXexcGood3 3 4" xfId="1654"/>
    <cellStyle name="SAPBEXexcGood3 3 5" xfId="1921"/>
    <cellStyle name="SAPBEXexcGood3 3 6" xfId="2040"/>
    <cellStyle name="SAPBEXexcGood3 3 7" xfId="2511"/>
    <cellStyle name="SAPBEXexcGood3 3 8" xfId="2812"/>
    <cellStyle name="SAPBEXexcGood3 4" xfId="405"/>
    <cellStyle name="SAPBEXexcGood3 4 2" xfId="953"/>
    <cellStyle name="SAPBEXexcGood3 4 3" xfId="1266"/>
    <cellStyle name="SAPBEXexcGood3 4 4" xfId="1612"/>
    <cellStyle name="SAPBEXexcGood3 4 5" xfId="1880"/>
    <cellStyle name="SAPBEXexcGood3 4 6" xfId="2157"/>
    <cellStyle name="SAPBEXexcGood3 4 7" xfId="2672"/>
    <cellStyle name="SAPBEXexcGood3 4 8" xfId="2737"/>
    <cellStyle name="SAPBEXexcGood3 5" xfId="484"/>
    <cellStyle name="SAPBEXexcGood3 5 2" xfId="1032"/>
    <cellStyle name="SAPBEXexcGood3 5 3" xfId="1345"/>
    <cellStyle name="SAPBEXexcGood3 5 4" xfId="1690"/>
    <cellStyle name="SAPBEXexcGood3 5 5" xfId="1957"/>
    <cellStyle name="SAPBEXexcGood3 5 6" xfId="2259"/>
    <cellStyle name="SAPBEXexcGood3 5 7" xfId="2691"/>
    <cellStyle name="SAPBEXexcGood3 5 8" xfId="2867"/>
    <cellStyle name="SAPBEXexcGood3 6" xfId="869"/>
    <cellStyle name="SAPBEXexcGood3 6 2" xfId="2706"/>
    <cellStyle name="SAPBEXexcGood3 6 3" xfId="2882"/>
    <cellStyle name="SAPBEXexcGood3 7" xfId="769"/>
    <cellStyle name="SAPBEXexcGood3 8" xfId="1530"/>
    <cellStyle name="SAPBEXexcGood3 9" xfId="1461"/>
    <cellStyle name="SAPBEXfilterDrill" xfId="314"/>
    <cellStyle name="SAPBEXfilterDrill 2" xfId="571"/>
    <cellStyle name="SAPBEXfilterDrill 2 2" xfId="1089"/>
    <cellStyle name="SAPBEXfilterDrill 2 3" xfId="1376"/>
    <cellStyle name="SAPBEXfilterDrill 2 4" xfId="1990"/>
    <cellStyle name="SAPBEXfilterDrill 2 5" xfId="2024"/>
    <cellStyle name="SAPBEXfilterDrill 3" xfId="870"/>
    <cellStyle name="SAPBEXfilterDrill 4" xfId="768"/>
    <cellStyle name="SAPBEXfilterDrill 5" xfId="1511"/>
    <cellStyle name="SAPBEXfilterDrill 6" xfId="1443"/>
    <cellStyle name="SAPBEXfilterDrill 7" xfId="2196"/>
    <cellStyle name="SAPBEXfilterItem" xfId="315"/>
    <cellStyle name="SAPBEXfilterItem 2" xfId="572"/>
    <cellStyle name="SAPBEXfilterItem 2 2" xfId="573"/>
    <cellStyle name="SAPBEXfilterItem 2 2 2" xfId="1091"/>
    <cellStyle name="SAPBEXfilterItem 2 2 3" xfId="1378"/>
    <cellStyle name="SAPBEXfilterItem 2 2 4" xfId="1992"/>
    <cellStyle name="SAPBEXfilterItem 2 3" xfId="1090"/>
    <cellStyle name="SAPBEXfilterItem 2 4" xfId="1377"/>
    <cellStyle name="SAPBEXfilterItem 2 5" xfId="1991"/>
    <cellStyle name="SAPBEXfilterText" xfId="316"/>
    <cellStyle name="SAPBEXfilterText 2" xfId="574"/>
    <cellStyle name="SAPBEXfilterText 2 2" xfId="1092"/>
    <cellStyle name="SAPBEXfilterText 2 3" xfId="1379"/>
    <cellStyle name="SAPBEXfilterText 2 4" xfId="1993"/>
    <cellStyle name="SAPBEXfilterText 2 5" xfId="2025"/>
    <cellStyle name="SAPBEXformats" xfId="317"/>
    <cellStyle name="SAPBEXformats 10" xfId="2126"/>
    <cellStyle name="SAPBEXformats 11" xfId="2394"/>
    <cellStyle name="SAPBEXformats 12" xfId="2305"/>
    <cellStyle name="SAPBEXformats 13" xfId="2774"/>
    <cellStyle name="SAPBEXformats 2" xfId="424"/>
    <cellStyle name="SAPBEXformats 2 2" xfId="575"/>
    <cellStyle name="SAPBEXformats 2 2 2" xfId="1093"/>
    <cellStyle name="SAPBEXformats 2 2 3" xfId="1380"/>
    <cellStyle name="SAPBEXformats 2 2 4" xfId="1994"/>
    <cellStyle name="SAPBEXformats 2 3" xfId="972"/>
    <cellStyle name="SAPBEXformats 2 4" xfId="1285"/>
    <cellStyle name="SAPBEXformats 2 5" xfId="1631"/>
    <cellStyle name="SAPBEXformats 2 6" xfId="1899"/>
    <cellStyle name="SAPBEXformats 2 7" xfId="2050"/>
    <cellStyle name="SAPBEXformats 2 8" xfId="2583"/>
    <cellStyle name="SAPBEXformats 2 9" xfId="2748"/>
    <cellStyle name="SAPBEXformats 3" xfId="451"/>
    <cellStyle name="SAPBEXformats 3 2" xfId="999"/>
    <cellStyle name="SAPBEXformats 3 3" xfId="1312"/>
    <cellStyle name="SAPBEXformats 3 4" xfId="1657"/>
    <cellStyle name="SAPBEXformats 3 5" xfId="1924"/>
    <cellStyle name="SAPBEXformats 3 6" xfId="2039"/>
    <cellStyle name="SAPBEXformats 3 7" xfId="2507"/>
    <cellStyle name="SAPBEXformats 3 8" xfId="2334"/>
    <cellStyle name="SAPBEXformats 4" xfId="450"/>
    <cellStyle name="SAPBEXformats 4 2" xfId="998"/>
    <cellStyle name="SAPBEXformats 4 3" xfId="1311"/>
    <cellStyle name="SAPBEXformats 4 4" xfId="1656"/>
    <cellStyle name="SAPBEXformats 4 5" xfId="1923"/>
    <cellStyle name="SAPBEXformats 4 6" xfId="2142"/>
    <cellStyle name="SAPBEXformats 4 7" xfId="2667"/>
    <cellStyle name="SAPBEXformats 4 8" xfId="2759"/>
    <cellStyle name="SAPBEXformats 5" xfId="485"/>
    <cellStyle name="SAPBEXformats 5 2" xfId="1033"/>
    <cellStyle name="SAPBEXformats 5 3" xfId="1346"/>
    <cellStyle name="SAPBEXformats 5 4" xfId="1691"/>
    <cellStyle name="SAPBEXformats 5 5" xfId="1958"/>
    <cellStyle name="SAPBEXformats 5 6" xfId="2260"/>
    <cellStyle name="SAPBEXformats 5 7" xfId="2674"/>
    <cellStyle name="SAPBEXformats 5 8" xfId="2850"/>
    <cellStyle name="SAPBEXformats 6" xfId="871"/>
    <cellStyle name="SAPBEXformats 6 2" xfId="2666"/>
    <cellStyle name="SAPBEXformats 6 3" xfId="2817"/>
    <cellStyle name="SAPBEXformats 7" xfId="1218"/>
    <cellStyle name="SAPBEXformats 8" xfId="1531"/>
    <cellStyle name="SAPBEXformats 9" xfId="1510"/>
    <cellStyle name="SAPBEXheaderItem" xfId="318"/>
    <cellStyle name="SAPBEXheaderItem 10" xfId="576"/>
    <cellStyle name="SAPBEXheaderItem 11" xfId="577"/>
    <cellStyle name="SAPBEXheaderItem 12" xfId="578"/>
    <cellStyle name="SAPBEXheaderItem 2" xfId="579"/>
    <cellStyle name="SAPBEXheaderItem 3" xfId="580"/>
    <cellStyle name="SAPBEXheaderItem 3 2" xfId="581"/>
    <cellStyle name="SAPBEXheaderItem 4" xfId="582"/>
    <cellStyle name="SAPBEXheaderItem 4 2" xfId="583"/>
    <cellStyle name="SAPBEXheaderItem 5" xfId="584"/>
    <cellStyle name="SAPBEXheaderItem 6" xfId="585"/>
    <cellStyle name="SAPBEXheaderItem 7" xfId="586"/>
    <cellStyle name="SAPBEXheaderItem 8" xfId="587"/>
    <cellStyle name="SAPBEXheaderItem 9" xfId="588"/>
    <cellStyle name="SAPBEXheaderText" xfId="319"/>
    <cellStyle name="SAPBEXheaderText 10" xfId="589"/>
    <cellStyle name="SAPBEXheaderText 11" xfId="590"/>
    <cellStyle name="SAPBEXheaderText 12" xfId="591"/>
    <cellStyle name="SAPBEXheaderText 2" xfId="592"/>
    <cellStyle name="SAPBEXheaderText 3" xfId="593"/>
    <cellStyle name="SAPBEXheaderText 3 2" xfId="594"/>
    <cellStyle name="SAPBEXheaderText 4" xfId="595"/>
    <cellStyle name="SAPBEXheaderText 4 2" xfId="596"/>
    <cellStyle name="SAPBEXheaderText 5" xfId="597"/>
    <cellStyle name="SAPBEXheaderText 6" xfId="598"/>
    <cellStyle name="SAPBEXheaderText 7" xfId="599"/>
    <cellStyle name="SAPBEXheaderText 8" xfId="600"/>
    <cellStyle name="SAPBEXheaderText 9" xfId="601"/>
    <cellStyle name="SAPBEXHLevel0" xfId="320"/>
    <cellStyle name="SAPBEXHLevel0 10" xfId="2176"/>
    <cellStyle name="SAPBEXHLevel0 11" xfId="2397"/>
    <cellStyle name="SAPBEXHLevel0 12" xfId="2302"/>
    <cellStyle name="SAPBEXHLevel0 13" xfId="2795"/>
    <cellStyle name="SAPBEXHLevel0 2" xfId="425"/>
    <cellStyle name="SAPBEXHLevel0 2 2" xfId="973"/>
    <cellStyle name="SAPBEXHLevel0 2 3" xfId="1286"/>
    <cellStyle name="SAPBEXHLevel0 2 4" xfId="1632"/>
    <cellStyle name="SAPBEXHLevel0 2 5" xfId="1900"/>
    <cellStyle name="SAPBEXHLevel0 2 6" xfId="2049"/>
    <cellStyle name="SAPBEXHLevel0 2 7" xfId="2586"/>
    <cellStyle name="SAPBEXHLevel0 2 8" xfId="2743"/>
    <cellStyle name="SAPBEXHLevel0 3" xfId="454"/>
    <cellStyle name="SAPBEXHLevel0 3 2" xfId="602"/>
    <cellStyle name="SAPBEXHLevel0 3 2 2" xfId="1096"/>
    <cellStyle name="SAPBEXHLevel0 3 2 3" xfId="1381"/>
    <cellStyle name="SAPBEXHLevel0 3 2 4" xfId="1995"/>
    <cellStyle name="SAPBEXHLevel0 3 3" xfId="1002"/>
    <cellStyle name="SAPBEXHLevel0 3 4" xfId="1315"/>
    <cellStyle name="SAPBEXHLevel0 3 5" xfId="1660"/>
    <cellStyle name="SAPBEXHLevel0 3 6" xfId="1927"/>
    <cellStyle name="SAPBEXHLevel0 3 7" xfId="2038"/>
    <cellStyle name="SAPBEXHLevel0 3 8" xfId="2504"/>
    <cellStyle name="SAPBEXHLevel0 3 9" xfId="2331"/>
    <cellStyle name="SAPBEXHLevel0 4" xfId="452"/>
    <cellStyle name="SAPBEXHLevel0 4 2" xfId="1000"/>
    <cellStyle name="SAPBEXHLevel0 4 3" xfId="1313"/>
    <cellStyle name="SAPBEXHLevel0 4 4" xfId="1658"/>
    <cellStyle name="SAPBEXHLevel0 4 5" xfId="1925"/>
    <cellStyle name="SAPBEXHLevel0 4 6" xfId="2141"/>
    <cellStyle name="SAPBEXHLevel0 4 7" xfId="2561"/>
    <cellStyle name="SAPBEXHLevel0 4 8" xfId="2350"/>
    <cellStyle name="SAPBEXHLevel0 5" xfId="486"/>
    <cellStyle name="SAPBEXHLevel0 5 2" xfId="1034"/>
    <cellStyle name="SAPBEXHLevel0 5 3" xfId="1347"/>
    <cellStyle name="SAPBEXHLevel0 5 4" xfId="1692"/>
    <cellStyle name="SAPBEXHLevel0 5 5" xfId="1959"/>
    <cellStyle name="SAPBEXHLevel0 5 6" xfId="2261"/>
    <cellStyle name="SAPBEXHLevel0 5 7" xfId="2521"/>
    <cellStyle name="SAPBEXHLevel0 5 8" xfId="2729"/>
    <cellStyle name="SAPBEXHLevel0 6" xfId="873"/>
    <cellStyle name="SAPBEXHLevel0 6 2" xfId="2678"/>
    <cellStyle name="SAPBEXHLevel0 6 3" xfId="2854"/>
    <cellStyle name="SAPBEXHLevel0 7" xfId="1217"/>
    <cellStyle name="SAPBEXHLevel0 8" xfId="1532"/>
    <cellStyle name="SAPBEXHLevel0 9" xfId="1509"/>
    <cellStyle name="SAPBEXHLevel0X" xfId="321"/>
    <cellStyle name="SAPBEXHLevel0X 10" xfId="1449"/>
    <cellStyle name="SAPBEXHLevel0X 11" xfId="2098"/>
    <cellStyle name="SAPBEXHLevel0X 12" xfId="2398"/>
    <cellStyle name="SAPBEXHLevel0X 13" xfId="2301"/>
    <cellStyle name="SAPBEXHLevel0X 14" xfId="2833"/>
    <cellStyle name="SAPBEXHLevel0X 2" xfId="225"/>
    <cellStyle name="SAPBEXHLevel0X 2 2" xfId="805"/>
    <cellStyle name="SAPBEXHLevel0X 2 3" xfId="1076"/>
    <cellStyle name="SAPBEXHLevel0X 2 4" xfId="1467"/>
    <cellStyle name="SAPBEXHLevel0X 2 5" xfId="1516"/>
    <cellStyle name="SAPBEXHLevel0X 2 6" xfId="2216"/>
    <cellStyle name="SAPBEXHLevel0X 2 7" xfId="2587"/>
    <cellStyle name="SAPBEXHLevel0X 2 8" xfId="2740"/>
    <cellStyle name="SAPBEXHLevel0X 3" xfId="455"/>
    <cellStyle name="SAPBEXHLevel0X 3 2" xfId="1003"/>
    <cellStyle name="SAPBEXHLevel0X 3 3" xfId="1316"/>
    <cellStyle name="SAPBEXHLevel0X 3 4" xfId="1661"/>
    <cellStyle name="SAPBEXHLevel0X 3 5" xfId="1928"/>
    <cellStyle name="SAPBEXHLevel0X 3 6" xfId="2139"/>
    <cellStyle name="SAPBEXHLevel0X 3 7" xfId="2503"/>
    <cellStyle name="SAPBEXHLevel0X 3 8" xfId="2330"/>
    <cellStyle name="SAPBEXHLevel0X 4" xfId="415"/>
    <cellStyle name="SAPBEXHLevel0X 4 2" xfId="603"/>
    <cellStyle name="SAPBEXHLevel0X 4 2 2" xfId="1097"/>
    <cellStyle name="SAPBEXHLevel0X 4 2 3" xfId="1382"/>
    <cellStyle name="SAPBEXHLevel0X 4 2 4" xfId="1746"/>
    <cellStyle name="SAPBEXHLevel0X 4 2 5" xfId="1996"/>
    <cellStyle name="SAPBEXHLevel0X 4 3" xfId="963"/>
    <cellStyle name="SAPBEXHLevel0X 4 4" xfId="1276"/>
    <cellStyle name="SAPBEXHLevel0X 4 5" xfId="1622"/>
    <cellStyle name="SAPBEXHLevel0X 4 6" xfId="1890"/>
    <cellStyle name="SAPBEXHLevel0X 4 7" xfId="2212"/>
    <cellStyle name="SAPBEXHLevel0X 4 8" xfId="2562"/>
    <cellStyle name="SAPBEXHLevel0X 4 9" xfId="2351"/>
    <cellStyle name="SAPBEXHLevel0X 5" xfId="487"/>
    <cellStyle name="SAPBEXHLevel0X 5 2" xfId="1035"/>
    <cellStyle name="SAPBEXHLevel0X 5 3" xfId="1348"/>
    <cellStyle name="SAPBEXHLevel0X 5 4" xfId="1693"/>
    <cellStyle name="SAPBEXHLevel0X 5 5" xfId="1960"/>
    <cellStyle name="SAPBEXHLevel0X 5 6" xfId="2262"/>
    <cellStyle name="SAPBEXHLevel0X 5 7" xfId="2520"/>
    <cellStyle name="SAPBEXHLevel0X 5 8" xfId="2752"/>
    <cellStyle name="SAPBEXHLevel0X 6" xfId="604"/>
    <cellStyle name="SAPBEXHLevel0X 6 2" xfId="1098"/>
    <cellStyle name="SAPBEXHLevel0X 6 3" xfId="1383"/>
    <cellStyle name="SAPBEXHLevel0X 6 4" xfId="1747"/>
    <cellStyle name="SAPBEXHLevel0X 6 5" xfId="1997"/>
    <cellStyle name="SAPBEXHLevel0X 6 6" xfId="2542"/>
    <cellStyle name="SAPBEXHLevel0X 6 7" xfId="2844"/>
    <cellStyle name="SAPBEXHLevel0X 7" xfId="874"/>
    <cellStyle name="SAPBEXHLevel0X 8" xfId="1216"/>
    <cellStyle name="SAPBEXHLevel0X 9" xfId="1533"/>
    <cellStyle name="SAPBEXHLevel1" xfId="322"/>
    <cellStyle name="SAPBEXHLevel1 10" xfId="2193"/>
    <cellStyle name="SAPBEXHLevel1 11" xfId="2399"/>
    <cellStyle name="SAPBEXHLevel1 12" xfId="2300"/>
    <cellStyle name="SAPBEXHLevel1 13" xfId="2775"/>
    <cellStyle name="SAPBEXHLevel1 2" xfId="223"/>
    <cellStyle name="SAPBEXHLevel1 2 2" xfId="803"/>
    <cellStyle name="SAPBEXHLevel1 2 3" xfId="852"/>
    <cellStyle name="SAPBEXHLevel1 2 4" xfId="1465"/>
    <cellStyle name="SAPBEXHLevel1 2 5" xfId="1517"/>
    <cellStyle name="SAPBEXHLevel1 2 6" xfId="2185"/>
    <cellStyle name="SAPBEXHLevel1 2 7" xfId="2588"/>
    <cellStyle name="SAPBEXHLevel1 2 8" xfId="2738"/>
    <cellStyle name="SAPBEXHLevel1 3" xfId="456"/>
    <cellStyle name="SAPBEXHLevel1 3 2" xfId="605"/>
    <cellStyle name="SAPBEXHLevel1 3 2 2" xfId="1099"/>
    <cellStyle name="SAPBEXHLevel1 3 2 3" xfId="1384"/>
    <cellStyle name="SAPBEXHLevel1 3 2 4" xfId="1998"/>
    <cellStyle name="SAPBEXHLevel1 3 3" xfId="1004"/>
    <cellStyle name="SAPBEXHLevel1 3 4" xfId="1317"/>
    <cellStyle name="SAPBEXHLevel1 3 5" xfId="1662"/>
    <cellStyle name="SAPBEXHLevel1 3 6" xfId="1929"/>
    <cellStyle name="SAPBEXHLevel1 3 7" xfId="2138"/>
    <cellStyle name="SAPBEXHLevel1 3 8" xfId="2502"/>
    <cellStyle name="SAPBEXHLevel1 3 9" xfId="2329"/>
    <cellStyle name="SAPBEXHLevel1 4" xfId="404"/>
    <cellStyle name="SAPBEXHLevel1 4 2" xfId="952"/>
    <cellStyle name="SAPBEXHLevel1 4 3" xfId="1265"/>
    <cellStyle name="SAPBEXHLevel1 4 4" xfId="1611"/>
    <cellStyle name="SAPBEXHLevel1 4 5" xfId="1879"/>
    <cellStyle name="SAPBEXHLevel1 4 6" xfId="2240"/>
    <cellStyle name="SAPBEXHLevel1 4 7" xfId="2563"/>
    <cellStyle name="SAPBEXHLevel1 4 8" xfId="2751"/>
    <cellStyle name="SAPBEXHLevel1 5" xfId="488"/>
    <cellStyle name="SAPBEXHLevel1 5 2" xfId="1036"/>
    <cellStyle name="SAPBEXHLevel1 5 3" xfId="1349"/>
    <cellStyle name="SAPBEXHLevel1 5 4" xfId="1694"/>
    <cellStyle name="SAPBEXHLevel1 5 5" xfId="1961"/>
    <cellStyle name="SAPBEXHLevel1 5 6" xfId="2263"/>
    <cellStyle name="SAPBEXHLevel1 5 7" xfId="2519"/>
    <cellStyle name="SAPBEXHLevel1 5 8" xfId="2810"/>
    <cellStyle name="SAPBEXHLevel1 6" xfId="875"/>
    <cellStyle name="SAPBEXHLevel1 6 2" xfId="2543"/>
    <cellStyle name="SAPBEXHLevel1 6 3" xfId="2813"/>
    <cellStyle name="SAPBEXHLevel1 7" xfId="1215"/>
    <cellStyle name="SAPBEXHLevel1 8" xfId="1534"/>
    <cellStyle name="SAPBEXHLevel1 9" xfId="1444"/>
    <cellStyle name="SAPBEXHLevel1X" xfId="323"/>
    <cellStyle name="SAPBEXHLevel1X 10" xfId="1428"/>
    <cellStyle name="SAPBEXHLevel1X 11" xfId="2081"/>
    <cellStyle name="SAPBEXHLevel1X 12" xfId="2400"/>
    <cellStyle name="SAPBEXHLevel1X 13" xfId="2299"/>
    <cellStyle name="SAPBEXHLevel1X 14" xfId="2789"/>
    <cellStyle name="SAPBEXHLevel1X 2" xfId="426"/>
    <cellStyle name="SAPBEXHLevel1X 2 2" xfId="974"/>
    <cellStyle name="SAPBEXHLevel1X 2 3" xfId="1287"/>
    <cellStyle name="SAPBEXHLevel1X 2 4" xfId="1633"/>
    <cellStyle name="SAPBEXHLevel1X 2 5" xfId="1901"/>
    <cellStyle name="SAPBEXHLevel1X 2 6" xfId="2048"/>
    <cellStyle name="SAPBEXHLevel1X 2 7" xfId="2589"/>
    <cellStyle name="SAPBEXHLevel1X 2 8" xfId="2362"/>
    <cellStyle name="SAPBEXHLevel1X 3" xfId="457"/>
    <cellStyle name="SAPBEXHLevel1X 3 2" xfId="1005"/>
    <cellStyle name="SAPBEXHLevel1X 3 3" xfId="1318"/>
    <cellStyle name="SAPBEXHLevel1X 3 4" xfId="1663"/>
    <cellStyle name="SAPBEXHLevel1X 3 5" xfId="1930"/>
    <cellStyle name="SAPBEXHLevel1X 3 6" xfId="2037"/>
    <cellStyle name="SAPBEXHLevel1X 3 7" xfId="2501"/>
    <cellStyle name="SAPBEXHLevel1X 3 8" xfId="2328"/>
    <cellStyle name="SAPBEXHLevel1X 4" xfId="453"/>
    <cellStyle name="SAPBEXHLevel1X 4 2" xfId="606"/>
    <cellStyle name="SAPBEXHLevel1X 4 2 2" xfId="1100"/>
    <cellStyle name="SAPBEXHLevel1X 4 2 3" xfId="1385"/>
    <cellStyle name="SAPBEXHLevel1X 4 2 4" xfId="1748"/>
    <cellStyle name="SAPBEXHLevel1X 4 2 5" xfId="1999"/>
    <cellStyle name="SAPBEXHLevel1X 4 3" xfId="1001"/>
    <cellStyle name="SAPBEXHLevel1X 4 4" xfId="1314"/>
    <cellStyle name="SAPBEXHLevel1X 4 5" xfId="1659"/>
    <cellStyle name="SAPBEXHLevel1X 4 6" xfId="1926"/>
    <cellStyle name="SAPBEXHLevel1X 4 7" xfId="2140"/>
    <cellStyle name="SAPBEXHLevel1X 4 8" xfId="2564"/>
    <cellStyle name="SAPBEXHLevel1X 4 9" xfId="2352"/>
    <cellStyle name="SAPBEXHLevel1X 5" xfId="489"/>
    <cellStyle name="SAPBEXHLevel1X 5 2" xfId="1037"/>
    <cellStyle name="SAPBEXHLevel1X 5 3" xfId="1350"/>
    <cellStyle name="SAPBEXHLevel1X 5 4" xfId="1695"/>
    <cellStyle name="SAPBEXHLevel1X 5 5" xfId="1962"/>
    <cellStyle name="SAPBEXHLevel1X 5 6" xfId="2264"/>
    <cellStyle name="SAPBEXHLevel1X 5 7" xfId="2518"/>
    <cellStyle name="SAPBEXHLevel1X 5 8" xfId="2764"/>
    <cellStyle name="SAPBEXHLevel1X 6" xfId="607"/>
    <cellStyle name="SAPBEXHLevel1X 6 2" xfId="1101"/>
    <cellStyle name="SAPBEXHLevel1X 6 3" xfId="1386"/>
    <cellStyle name="SAPBEXHLevel1X 6 4" xfId="1749"/>
    <cellStyle name="SAPBEXHLevel1X 6 5" xfId="2000"/>
    <cellStyle name="SAPBEXHLevel1X 6 6" xfId="2660"/>
    <cellStyle name="SAPBEXHLevel1X 6 7" xfId="2744"/>
    <cellStyle name="SAPBEXHLevel1X 7" xfId="876"/>
    <cellStyle name="SAPBEXHLevel1X 8" xfId="1214"/>
    <cellStyle name="SAPBEXHLevel1X 9" xfId="1535"/>
    <cellStyle name="SAPBEXHLevel2" xfId="324"/>
    <cellStyle name="SAPBEXHLevel2 10" xfId="2080"/>
    <cellStyle name="SAPBEXHLevel2 11" xfId="2401"/>
    <cellStyle name="SAPBEXHLevel2 12" xfId="2298"/>
    <cellStyle name="SAPBEXHLevel2 13" xfId="2769"/>
    <cellStyle name="SAPBEXHLevel2 2" xfId="363"/>
    <cellStyle name="SAPBEXHLevel2 2 2" xfId="913"/>
    <cellStyle name="SAPBEXHLevel2 2 3" xfId="827"/>
    <cellStyle name="SAPBEXHLevel2 2 4" xfId="1572"/>
    <cellStyle name="SAPBEXHLevel2 2 5" xfId="1858"/>
    <cellStyle name="SAPBEXHLevel2 2 6" xfId="2103"/>
    <cellStyle name="SAPBEXHLevel2 2 7" xfId="2590"/>
    <cellStyle name="SAPBEXHLevel2 2 8" xfId="2363"/>
    <cellStyle name="SAPBEXHLevel2 3" xfId="458"/>
    <cellStyle name="SAPBEXHLevel2 3 2" xfId="608"/>
    <cellStyle name="SAPBEXHLevel2 3 2 2" xfId="1102"/>
    <cellStyle name="SAPBEXHLevel2 3 2 3" xfId="1387"/>
    <cellStyle name="SAPBEXHLevel2 3 2 4" xfId="2001"/>
    <cellStyle name="SAPBEXHLevel2 3 3" xfId="1006"/>
    <cellStyle name="SAPBEXHLevel2 3 4" xfId="1319"/>
    <cellStyle name="SAPBEXHLevel2 3 5" xfId="1664"/>
    <cellStyle name="SAPBEXHLevel2 3 6" xfId="1931"/>
    <cellStyle name="SAPBEXHLevel2 3 7" xfId="2137"/>
    <cellStyle name="SAPBEXHLevel2 3 8" xfId="2500"/>
    <cellStyle name="SAPBEXHLevel2 3 9" xfId="2327"/>
    <cellStyle name="SAPBEXHLevel2 4" xfId="414"/>
    <cellStyle name="SAPBEXHLevel2 4 2" xfId="962"/>
    <cellStyle name="SAPBEXHLevel2 4 3" xfId="1275"/>
    <cellStyle name="SAPBEXHLevel2 4 4" xfId="1621"/>
    <cellStyle name="SAPBEXHLevel2 4 5" xfId="1889"/>
    <cellStyle name="SAPBEXHLevel2 4 6" xfId="2203"/>
    <cellStyle name="SAPBEXHLevel2 4 7" xfId="2565"/>
    <cellStyle name="SAPBEXHLevel2 4 8" xfId="2431"/>
    <cellStyle name="SAPBEXHLevel2 5" xfId="490"/>
    <cellStyle name="SAPBEXHLevel2 5 2" xfId="1038"/>
    <cellStyle name="SAPBEXHLevel2 5 3" xfId="1351"/>
    <cellStyle name="SAPBEXHLevel2 5 4" xfId="1696"/>
    <cellStyle name="SAPBEXHLevel2 5 5" xfId="1963"/>
    <cellStyle name="SAPBEXHLevel2 5 6" xfId="2265"/>
    <cellStyle name="SAPBEXHLevel2 5 7" xfId="2679"/>
    <cellStyle name="SAPBEXHLevel2 5 8" xfId="2855"/>
    <cellStyle name="SAPBEXHLevel2 6" xfId="877"/>
    <cellStyle name="SAPBEXHLevel2 6 2" xfId="2545"/>
    <cellStyle name="SAPBEXHLevel2 6 3" xfId="2342"/>
    <cellStyle name="SAPBEXHLevel2 7" xfId="1213"/>
    <cellStyle name="SAPBEXHLevel2 8" xfId="1536"/>
    <cellStyle name="SAPBEXHLevel2 9" xfId="1426"/>
    <cellStyle name="SAPBEXHLevel2X" xfId="325"/>
    <cellStyle name="SAPBEXHLevel2X 10" xfId="1733"/>
    <cellStyle name="SAPBEXHLevel2X 11" xfId="2218"/>
    <cellStyle name="SAPBEXHLevel2X 12" xfId="2402"/>
    <cellStyle name="SAPBEXHLevel2X 13" xfId="2297"/>
    <cellStyle name="SAPBEXHLevel2X 14" xfId="2794"/>
    <cellStyle name="SAPBEXHLevel2X 2" xfId="364"/>
    <cellStyle name="SAPBEXHLevel2X 2 2" xfId="914"/>
    <cellStyle name="SAPBEXHLevel2X 2 3" xfId="758"/>
    <cellStyle name="SAPBEXHLevel2X 2 4" xfId="1573"/>
    <cellStyle name="SAPBEXHLevel2X 2 5" xfId="1857"/>
    <cellStyle name="SAPBEXHLevel2X 2 6" xfId="2070"/>
    <cellStyle name="SAPBEXHLevel2X 2 7" xfId="2591"/>
    <cellStyle name="SAPBEXHLevel2X 2 8" xfId="2364"/>
    <cellStyle name="SAPBEXHLevel2X 3" xfId="459"/>
    <cellStyle name="SAPBEXHLevel2X 3 2" xfId="1007"/>
    <cellStyle name="SAPBEXHLevel2X 3 3" xfId="1320"/>
    <cellStyle name="SAPBEXHLevel2X 3 4" xfId="1665"/>
    <cellStyle name="SAPBEXHLevel2X 3 5" xfId="1932"/>
    <cellStyle name="SAPBEXHLevel2X 3 6" xfId="2136"/>
    <cellStyle name="SAPBEXHLevel2X 3 7" xfId="2499"/>
    <cellStyle name="SAPBEXHLevel2X 3 8" xfId="2453"/>
    <cellStyle name="SAPBEXHLevel2X 4" xfId="374"/>
    <cellStyle name="SAPBEXHLevel2X 4 2" xfId="609"/>
    <cellStyle name="SAPBEXHLevel2X 4 2 2" xfId="1103"/>
    <cellStyle name="SAPBEXHLevel2X 4 2 3" xfId="1388"/>
    <cellStyle name="SAPBEXHLevel2X 4 2 4" xfId="1750"/>
    <cellStyle name="SAPBEXHLevel2X 4 2 5" xfId="2002"/>
    <cellStyle name="SAPBEXHLevel2X 4 3" xfId="922"/>
    <cellStyle name="SAPBEXHLevel2X 4 4" xfId="1237"/>
    <cellStyle name="SAPBEXHLevel2X 4 5" xfId="1582"/>
    <cellStyle name="SAPBEXHLevel2X 4 6" xfId="1504"/>
    <cellStyle name="SAPBEXHLevel2X 4 7" xfId="2087"/>
    <cellStyle name="SAPBEXHLevel2X 4 8" xfId="2566"/>
    <cellStyle name="SAPBEXHLevel2X 4 9" xfId="2799"/>
    <cellStyle name="SAPBEXHLevel2X 5" xfId="491"/>
    <cellStyle name="SAPBEXHLevel2X 5 2" xfId="1039"/>
    <cellStyle name="SAPBEXHLevel2X 5 3" xfId="1352"/>
    <cellStyle name="SAPBEXHLevel2X 5 4" xfId="1697"/>
    <cellStyle name="SAPBEXHLevel2X 5 5" xfId="1964"/>
    <cellStyle name="SAPBEXHLevel2X 5 6" xfId="2266"/>
    <cellStyle name="SAPBEXHLevel2X 5 7" xfId="2681"/>
    <cellStyle name="SAPBEXHLevel2X 5 8" xfId="2857"/>
    <cellStyle name="SAPBEXHLevel2X 6" xfId="610"/>
    <cellStyle name="SAPBEXHLevel2X 6 2" xfId="1104"/>
    <cellStyle name="SAPBEXHLevel2X 6 3" xfId="1389"/>
    <cellStyle name="SAPBEXHLevel2X 6 4" xfId="1751"/>
    <cellStyle name="SAPBEXHLevel2X 6 5" xfId="2003"/>
    <cellStyle name="SAPBEXHLevel2X 6 6" xfId="2695"/>
    <cellStyle name="SAPBEXHLevel2X 6 7" xfId="2871"/>
    <cellStyle name="SAPBEXHLevel2X 7" xfId="878"/>
    <cellStyle name="SAPBEXHLevel2X 8" xfId="1212"/>
    <cellStyle name="SAPBEXHLevel2X 9" xfId="1537"/>
    <cellStyle name="SAPBEXHLevel3" xfId="326"/>
    <cellStyle name="SAPBEXHLevel3 10" xfId="2215"/>
    <cellStyle name="SAPBEXHLevel3 11" xfId="2403"/>
    <cellStyle name="SAPBEXHLevel3 12" xfId="2296"/>
    <cellStyle name="SAPBEXHLevel3 13" xfId="2303"/>
    <cellStyle name="SAPBEXHLevel3 2" xfId="427"/>
    <cellStyle name="SAPBEXHLevel3 2 2" xfId="975"/>
    <cellStyle name="SAPBEXHLevel3 2 3" xfId="1288"/>
    <cellStyle name="SAPBEXHLevel3 2 4" xfId="1634"/>
    <cellStyle name="SAPBEXHLevel3 2 5" xfId="1902"/>
    <cellStyle name="SAPBEXHLevel3 2 6" xfId="2047"/>
    <cellStyle name="SAPBEXHLevel3 2 7" xfId="2592"/>
    <cellStyle name="SAPBEXHLevel3 2 8" xfId="2365"/>
    <cellStyle name="SAPBEXHLevel3 3" xfId="460"/>
    <cellStyle name="SAPBEXHLevel3 3 2" xfId="611"/>
    <cellStyle name="SAPBEXHLevel3 3 2 2" xfId="1105"/>
    <cellStyle name="SAPBEXHLevel3 3 2 3" xfId="1390"/>
    <cellStyle name="SAPBEXHLevel3 3 2 4" xfId="2004"/>
    <cellStyle name="SAPBEXHLevel3 3 3" xfId="1008"/>
    <cellStyle name="SAPBEXHLevel3 3 4" xfId="1321"/>
    <cellStyle name="SAPBEXHLevel3 3 5" xfId="1666"/>
    <cellStyle name="SAPBEXHLevel3 3 6" xfId="1933"/>
    <cellStyle name="SAPBEXHLevel3 3 7" xfId="2036"/>
    <cellStyle name="SAPBEXHLevel3 3 8" xfId="2498"/>
    <cellStyle name="SAPBEXHLevel3 3 9" xfId="2754"/>
    <cellStyle name="SAPBEXHLevel3 4" xfId="462"/>
    <cellStyle name="SAPBEXHLevel3 4 2" xfId="1010"/>
    <cellStyle name="SAPBEXHLevel3 4 3" xfId="1323"/>
    <cellStyle name="SAPBEXHLevel3 4 4" xfId="1668"/>
    <cellStyle name="SAPBEXHLevel3 4 5" xfId="1935"/>
    <cellStyle name="SAPBEXHLevel3 4 6" xfId="2134"/>
    <cellStyle name="SAPBEXHLevel3 4 7" xfId="2638"/>
    <cellStyle name="SAPBEXHLevel3 4 8" xfId="2414"/>
    <cellStyle name="SAPBEXHLevel3 5" xfId="492"/>
    <cellStyle name="SAPBEXHLevel3 5 2" xfId="1040"/>
    <cellStyle name="SAPBEXHLevel3 5 3" xfId="1353"/>
    <cellStyle name="SAPBEXHLevel3 5 4" xfId="1698"/>
    <cellStyle name="SAPBEXHLevel3 5 5" xfId="1965"/>
    <cellStyle name="SAPBEXHLevel3 5 6" xfId="2267"/>
    <cellStyle name="SAPBEXHLevel3 5 7" xfId="2677"/>
    <cellStyle name="SAPBEXHLevel3 5 8" xfId="2853"/>
    <cellStyle name="SAPBEXHLevel3 6" xfId="879"/>
    <cellStyle name="SAPBEXHLevel3 6 2" xfId="2697"/>
    <cellStyle name="SAPBEXHLevel3 6 3" xfId="2873"/>
    <cellStyle name="SAPBEXHLevel3 7" xfId="1211"/>
    <cellStyle name="SAPBEXHLevel3 8" xfId="1538"/>
    <cellStyle name="SAPBEXHLevel3 9" xfId="1732"/>
    <cellStyle name="SAPBEXHLevel3X" xfId="327"/>
    <cellStyle name="SAPBEXHLevel3X 10" xfId="1731"/>
    <cellStyle name="SAPBEXHLevel3X 11" xfId="2174"/>
    <cellStyle name="SAPBEXHLevel3X 12" xfId="2404"/>
    <cellStyle name="SAPBEXHLevel3X 13" xfId="2716"/>
    <cellStyle name="SAPBEXHLevel3X 14" xfId="2304"/>
    <cellStyle name="SAPBEXHLevel3X 2" xfId="365"/>
    <cellStyle name="SAPBEXHLevel3X 2 2" xfId="915"/>
    <cellStyle name="SAPBEXHLevel3X 2 3" xfId="1230"/>
    <cellStyle name="SAPBEXHLevel3X 2 4" xfId="1574"/>
    <cellStyle name="SAPBEXHLevel3X 2 5" xfId="1856"/>
    <cellStyle name="SAPBEXHLevel3X 2 6" xfId="2237"/>
    <cellStyle name="SAPBEXHLevel3X 2 7" xfId="2593"/>
    <cellStyle name="SAPBEXHLevel3X 2 8" xfId="2366"/>
    <cellStyle name="SAPBEXHLevel3X 3" xfId="461"/>
    <cellStyle name="SAPBEXHLevel3X 3 2" xfId="1009"/>
    <cellStyle name="SAPBEXHLevel3X 3 3" xfId="1322"/>
    <cellStyle name="SAPBEXHLevel3X 3 4" xfId="1667"/>
    <cellStyle name="SAPBEXHLevel3X 3 5" xfId="1934"/>
    <cellStyle name="SAPBEXHLevel3X 3 6" xfId="2135"/>
    <cellStyle name="SAPBEXHLevel3X 3 7" xfId="2497"/>
    <cellStyle name="SAPBEXHLevel3X 3 8" xfId="2449"/>
    <cellStyle name="SAPBEXHLevel3X 4" xfId="373"/>
    <cellStyle name="SAPBEXHLevel3X 4 2" xfId="612"/>
    <cellStyle name="SAPBEXHLevel3X 4 2 2" xfId="1106"/>
    <cellStyle name="SAPBEXHLevel3X 4 2 3" xfId="1391"/>
    <cellStyle name="SAPBEXHLevel3X 4 2 4" xfId="1752"/>
    <cellStyle name="SAPBEXHLevel3X 4 2 5" xfId="2005"/>
    <cellStyle name="SAPBEXHLevel3X 4 3" xfId="921"/>
    <cellStyle name="SAPBEXHLevel3X 4 4" xfId="1236"/>
    <cellStyle name="SAPBEXHLevel3X 4 5" xfId="1581"/>
    <cellStyle name="SAPBEXHLevel3X 4 6" xfId="1505"/>
    <cellStyle name="SAPBEXHLevel3X 4 7" xfId="2194"/>
    <cellStyle name="SAPBEXHLevel3X 4 8" xfId="2641"/>
    <cellStyle name="SAPBEXHLevel3X 4 9" xfId="2433"/>
    <cellStyle name="SAPBEXHLevel3X 5" xfId="493"/>
    <cellStyle name="SAPBEXHLevel3X 5 2" xfId="1041"/>
    <cellStyle name="SAPBEXHLevel3X 5 3" xfId="1354"/>
    <cellStyle name="SAPBEXHLevel3X 5 4" xfId="1699"/>
    <cellStyle name="SAPBEXHLevel3X 5 5" xfId="1966"/>
    <cellStyle name="SAPBEXHLevel3X 5 6" xfId="2268"/>
    <cellStyle name="SAPBEXHLevel3X 5 7" xfId="2685"/>
    <cellStyle name="SAPBEXHLevel3X 5 8" xfId="2861"/>
    <cellStyle name="SAPBEXHLevel3X 6" xfId="613"/>
    <cellStyle name="SAPBEXHLevel3X 6 2" xfId="1107"/>
    <cellStyle name="SAPBEXHLevel3X 6 3" xfId="1392"/>
    <cellStyle name="SAPBEXHLevel3X 6 4" xfId="1753"/>
    <cellStyle name="SAPBEXHLevel3X 6 5" xfId="2006"/>
    <cellStyle name="SAPBEXHLevel3X 6 6" xfId="2694"/>
    <cellStyle name="SAPBEXHLevel3X 6 7" xfId="2870"/>
    <cellStyle name="SAPBEXHLevel3X 7" xfId="880"/>
    <cellStyle name="SAPBEXHLevel3X 8" xfId="1210"/>
    <cellStyle name="SAPBEXHLevel3X 9" xfId="1539"/>
    <cellStyle name="SAPBEXchaText" xfId="328"/>
    <cellStyle name="SAPBEXchaText 2" xfId="614"/>
    <cellStyle name="SAPBEXchaText 2 2" xfId="615"/>
    <cellStyle name="SAPBEXchaText 2 2 2" xfId="1109"/>
    <cellStyle name="SAPBEXchaText 2 2 3" xfId="1394"/>
    <cellStyle name="SAPBEXchaText 2 2 4" xfId="2008"/>
    <cellStyle name="SAPBEXchaText 2 3" xfId="1108"/>
    <cellStyle name="SAPBEXchaText 2 4" xfId="1393"/>
    <cellStyle name="SAPBEXchaText 2 5" xfId="2007"/>
    <cellStyle name="SAPBEXinputData" xfId="616"/>
    <cellStyle name="SAPBEXinputData 2" xfId="617"/>
    <cellStyle name="SAPBEXinputData 2 2" xfId="618"/>
    <cellStyle name="SAPBEXinputData 2 2 2" xfId="1112"/>
    <cellStyle name="SAPBEXinputData 2 2 3" xfId="1397"/>
    <cellStyle name="SAPBEXinputData 2 2 4" xfId="1756"/>
    <cellStyle name="SAPBEXinputData 2 2 5" xfId="2011"/>
    <cellStyle name="SAPBEXinputData 2 2 6" xfId="2028"/>
    <cellStyle name="SAPBEXinputData 2 3" xfId="1111"/>
    <cellStyle name="SAPBEXinputData 2 4" xfId="1396"/>
    <cellStyle name="SAPBEXinputData 2 5" xfId="1755"/>
    <cellStyle name="SAPBEXinputData 2 6" xfId="2010"/>
    <cellStyle name="SAPBEXinputData 2 7" xfId="2027"/>
    <cellStyle name="SAPBEXinputData 3" xfId="619"/>
    <cellStyle name="SAPBEXinputData 3 2" xfId="1113"/>
    <cellStyle name="SAPBEXinputData 3 3" xfId="1398"/>
    <cellStyle name="SAPBEXinputData 3 4" xfId="1757"/>
    <cellStyle name="SAPBEXinputData 3 5" xfId="2012"/>
    <cellStyle name="SAPBEXinputData 3 6" xfId="2029"/>
    <cellStyle name="SAPBEXinputData 4" xfId="620"/>
    <cellStyle name="SAPBEXinputData 4 2" xfId="1114"/>
    <cellStyle name="SAPBEXinputData 4 3" xfId="1399"/>
    <cellStyle name="SAPBEXinputData 4 4" xfId="1758"/>
    <cellStyle name="SAPBEXinputData 4 5" xfId="2013"/>
    <cellStyle name="SAPBEXinputData 4 6" xfId="2030"/>
    <cellStyle name="SAPBEXinputData 5" xfId="1110"/>
    <cellStyle name="SAPBEXinputData 6" xfId="1395"/>
    <cellStyle name="SAPBEXinputData 7" xfId="1754"/>
    <cellStyle name="SAPBEXinputData 8" xfId="2009"/>
    <cellStyle name="SAPBEXinputData 9" xfId="2026"/>
    <cellStyle name="SAPBEXItemHeader" xfId="621"/>
    <cellStyle name="SAPBEXItemHeader 2" xfId="1115"/>
    <cellStyle name="SAPBEXItemHeader 3" xfId="1400"/>
    <cellStyle name="SAPBEXItemHeader 4" xfId="1759"/>
    <cellStyle name="SAPBEXItemHeader 5" xfId="2014"/>
    <cellStyle name="SAPBEXresData" xfId="329"/>
    <cellStyle name="SAPBEXresData 10" xfId="2198"/>
    <cellStyle name="SAPBEXresData 11" xfId="2405"/>
    <cellStyle name="SAPBEXresData 12" xfId="2717"/>
    <cellStyle name="SAPBEXresData 13" xfId="2830"/>
    <cellStyle name="SAPBEXresData 2" xfId="380"/>
    <cellStyle name="SAPBEXresData 2 2" xfId="927"/>
    <cellStyle name="SAPBEXresData 2 3" xfId="1242"/>
    <cellStyle name="SAPBEXresData 2 4" xfId="1587"/>
    <cellStyle name="SAPBEXresData 2 5" xfId="1500"/>
    <cellStyle name="SAPBEXresData 2 6" xfId="2163"/>
    <cellStyle name="SAPBEXresData 2 7" xfId="2595"/>
    <cellStyle name="SAPBEXresData 2 8" xfId="2372"/>
    <cellStyle name="SAPBEXresData 3" xfId="463"/>
    <cellStyle name="SAPBEXresData 3 2" xfId="1011"/>
    <cellStyle name="SAPBEXresData 3 3" xfId="1324"/>
    <cellStyle name="SAPBEXresData 3 4" xfId="1669"/>
    <cellStyle name="SAPBEXresData 3 5" xfId="1936"/>
    <cellStyle name="SAPBEXresData 3 6" xfId="2035"/>
    <cellStyle name="SAPBEXresData 3 7" xfId="2495"/>
    <cellStyle name="SAPBEXresData 3 8" xfId="2443"/>
    <cellStyle name="SAPBEXresData 4" xfId="471"/>
    <cellStyle name="SAPBEXresData 4 2" xfId="1019"/>
    <cellStyle name="SAPBEXresData 4 3" xfId="1332"/>
    <cellStyle name="SAPBEXresData 4 4" xfId="1677"/>
    <cellStyle name="SAPBEXresData 4 5" xfId="1944"/>
    <cellStyle name="SAPBEXresData 4 6" xfId="2246"/>
    <cellStyle name="SAPBEXresData 4 7" xfId="2580"/>
    <cellStyle name="SAPBEXresData 4 8" xfId="2359"/>
    <cellStyle name="SAPBEXresData 5" xfId="494"/>
    <cellStyle name="SAPBEXresData 5 2" xfId="1042"/>
    <cellStyle name="SAPBEXresData 5 3" xfId="1355"/>
    <cellStyle name="SAPBEXresData 5 4" xfId="1700"/>
    <cellStyle name="SAPBEXresData 5 5" xfId="1967"/>
    <cellStyle name="SAPBEXresData 5 6" xfId="2269"/>
    <cellStyle name="SAPBEXresData 5 7" xfId="2510"/>
    <cellStyle name="SAPBEXresData 5 8" xfId="2757"/>
    <cellStyle name="SAPBEXresData 6" xfId="881"/>
    <cellStyle name="SAPBEXresData 6 2" xfId="2609"/>
    <cellStyle name="SAPBEXresData 6 3" xfId="2763"/>
    <cellStyle name="SAPBEXresData 7" xfId="848"/>
    <cellStyle name="SAPBEXresData 8" xfId="1540"/>
    <cellStyle name="SAPBEXresData 9" xfId="1730"/>
    <cellStyle name="SAPBEXresDataEmph" xfId="330"/>
    <cellStyle name="SAPBEXresDataEmph 10" xfId="2125"/>
    <cellStyle name="SAPBEXresDataEmph 11" xfId="2406"/>
    <cellStyle name="SAPBEXresDataEmph 12" xfId="2718"/>
    <cellStyle name="SAPBEXresDataEmph 13" xfId="2827"/>
    <cellStyle name="SAPBEXresDataEmph 2" xfId="399"/>
    <cellStyle name="SAPBEXresDataEmph 2 2" xfId="947"/>
    <cellStyle name="SAPBEXresDataEmph 2 3" xfId="1260"/>
    <cellStyle name="SAPBEXresDataEmph 2 4" xfId="1606"/>
    <cellStyle name="SAPBEXresDataEmph 2 5" xfId="1488"/>
    <cellStyle name="SAPBEXresDataEmph 2 6" xfId="2077"/>
    <cellStyle name="SAPBEXresDataEmph 2 7" xfId="2596"/>
    <cellStyle name="SAPBEXresDataEmph 2 8" xfId="2373"/>
    <cellStyle name="SAPBEXresDataEmph 3" xfId="464"/>
    <cellStyle name="SAPBEXresDataEmph 3 2" xfId="1012"/>
    <cellStyle name="SAPBEXresDataEmph 3 3" xfId="1325"/>
    <cellStyle name="SAPBEXresDataEmph 3 4" xfId="1670"/>
    <cellStyle name="SAPBEXresDataEmph 3 5" xfId="1937"/>
    <cellStyle name="SAPBEXresDataEmph 3 6" xfId="2133"/>
    <cellStyle name="SAPBEXresDataEmph 3 7" xfId="2494"/>
    <cellStyle name="SAPBEXresDataEmph 3 8" xfId="2440"/>
    <cellStyle name="SAPBEXresDataEmph 4" xfId="413"/>
    <cellStyle name="SAPBEXresDataEmph 4 2" xfId="961"/>
    <cellStyle name="SAPBEXresDataEmph 4 3" xfId="1274"/>
    <cellStyle name="SAPBEXresDataEmph 4 4" xfId="1620"/>
    <cellStyle name="SAPBEXresDataEmph 4 5" xfId="1888"/>
    <cellStyle name="SAPBEXresDataEmph 4 6" xfId="2209"/>
    <cellStyle name="SAPBEXresDataEmph 4 7" xfId="2581"/>
    <cellStyle name="SAPBEXresDataEmph 4 8" xfId="2360"/>
    <cellStyle name="SAPBEXresDataEmph 5" xfId="495"/>
    <cellStyle name="SAPBEXresDataEmph 5 2" xfId="1043"/>
    <cellStyle name="SAPBEXresDataEmph 5 3" xfId="1356"/>
    <cellStyle name="SAPBEXresDataEmph 5 4" xfId="1701"/>
    <cellStyle name="SAPBEXresDataEmph 5 5" xfId="1968"/>
    <cellStyle name="SAPBEXresDataEmph 5 6" xfId="2270"/>
    <cellStyle name="SAPBEXresDataEmph 5 7" xfId="2509"/>
    <cellStyle name="SAPBEXresDataEmph 5 8" xfId="2814"/>
    <cellStyle name="SAPBEXresDataEmph 6" xfId="882"/>
    <cellStyle name="SAPBEXresDataEmph 6 2" xfId="2671"/>
    <cellStyle name="SAPBEXresDataEmph 6 3" xfId="2758"/>
    <cellStyle name="SAPBEXresDataEmph 7" xfId="847"/>
    <cellStyle name="SAPBEXresDataEmph 8" xfId="1541"/>
    <cellStyle name="SAPBEXresDataEmph 9" xfId="1729"/>
    <cellStyle name="SAPBEXresItem" xfId="331"/>
    <cellStyle name="SAPBEXresItem 10" xfId="2192"/>
    <cellStyle name="SAPBEXresItem 11" xfId="2407"/>
    <cellStyle name="SAPBEXresItem 12" xfId="2719"/>
    <cellStyle name="SAPBEXresItem 13" xfId="2770"/>
    <cellStyle name="SAPBEXresItem 2" xfId="397"/>
    <cellStyle name="SAPBEXresItem 2 2" xfId="945"/>
    <cellStyle name="SAPBEXresItem 2 3" xfId="1258"/>
    <cellStyle name="SAPBEXresItem 2 4" xfId="1604"/>
    <cellStyle name="SAPBEXresItem 2 5" xfId="1489"/>
    <cellStyle name="SAPBEXresItem 2 6" xfId="2211"/>
    <cellStyle name="SAPBEXresItem 2 7" xfId="2597"/>
    <cellStyle name="SAPBEXresItem 2 8" xfId="2375"/>
    <cellStyle name="SAPBEXresItem 3" xfId="465"/>
    <cellStyle name="SAPBEXresItem 3 2" xfId="1013"/>
    <cellStyle name="SAPBEXresItem 3 3" xfId="1326"/>
    <cellStyle name="SAPBEXresItem 3 4" xfId="1671"/>
    <cellStyle name="SAPBEXresItem 3 5" xfId="1938"/>
    <cellStyle name="SAPBEXresItem 3 6" xfId="2132"/>
    <cellStyle name="SAPBEXresItem 3 7" xfId="2493"/>
    <cellStyle name="SAPBEXresItem 3 8" xfId="2437"/>
    <cellStyle name="SAPBEXresItem 4" xfId="412"/>
    <cellStyle name="SAPBEXresItem 4 2" xfId="960"/>
    <cellStyle name="SAPBEXresItem 4 3" xfId="1273"/>
    <cellStyle name="SAPBEXresItem 4 4" xfId="1619"/>
    <cellStyle name="SAPBEXresItem 4 5" xfId="1887"/>
    <cellStyle name="SAPBEXresItem 4 6" xfId="2229"/>
    <cellStyle name="SAPBEXresItem 4 7" xfId="2582"/>
    <cellStyle name="SAPBEXresItem 4 8" xfId="2361"/>
    <cellStyle name="SAPBEXresItem 5" xfId="496"/>
    <cellStyle name="SAPBEXresItem 5 2" xfId="1044"/>
    <cellStyle name="SAPBEXresItem 5 3" xfId="1357"/>
    <cellStyle name="SAPBEXresItem 5 4" xfId="1702"/>
    <cellStyle name="SAPBEXresItem 5 5" xfId="1969"/>
    <cellStyle name="SAPBEXresItem 5 6" xfId="2271"/>
    <cellStyle name="SAPBEXresItem 5 7" xfId="2508"/>
    <cellStyle name="SAPBEXresItem 5 8" xfId="2846"/>
    <cellStyle name="SAPBEXresItem 6" xfId="883"/>
    <cellStyle name="SAPBEXresItem 6 2" xfId="2670"/>
    <cellStyle name="SAPBEXresItem 6 3" xfId="2815"/>
    <cellStyle name="SAPBEXresItem 7" xfId="767"/>
    <cellStyle name="SAPBEXresItem 8" xfId="1542"/>
    <cellStyle name="SAPBEXresItem 9" xfId="1728"/>
    <cellStyle name="SAPBEXresItemX" xfId="332"/>
    <cellStyle name="SAPBEXresItemX 10" xfId="2214"/>
    <cellStyle name="SAPBEXresItemX 11" xfId="2408"/>
    <cellStyle name="SAPBEXresItemX 12" xfId="2720"/>
    <cellStyle name="SAPBEXresItemX 13" xfId="2793"/>
    <cellStyle name="SAPBEXresItemX 2" xfId="381"/>
    <cellStyle name="SAPBEXresItemX 2 2" xfId="928"/>
    <cellStyle name="SAPBEXresItemX 2 3" xfId="1243"/>
    <cellStyle name="SAPBEXresItemX 2 4" xfId="1588"/>
    <cellStyle name="SAPBEXresItemX 2 5" xfId="1413"/>
    <cellStyle name="SAPBEXresItemX 2 6" xfId="2067"/>
    <cellStyle name="SAPBEXresItemX 2 7" xfId="2598"/>
    <cellStyle name="SAPBEXresItemX 2 8" xfId="2376"/>
    <cellStyle name="SAPBEXresItemX 3" xfId="466"/>
    <cellStyle name="SAPBEXresItemX 3 2" xfId="1014"/>
    <cellStyle name="SAPBEXresItemX 3 3" xfId="1327"/>
    <cellStyle name="SAPBEXresItemX 3 4" xfId="1672"/>
    <cellStyle name="SAPBEXresItemX 3 5" xfId="1939"/>
    <cellStyle name="SAPBEXresItemX 3 6" xfId="2034"/>
    <cellStyle name="SAPBEXresItemX 3 7" xfId="2492"/>
    <cellStyle name="SAPBEXresItemX 3 8" xfId="2777"/>
    <cellStyle name="SAPBEXresItemX 4" xfId="473"/>
    <cellStyle name="SAPBEXresItemX 4 2" xfId="1021"/>
    <cellStyle name="SAPBEXresItemX 4 3" xfId="1334"/>
    <cellStyle name="SAPBEXresItemX 4 4" xfId="1679"/>
    <cellStyle name="SAPBEXresItemX 4 5" xfId="1946"/>
    <cellStyle name="SAPBEXresItemX 4 6" xfId="2248"/>
    <cellStyle name="SAPBEXresItemX 4 7" xfId="2584"/>
    <cellStyle name="SAPBEXresItemX 4 8" xfId="2747"/>
    <cellStyle name="SAPBEXresItemX 5" xfId="497"/>
    <cellStyle name="SAPBEXresItemX 5 2" xfId="1045"/>
    <cellStyle name="SAPBEXresItemX 5 3" xfId="1358"/>
    <cellStyle name="SAPBEXresItemX 5 4" xfId="1703"/>
    <cellStyle name="SAPBEXresItemX 5 5" xfId="1970"/>
    <cellStyle name="SAPBEXresItemX 5 6" xfId="2272"/>
    <cellStyle name="SAPBEXresItemX 5 7" xfId="2506"/>
    <cellStyle name="SAPBEXresItemX 5 8" xfId="2333"/>
    <cellStyle name="SAPBEXresItemX 6" xfId="884"/>
    <cellStyle name="SAPBEXresItemX 6 2" xfId="2668"/>
    <cellStyle name="SAPBEXresItemX 6 3" xfId="2739"/>
    <cellStyle name="SAPBEXresItemX 7" xfId="846"/>
    <cellStyle name="SAPBEXresItemX 8" xfId="1543"/>
    <cellStyle name="SAPBEXresItemX 9" xfId="1425"/>
    <cellStyle name="SAPBEXstdData" xfId="333"/>
    <cellStyle name="SAPBEXstdData 10" xfId="2173"/>
    <cellStyle name="SAPBEXstdData 11" xfId="2409"/>
    <cellStyle name="SAPBEXstdData 12" xfId="2721"/>
    <cellStyle name="SAPBEXstdData 13" xfId="2306"/>
    <cellStyle name="SAPBEXstdData 2" xfId="366"/>
    <cellStyle name="SAPBEXstdData 2 2" xfId="622"/>
    <cellStyle name="SAPBEXstdData 2 2 2" xfId="1116"/>
    <cellStyle name="SAPBEXstdData 2 2 3" xfId="1401"/>
    <cellStyle name="SAPBEXstdData 2 2 4" xfId="2015"/>
    <cellStyle name="SAPBEXstdData 2 3" xfId="916"/>
    <cellStyle name="SAPBEXstdData 2 4" xfId="1231"/>
    <cellStyle name="SAPBEXstdData 2 5" xfId="1575"/>
    <cellStyle name="SAPBEXstdData 2 6" xfId="1855"/>
    <cellStyle name="SAPBEXstdData 2 7" xfId="2069"/>
    <cellStyle name="SAPBEXstdData 2 8" xfId="2599"/>
    <cellStyle name="SAPBEXstdData 2 9" xfId="2377"/>
    <cellStyle name="SAPBEXstdData 3" xfId="467"/>
    <cellStyle name="SAPBEXstdData 3 2" xfId="1015"/>
    <cellStyle name="SAPBEXstdData 3 3" xfId="1328"/>
    <cellStyle name="SAPBEXstdData 3 4" xfId="1673"/>
    <cellStyle name="SAPBEXstdData 3 5" xfId="1940"/>
    <cellStyle name="SAPBEXstdData 3 6" xfId="2242"/>
    <cellStyle name="SAPBEXstdData 3 7" xfId="2491"/>
    <cellStyle name="SAPBEXstdData 3 8" xfId="2826"/>
    <cellStyle name="SAPBEXstdData 4" xfId="351"/>
    <cellStyle name="SAPBEXstdData 4 2" xfId="902"/>
    <cellStyle name="SAPBEXstdData 4 3" xfId="834"/>
    <cellStyle name="SAPBEXstdData 4 4" xfId="1561"/>
    <cellStyle name="SAPBEXstdData 4 5" xfId="1419"/>
    <cellStyle name="SAPBEXstdData 4 6" xfId="2120"/>
    <cellStyle name="SAPBEXstdData 4 7" xfId="2585"/>
    <cellStyle name="SAPBEXstdData 4 8" xfId="2745"/>
    <cellStyle name="SAPBEXstdData 5" xfId="498"/>
    <cellStyle name="SAPBEXstdData 5 2" xfId="1046"/>
    <cellStyle name="SAPBEXstdData 5 3" xfId="1359"/>
    <cellStyle name="SAPBEXstdData 5 4" xfId="1704"/>
    <cellStyle name="SAPBEXstdData 5 5" xfId="1971"/>
    <cellStyle name="SAPBEXstdData 5 6" xfId="2273"/>
    <cellStyle name="SAPBEXstdData 5 7" xfId="2505"/>
    <cellStyle name="SAPBEXstdData 5 8" xfId="2332"/>
    <cellStyle name="SAPBEXstdData 6" xfId="885"/>
    <cellStyle name="SAPBEXstdData 6 2" xfId="2556"/>
    <cellStyle name="SAPBEXstdData 6 3" xfId="2347"/>
    <cellStyle name="SAPBEXstdData 7" xfId="845"/>
    <cellStyle name="SAPBEXstdData 8" xfId="1544"/>
    <cellStyle name="SAPBEXstdData 9" xfId="1727"/>
    <cellStyle name="SAPBEXstdDataEmph" xfId="334"/>
    <cellStyle name="SAPBEXstdDataEmph 10" xfId="2079"/>
    <cellStyle name="SAPBEXstdDataEmph 11" xfId="2410"/>
    <cellStyle name="SAPBEXstdDataEmph 12" xfId="2722"/>
    <cellStyle name="SAPBEXstdDataEmph 13" xfId="2307"/>
    <cellStyle name="SAPBEXstdDataEmph 2" xfId="400"/>
    <cellStyle name="SAPBEXstdDataEmph 2 2" xfId="623"/>
    <cellStyle name="SAPBEXstdDataEmph 2 2 2" xfId="1117"/>
    <cellStyle name="SAPBEXstdDataEmph 2 2 3" xfId="1402"/>
    <cellStyle name="SAPBEXstdDataEmph 2 2 4" xfId="2016"/>
    <cellStyle name="SAPBEXstdDataEmph 2 3" xfId="948"/>
    <cellStyle name="SAPBEXstdDataEmph 2 4" xfId="1261"/>
    <cellStyle name="SAPBEXstdDataEmph 2 5" xfId="1607"/>
    <cellStyle name="SAPBEXstdDataEmph 2 6" xfId="1487"/>
    <cellStyle name="SAPBEXstdDataEmph 2 7" xfId="2162"/>
    <cellStyle name="SAPBEXstdDataEmph 2 8" xfId="2600"/>
    <cellStyle name="SAPBEXstdDataEmph 2 9" xfId="2458"/>
    <cellStyle name="SAPBEXstdDataEmph 3" xfId="468"/>
    <cellStyle name="SAPBEXstdDataEmph 3 2" xfId="1016"/>
    <cellStyle name="SAPBEXstdDataEmph 3 3" xfId="1329"/>
    <cellStyle name="SAPBEXstdDataEmph 3 4" xfId="1674"/>
    <cellStyle name="SAPBEXstdDataEmph 3 5" xfId="1941"/>
    <cellStyle name="SAPBEXstdDataEmph 3 6" xfId="2243"/>
    <cellStyle name="SAPBEXstdDataEmph 3 7" xfId="2490"/>
    <cellStyle name="SAPBEXstdDataEmph 3 8" xfId="2801"/>
    <cellStyle name="SAPBEXstdDataEmph 4" xfId="370"/>
    <cellStyle name="SAPBEXstdDataEmph 4 2" xfId="919"/>
    <cellStyle name="SAPBEXstdDataEmph 4 3" xfId="1234"/>
    <cellStyle name="SAPBEXstdDataEmph 4 4" xfId="1579"/>
    <cellStyle name="SAPBEXstdDataEmph 4 5" xfId="1506"/>
    <cellStyle name="SAPBEXstdDataEmph 4 6" xfId="2189"/>
    <cellStyle name="SAPBEXstdDataEmph 4 7" xfId="2594"/>
    <cellStyle name="SAPBEXstdDataEmph 4 8" xfId="2367"/>
    <cellStyle name="SAPBEXstdDataEmph 5" xfId="499"/>
    <cellStyle name="SAPBEXstdDataEmph 5 2" xfId="1047"/>
    <cellStyle name="SAPBEXstdDataEmph 5 3" xfId="1360"/>
    <cellStyle name="SAPBEXstdDataEmph 5 4" xfId="1705"/>
    <cellStyle name="SAPBEXstdDataEmph 5 5" xfId="1972"/>
    <cellStyle name="SAPBEXstdDataEmph 5 6" xfId="2274"/>
    <cellStyle name="SAPBEXstdDataEmph 5 7" xfId="2496"/>
    <cellStyle name="SAPBEXstdDataEmph 5 8" xfId="2446"/>
    <cellStyle name="SAPBEXstdDataEmph 6" xfId="886"/>
    <cellStyle name="SAPBEXstdDataEmph 6 2" xfId="2560"/>
    <cellStyle name="SAPBEXstdDataEmph 6 3" xfId="2349"/>
    <cellStyle name="SAPBEXstdDataEmph 7" xfId="766"/>
    <cellStyle name="SAPBEXstdDataEmph 8" xfId="1545"/>
    <cellStyle name="SAPBEXstdDataEmph 9" xfId="1726"/>
    <cellStyle name="SAPBEXstdItem" xfId="335"/>
    <cellStyle name="SAPBEXstdItem 10" xfId="2124"/>
    <cellStyle name="SAPBEXstdItem 11" xfId="2411"/>
    <cellStyle name="SAPBEXstdItem 12" xfId="2723"/>
    <cellStyle name="SAPBEXstdItem 13" xfId="2308"/>
    <cellStyle name="SAPBEXstdItem 2" xfId="430"/>
    <cellStyle name="SAPBEXstdItem 2 2" xfId="513"/>
    <cellStyle name="SAPBEXstdItem 2 2 2" xfId="1059"/>
    <cellStyle name="SAPBEXstdItem 2 2 3" xfId="1364"/>
    <cellStyle name="SAPBEXstdItem 2 2 4" xfId="1977"/>
    <cellStyle name="SAPBEXstdItem 2 3" xfId="978"/>
    <cellStyle name="SAPBEXstdItem 2 4" xfId="1291"/>
    <cellStyle name="SAPBEXstdItem 2 5" xfId="1636"/>
    <cellStyle name="SAPBEXstdItem 2 6" xfId="1903"/>
    <cellStyle name="SAPBEXstdItem 2 7" xfId="2046"/>
    <cellStyle name="SAPBEXstdItem 2 8" xfId="2601"/>
    <cellStyle name="SAPBEXstdItem 2 9" xfId="2461"/>
    <cellStyle name="SAPBEXstdItem 3" xfId="469"/>
    <cellStyle name="SAPBEXstdItem 3 2" xfId="1017"/>
    <cellStyle name="SAPBEXstdItem 3 3" xfId="1330"/>
    <cellStyle name="SAPBEXstdItem 3 4" xfId="1675"/>
    <cellStyle name="SAPBEXstdItem 3 5" xfId="1942"/>
    <cellStyle name="SAPBEXstdItem 3 6" xfId="2244"/>
    <cellStyle name="SAPBEXstdItem 3 7" xfId="2489"/>
    <cellStyle name="SAPBEXstdItem 3 8" xfId="2839"/>
    <cellStyle name="SAPBEXstdItem 4" xfId="474"/>
    <cellStyle name="SAPBEXstdItem 4 2" xfId="1022"/>
    <cellStyle name="SAPBEXstdItem 4 3" xfId="1335"/>
    <cellStyle name="SAPBEXstdItem 4 4" xfId="1680"/>
    <cellStyle name="SAPBEXstdItem 4 5" xfId="1947"/>
    <cellStyle name="SAPBEXstdItem 4 6" xfId="2249"/>
    <cellStyle name="SAPBEXstdItem 4 7" xfId="2603"/>
    <cellStyle name="SAPBEXstdItem 4 8" xfId="2391"/>
    <cellStyle name="SAPBEXstdItem 5" xfId="500"/>
    <cellStyle name="SAPBEXstdItem 5 2" xfId="1048"/>
    <cellStyle name="SAPBEXstdItem 5 3" xfId="1361"/>
    <cellStyle name="SAPBEXstdItem 5 4" xfId="1706"/>
    <cellStyle name="SAPBEXstdItem 5 5" xfId="1973"/>
    <cellStyle name="SAPBEXstdItem 5 6" xfId="2275"/>
    <cellStyle name="SAPBEXstdItem 5 7" xfId="2487"/>
    <cellStyle name="SAPBEXstdItem 5 8" xfId="2776"/>
    <cellStyle name="SAPBEXstdItem 6" xfId="887"/>
    <cellStyle name="SAPBEXstdItem 6 2" xfId="2616"/>
    <cellStyle name="SAPBEXstdItem 6 3" xfId="2819"/>
    <cellStyle name="SAPBEXstdItem 7" xfId="844"/>
    <cellStyle name="SAPBEXstdItem 8" xfId="1546"/>
    <cellStyle name="SAPBEXstdItem 9" xfId="1725"/>
    <cellStyle name="SAPBEXstdItemX" xfId="336"/>
    <cellStyle name="SAPBEXstdItemX 10" xfId="2078"/>
    <cellStyle name="SAPBEXstdItemX 11" xfId="2412"/>
    <cellStyle name="SAPBEXstdItemX 12" xfId="2724"/>
    <cellStyle name="SAPBEXstdItemX 13" xfId="2842"/>
    <cellStyle name="SAPBEXstdItemX 2" xfId="367"/>
    <cellStyle name="SAPBEXstdItemX 2 2" xfId="917"/>
    <cellStyle name="SAPBEXstdItemX 2 3" xfId="1232"/>
    <cellStyle name="SAPBEXstdItemX 2 4" xfId="1576"/>
    <cellStyle name="SAPBEXstdItemX 2 5" xfId="1507"/>
    <cellStyle name="SAPBEXstdItemX 2 6" xfId="2068"/>
    <cellStyle name="SAPBEXstdItemX 2 7" xfId="2602"/>
    <cellStyle name="SAPBEXstdItemX 2 8" xfId="2430"/>
    <cellStyle name="SAPBEXstdItemX 3" xfId="470"/>
    <cellStyle name="SAPBEXstdItemX 3 2" xfId="1018"/>
    <cellStyle name="SAPBEXstdItemX 3 3" xfId="1331"/>
    <cellStyle name="SAPBEXstdItemX 3 4" xfId="1676"/>
    <cellStyle name="SAPBEXstdItemX 3 5" xfId="1943"/>
    <cellStyle name="SAPBEXstdItemX 3 6" xfId="2245"/>
    <cellStyle name="SAPBEXstdItemX 3 7" xfId="2488"/>
    <cellStyle name="SAPBEXstdItemX 3 8" xfId="2787"/>
    <cellStyle name="SAPBEXstdItemX 4" xfId="385"/>
    <cellStyle name="SAPBEXstdItemX 4 2" xfId="933"/>
    <cellStyle name="SAPBEXstdItemX 4 3" xfId="1247"/>
    <cellStyle name="SAPBEXstdItemX 4 4" xfId="1593"/>
    <cellStyle name="SAPBEXstdItemX 4 5" xfId="1496"/>
    <cellStyle name="SAPBEXstdItemX 4 6" xfId="2063"/>
    <cellStyle name="SAPBEXstdItemX 4 7" xfId="2690"/>
    <cellStyle name="SAPBEXstdItemX 4 8" xfId="2866"/>
    <cellStyle name="SAPBEXstdItemX 5" xfId="501"/>
    <cellStyle name="SAPBEXstdItemX 5 2" xfId="1049"/>
    <cellStyle name="SAPBEXstdItemX 5 3" xfId="1362"/>
    <cellStyle name="SAPBEXstdItemX 5 4" xfId="1707"/>
    <cellStyle name="SAPBEXstdItemX 5 5" xfId="1974"/>
    <cellStyle name="SAPBEXstdItemX 5 6" xfId="2276"/>
    <cellStyle name="SAPBEXstdItemX 5 7" xfId="2703"/>
    <cellStyle name="SAPBEXstdItemX 5 8" xfId="2879"/>
    <cellStyle name="SAPBEXstdItemX 6" xfId="888"/>
    <cellStyle name="SAPBEXstdItemX 6 2" xfId="2675"/>
    <cellStyle name="SAPBEXstdItemX 6 3" xfId="2851"/>
    <cellStyle name="SAPBEXstdItemX 7" xfId="843"/>
    <cellStyle name="SAPBEXstdItemX 8" xfId="1547"/>
    <cellStyle name="SAPBEXstdItemX 9" xfId="1424"/>
    <cellStyle name="SAPBEXtitle" xfId="337"/>
    <cellStyle name="SAPBEXtitle 10" xfId="624"/>
    <cellStyle name="SAPBEXtitle 11" xfId="625"/>
    <cellStyle name="SAPBEXtitle 12" xfId="626"/>
    <cellStyle name="SAPBEXtitle 2" xfId="627"/>
    <cellStyle name="SAPBEXtitle 3" xfId="628"/>
    <cellStyle name="SAPBEXtitle 3 2" xfId="629"/>
    <cellStyle name="SAPBEXtitle 4" xfId="630"/>
    <cellStyle name="SAPBEXtitle 4 2" xfId="631"/>
    <cellStyle name="SAPBEXtitle 5" xfId="632"/>
    <cellStyle name="SAPBEXtitle 6" xfId="633"/>
    <cellStyle name="SAPBEXtitle 7" xfId="634"/>
    <cellStyle name="SAPBEXtitle 8" xfId="635"/>
    <cellStyle name="SAPBEXtitle 9" xfId="636"/>
    <cellStyle name="SAPBEXunassignedItem" xfId="637"/>
    <cellStyle name="SAPBEXunassignedItem 2" xfId="1118"/>
    <cellStyle name="SAPBEXunassignedItem 3" xfId="1403"/>
    <cellStyle name="SAPBEXunassignedItem 4" xfId="1761"/>
    <cellStyle name="SAPBEXunassignedItem 5" xfId="2017"/>
    <cellStyle name="SAPBEXundefined" xfId="338"/>
    <cellStyle name="SAPBEXundefined 10" xfId="2075"/>
    <cellStyle name="SAPBEXundefined 11" xfId="2413"/>
    <cellStyle name="SAPBEXundefined 12" xfId="2725"/>
    <cellStyle name="SAPBEXundefined 13" xfId="2828"/>
    <cellStyle name="SAPBEXundefined 2" xfId="431"/>
    <cellStyle name="SAPBEXundefined 2 2" xfId="979"/>
    <cellStyle name="SAPBEXundefined 2 3" xfId="1292"/>
    <cellStyle name="SAPBEXundefined 2 4" xfId="1637"/>
    <cellStyle name="SAPBEXundefined 2 5" xfId="1904"/>
    <cellStyle name="SAPBEXundefined 2 6" xfId="2155"/>
    <cellStyle name="SAPBEXundefined 2 7" xfId="2604"/>
    <cellStyle name="SAPBEXundefined 2 8" xfId="2392"/>
    <cellStyle name="SAPBEXundefined 3" xfId="472"/>
    <cellStyle name="SAPBEXundefined 3 2" xfId="1020"/>
    <cellStyle name="SAPBEXundefined 3 3" xfId="1333"/>
    <cellStyle name="SAPBEXundefined 3 4" xfId="1678"/>
    <cellStyle name="SAPBEXundefined 3 5" xfId="1945"/>
    <cellStyle name="SAPBEXundefined 3 6" xfId="2247"/>
    <cellStyle name="SAPBEXundefined 3 7" xfId="2486"/>
    <cellStyle name="SAPBEXundefined 3 8" xfId="2811"/>
    <cellStyle name="SAPBEXundefined 4" xfId="389"/>
    <cellStyle name="SAPBEXundefined 4 2" xfId="937"/>
    <cellStyle name="SAPBEXundefined 4 3" xfId="1251"/>
    <cellStyle name="SAPBEXundefined 4 4" xfId="1597"/>
    <cellStyle name="SAPBEXundefined 4 5" xfId="1410"/>
    <cellStyle name="SAPBEXundefined 4 6" xfId="2059"/>
    <cellStyle name="SAPBEXundefined 4 7" xfId="2689"/>
    <cellStyle name="SAPBEXundefined 4 8" xfId="2865"/>
    <cellStyle name="SAPBEXundefined 5" xfId="502"/>
    <cellStyle name="SAPBEXundefined 5 2" xfId="1050"/>
    <cellStyle name="SAPBEXundefined 5 3" xfId="1363"/>
    <cellStyle name="SAPBEXundefined 5 4" xfId="1708"/>
    <cellStyle name="SAPBEXundefined 5 5" xfId="1975"/>
    <cellStyle name="SAPBEXundefined 5 6" xfId="2277"/>
    <cellStyle name="SAPBEXundefined 5 7" xfId="2702"/>
    <cellStyle name="SAPBEXundefined 5 8" xfId="2878"/>
    <cellStyle name="SAPBEXundefined 6" xfId="889"/>
    <cellStyle name="SAPBEXundefined 6 2" xfId="2705"/>
    <cellStyle name="SAPBEXundefined 6 3" xfId="2881"/>
    <cellStyle name="SAPBEXundefined 7" xfId="842"/>
    <cellStyle name="SAPBEXundefined 8" xfId="1549"/>
    <cellStyle name="SAPBEXundefined 9" xfId="1724"/>
    <cellStyle name="Sheet Title" xfId="638"/>
    <cellStyle name="Spolu 2" xfId="212"/>
    <cellStyle name="Štýl 1" xfId="339"/>
    <cellStyle name="Štýl 1 2" xfId="428"/>
    <cellStyle name="Štýl 1 2 2" xfId="976"/>
    <cellStyle name="Štýl 1 2 3" xfId="1289"/>
    <cellStyle name="Štýl 1 3" xfId="890"/>
    <cellStyle name="Štýl 2" xfId="340"/>
    <cellStyle name="Štýl 2 2" xfId="429"/>
    <cellStyle name="Štýl 2 2 2" xfId="977"/>
    <cellStyle name="Štýl 2 2 3" xfId="1290"/>
    <cellStyle name="Štýl 2 3" xfId="891"/>
    <cellStyle name="Text upozornenia 2" xfId="213"/>
    <cellStyle name="Title" xfId="126"/>
    <cellStyle name="Titul 2" xfId="2465"/>
    <cellStyle name="Titul 3" xfId="2421"/>
    <cellStyle name="Total" xfId="127"/>
    <cellStyle name="Total 10" xfId="1742"/>
    <cellStyle name="Total 11" xfId="2187"/>
    <cellStyle name="Total 12" xfId="2415"/>
    <cellStyle name="Total 13" xfId="2726"/>
    <cellStyle name="Total 14" xfId="2838"/>
    <cellStyle name="Total 2" xfId="158"/>
    <cellStyle name="Total 2 10" xfId="2727"/>
    <cellStyle name="Total 2 11" xfId="2831"/>
    <cellStyle name="Total 2 12" xfId="341"/>
    <cellStyle name="Total 2 2" xfId="186"/>
    <cellStyle name="Total 2 2 2" xfId="929"/>
    <cellStyle name="Total 2 2 3" xfId="1244"/>
    <cellStyle name="Total 2 2 4" xfId="1589"/>
    <cellStyle name="Total 2 2 5" xfId="1499"/>
    <cellStyle name="Total 2 2 6" xfId="2065"/>
    <cellStyle name="Total 2 2 7" xfId="2607"/>
    <cellStyle name="Total 2 2 8" xfId="2808"/>
    <cellStyle name="Total 2 2 9" xfId="382"/>
    <cellStyle name="Total 2 3" xfId="200"/>
    <cellStyle name="Total 2 3 2" xfId="1023"/>
    <cellStyle name="Total 2 3 3" xfId="1336"/>
    <cellStyle name="Total 2 3 4" xfId="1681"/>
    <cellStyle name="Total 2 3 5" xfId="1948"/>
    <cellStyle name="Total 2 3 6" xfId="2250"/>
    <cellStyle name="Total 2 3 7" xfId="2484"/>
    <cellStyle name="Total 2 3 8" xfId="2824"/>
    <cellStyle name="Total 2 3 9" xfId="475"/>
    <cellStyle name="Total 2 4" xfId="892"/>
    <cellStyle name="Total 2 4 2" xfId="2669"/>
    <cellStyle name="Total 2 4 3" xfId="2802"/>
    <cellStyle name="Total 2 5" xfId="841"/>
    <cellStyle name="Total 2 5 2" xfId="2686"/>
    <cellStyle name="Total 2 5 3" xfId="2862"/>
    <cellStyle name="Total 2 6" xfId="1551"/>
    <cellStyle name="Total 2 6 2" xfId="2707"/>
    <cellStyle name="Total 2 6 3" xfId="2883"/>
    <cellStyle name="Total 2 7" xfId="1723"/>
    <cellStyle name="Total 2 8" xfId="2074"/>
    <cellStyle name="Total 2 9" xfId="2416"/>
    <cellStyle name="Total 3" xfId="147"/>
    <cellStyle name="Total 3 10" xfId="2728"/>
    <cellStyle name="Total 3 11" xfId="2771"/>
    <cellStyle name="Total 3 12" xfId="342"/>
    <cellStyle name="Total 3 2" xfId="175"/>
    <cellStyle name="Total 3 2 2" xfId="982"/>
    <cellStyle name="Total 3 2 3" xfId="1295"/>
    <cellStyle name="Total 3 2 4" xfId="1640"/>
    <cellStyle name="Total 3 2 5" xfId="1907"/>
    <cellStyle name="Total 3 2 6" xfId="2153"/>
    <cellStyle name="Total 3 2 7" xfId="2608"/>
    <cellStyle name="Total 3 2 8" xfId="2821"/>
    <cellStyle name="Total 3 2 9" xfId="434"/>
    <cellStyle name="Total 3 3" xfId="189"/>
    <cellStyle name="Total 3 3 2" xfId="1024"/>
    <cellStyle name="Total 3 3 3" xfId="1337"/>
    <cellStyle name="Total 3 3 4" xfId="1682"/>
    <cellStyle name="Total 3 3 5" xfId="1949"/>
    <cellStyle name="Total 3 3 6" xfId="2251"/>
    <cellStyle name="Total 3 3 7" xfId="2483"/>
    <cellStyle name="Total 3 3 8" xfId="2324"/>
    <cellStyle name="Total 3 3 9" xfId="476"/>
    <cellStyle name="Total 3 4" xfId="893"/>
    <cellStyle name="Total 3 4 2" xfId="2687"/>
    <cellStyle name="Total 3 4 3" xfId="2863"/>
    <cellStyle name="Total 3 5" xfId="840"/>
    <cellStyle name="Total 3 5 2" xfId="2700"/>
    <cellStyle name="Total 3 5 3" xfId="2876"/>
    <cellStyle name="Total 3 6" xfId="1552"/>
    <cellStyle name="Total 3 6 2" xfId="2699"/>
    <cellStyle name="Total 3 6 3" xfId="2875"/>
    <cellStyle name="Total 3 7" xfId="1722"/>
    <cellStyle name="Total 3 8" xfId="2171"/>
    <cellStyle name="Total 3 9" xfId="2417"/>
    <cellStyle name="Total 4" xfId="172"/>
    <cellStyle name="Total 4 2" xfId="824"/>
    <cellStyle name="Total 4 3" xfId="817"/>
    <cellStyle name="Total 4 4" xfId="1485"/>
    <cellStyle name="Total 4 5" xfId="1740"/>
    <cellStyle name="Total 4 6" xfId="2182"/>
    <cellStyle name="Total 4 7" xfId="2606"/>
    <cellStyle name="Total 4 8" xfId="2395"/>
    <cellStyle name="Total 4 9" xfId="246"/>
    <cellStyle name="Total 5" xfId="161"/>
    <cellStyle name="Total 5 2" xfId="903"/>
    <cellStyle name="Total 5 3" xfId="762"/>
    <cellStyle name="Total 5 4" xfId="1562"/>
    <cellStyle name="Total 5 5" xfId="1418"/>
    <cellStyle name="Total 5 6" xfId="2101"/>
    <cellStyle name="Total 5 7" xfId="2485"/>
    <cellStyle name="Total 5 8" xfId="2837"/>
    <cellStyle name="Total 5 9" xfId="352"/>
    <cellStyle name="Total 6" xfId="344"/>
    <cellStyle name="Total 6 2" xfId="895"/>
    <cellStyle name="Total 6 3" xfId="839"/>
    <cellStyle name="Total 6 4" xfId="1554"/>
    <cellStyle name="Total 6 5" xfId="1423"/>
    <cellStyle name="Total 6 6" xfId="2073"/>
    <cellStyle name="Total 6 7" xfId="2688"/>
    <cellStyle name="Total 6 8" xfId="2864"/>
    <cellStyle name="Total 7" xfId="784"/>
    <cellStyle name="Total 7 2" xfId="2701"/>
    <cellStyle name="Total 7 3" xfId="2877"/>
    <cellStyle name="Total 8" xfId="939"/>
    <cellStyle name="Total 8 2" xfId="2704"/>
    <cellStyle name="Total 8 3" xfId="2880"/>
    <cellStyle name="Total 9" xfId="1442"/>
    <cellStyle name="vstu_oby_cele" xfId="18"/>
    <cellStyle name="Vstup 2" xfId="2428"/>
    <cellStyle name="Vstup 3" xfId="757"/>
    <cellStyle name="VVŠ" xfId="20"/>
    <cellStyle name="VVŠ 2" xfId="11"/>
    <cellStyle name="VVŠ 2 2" xfId="128"/>
    <cellStyle name="VVŠ Modre" xfId="129"/>
    <cellStyle name="VVŠ Modre 2" xfId="789"/>
    <cellStyle name="výstup koncový" xfId="10"/>
    <cellStyle name="výstup koncový 2" xfId="247"/>
    <cellStyle name="výstup koncový 2 2" xfId="825"/>
    <cellStyle name="výstup koncový 2 3" xfId="2230"/>
    <cellStyle name="výstup koncový 3" xfId="781"/>
    <cellStyle name="Warning Text" xfId="130"/>
  </cellStyles>
  <dxfs count="8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theme="4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</font>
      <border>
        <bottom style="medium">
          <color auto="1"/>
        </bottom>
        <horizontal style="medium">
          <color auto="1"/>
        </horizontal>
      </border>
    </dxf>
    <dxf>
      <fill>
        <patternFill>
          <bgColor theme="5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1" defaultTableStyle="TableStyleMedium2" defaultPivotStyle="PivotStyleLight16">
    <tableStyle name="MySqlDefault" pivot="0" table="0" count="2">
      <tableStyleElement type="wholeTable" dxfId="79"/>
      <tableStyleElement type="headerRow" dxfId="78"/>
    </tableStyle>
    <tableStyle name="PivotStyleLight16 4" table="0" count="11">
      <tableStyleElement type="headerRow" dxfId="77"/>
      <tableStyleElement type="totalRow" dxfId="76"/>
      <tableStyleElement type="firstRowStripe" dxfId="75"/>
      <tableStyleElement type="firstColumnStripe" dxfId="74"/>
      <tableStyleElement type="firstSubtotalColumn" dxfId="73"/>
      <tableStyleElement type="firstSubtotalRow" dxfId="72"/>
      <tableStyleElement type="secon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Štýl kontingenčnej tabuľky 1" table="0" count="1">
      <tableStyleElement type="firstColumn" dxfId="66"/>
    </tableStyle>
    <tableStyle name="Štýl kontingenčnej tabuľky 2" table="0" count="1">
      <tableStyleElement type="totalRow" dxfId="65"/>
    </tableStyle>
    <tableStyle name="Štýl kontingenčnej tabuľky 3" table="0" count="0"/>
    <tableStyle name="Štýl kontingenčnej tabuľky 4" table="0" count="1">
      <tableStyleElement type="firstColumn" dxfId="64"/>
    </tableStyle>
    <tableStyle name="Štýl kontingenčnej tabuľky 5" table="0" count="0"/>
    <tableStyle name="Štýl tabuľky 1" pivot="0" count="1">
      <tableStyleElement type="firstColumn" dxfId="63"/>
    </tableStyle>
    <tableStyle name="PivotStyleLight16 2" table="0" count="11">
      <tableStyleElement type="headerRow" dxfId="62"/>
      <tableStyleElement type="totalRow" dxfId="61"/>
      <tableStyleElement type="firstRowStripe" dxfId="60"/>
      <tableStyleElement type="firstColumnStripe" dxfId="59"/>
      <tableStyleElement type="firstSubtotalColumn" dxfId="58"/>
      <tableStyleElement type="firstSubtotalRow" dxfId="57"/>
      <tableStyleElement type="secondSubtotalRow" dxfId="56"/>
      <tableStyleElement type="firstRowSubheading" dxfId="55"/>
      <tableStyleElement type="secondRowSubheading" dxfId="54"/>
      <tableStyleElement type="pageFieldLabels" dxfId="53"/>
      <tableStyleElement type="pageFieldValues" dxfId="52"/>
    </tableStyle>
    <tableStyle name="PivotStyleLight16 3" table="0" count="11">
      <tableStyleElement type="headerRow" dxfId="51"/>
      <tableStyleElement type="totalRow" dxfId="50"/>
      <tableStyleElement type="firstRowStripe" dxfId="49"/>
      <tableStyleElement type="firstColumnStripe" dxfId="48"/>
      <tableStyleElement type="firstSubtotalColumn" dxfId="47"/>
      <tableStyleElement type="firstSubtotalRow" dxfId="46"/>
      <tableStyleElement type="secondSubtotalRow" dxfId="45"/>
      <tableStyleElement type="firstRowSubheading" dxfId="44"/>
      <tableStyleElement type="secondRowSubheading" dxfId="43"/>
      <tableStyleElement type="pageFieldLabels" dxfId="42"/>
      <tableStyleElement type="pageFieldValues" dxfId="41"/>
    </tableStyle>
    <tableStyle name="TableStyleMedium2 2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</tableStyles>
  <colors>
    <mruColors>
      <color rgb="FFFFCC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1628028</xdr:colOff>
      <xdr:row>1</xdr:row>
      <xdr:rowOff>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B2FF9936-229A-4623-B9B9-A2F22CA7B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0"/>
          <a:ext cx="1631203" cy="598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ejova\AppData\Local\Temp\Rozpis%20dot&#225;cie_11022021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i\AppData\Local\Temp\KK&#352;%202021%20a%202020%20po%20fakultach%20vyplnene%20z%20CRZ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%20USB%20na%20MTF%20k%2020032020\MTF\RP%202021\Rozpis%20dot&#225;cie%20Q_10022021\Rozpis%20dot&#225;cie_13022021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Evidenčné počty zamestnancov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</sheetNames>
    <sheetDataSet>
      <sheetData sheetId="0"/>
      <sheetData sheetId="1"/>
      <sheetData sheetId="2"/>
      <sheetData sheetId="3">
        <row r="5">
          <cell r="B5">
            <v>1</v>
          </cell>
          <cell r="C5">
            <v>5</v>
          </cell>
          <cell r="D5">
            <v>0.6</v>
          </cell>
          <cell r="E5">
            <v>0.2</v>
          </cell>
          <cell r="F5">
            <v>0.12</v>
          </cell>
          <cell r="G5">
            <v>0.108</v>
          </cell>
          <cell r="H5">
            <v>0.308</v>
          </cell>
          <cell r="I5">
            <v>3.1322033898305084</v>
          </cell>
          <cell r="J5">
            <v>3.13</v>
          </cell>
          <cell r="K5"/>
        </row>
        <row r="6">
          <cell r="B6">
            <v>2</v>
          </cell>
          <cell r="C6">
            <v>4</v>
          </cell>
          <cell r="D6">
            <v>0.3</v>
          </cell>
          <cell r="E6">
            <v>0.25</v>
          </cell>
          <cell r="F6">
            <v>7.4999999999999997E-2</v>
          </cell>
          <cell r="G6">
            <v>6.7500000000000004E-2</v>
          </cell>
          <cell r="H6">
            <v>0.3175</v>
          </cell>
          <cell r="I6">
            <v>3.2288135593220342</v>
          </cell>
          <cell r="J6">
            <v>3.23</v>
          </cell>
          <cell r="K6"/>
        </row>
        <row r="7">
          <cell r="B7">
            <v>3</v>
          </cell>
          <cell r="C7">
            <v>5</v>
          </cell>
          <cell r="D7">
            <v>1.3</v>
          </cell>
          <cell r="E7">
            <v>0.2</v>
          </cell>
          <cell r="F7">
            <v>0.26</v>
          </cell>
          <cell r="G7">
            <v>0.23400000000000001</v>
          </cell>
          <cell r="H7">
            <v>0.43400000000000005</v>
          </cell>
          <cell r="I7">
            <v>4.4135593220338993</v>
          </cell>
          <cell r="J7">
            <v>4.41</v>
          </cell>
          <cell r="K7"/>
        </row>
        <row r="8">
          <cell r="B8">
            <v>4</v>
          </cell>
          <cell r="C8">
            <v>10</v>
          </cell>
          <cell r="D8">
            <v>0.5</v>
          </cell>
          <cell r="E8">
            <v>0.1</v>
          </cell>
          <cell r="F8">
            <v>0.05</v>
          </cell>
          <cell r="G8">
            <v>4.5100000000000008E-2</v>
          </cell>
          <cell r="H8">
            <v>0.14510000000000001</v>
          </cell>
          <cell r="I8">
            <v>1.4755932203389832</v>
          </cell>
          <cell r="J8">
            <v>1.48</v>
          </cell>
          <cell r="K8"/>
        </row>
        <row r="9">
          <cell r="B9">
            <v>5</v>
          </cell>
          <cell r="C9">
            <v>11</v>
          </cell>
          <cell r="D9">
            <v>0.8</v>
          </cell>
          <cell r="E9">
            <v>9.0909090909090912E-2</v>
          </cell>
          <cell r="F9">
            <v>7.2727272727272738E-2</v>
          </cell>
          <cell r="G9">
            <v>6.545454545454546E-2</v>
          </cell>
          <cell r="H9">
            <v>0.15636363636363637</v>
          </cell>
          <cell r="I9">
            <v>1.5901386748844377</v>
          </cell>
          <cell r="J9">
            <v>1.59</v>
          </cell>
          <cell r="K9"/>
        </row>
        <row r="10">
          <cell r="B10">
            <v>6</v>
          </cell>
          <cell r="C10">
            <v>8</v>
          </cell>
          <cell r="D10">
            <v>0.2</v>
          </cell>
          <cell r="E10">
            <v>0.125</v>
          </cell>
          <cell r="F10">
            <v>2.5000000000000001E-2</v>
          </cell>
          <cell r="G10">
            <v>2.2500000000000003E-2</v>
          </cell>
          <cell r="H10">
            <v>0.14749999999999999</v>
          </cell>
          <cell r="I10">
            <v>1.5</v>
          </cell>
          <cell r="J10">
            <v>1.5</v>
          </cell>
          <cell r="K10"/>
        </row>
        <row r="11">
          <cell r="B11">
            <v>7</v>
          </cell>
          <cell r="C11">
            <v>10.5</v>
          </cell>
          <cell r="D11">
            <v>0.25</v>
          </cell>
          <cell r="E11">
            <v>9.5238095238095233E-2</v>
          </cell>
          <cell r="F11">
            <v>2.3809523809523808E-2</v>
          </cell>
          <cell r="G11">
            <v>2.1428571428571429E-2</v>
          </cell>
          <cell r="H11">
            <v>0.11666666666666667</v>
          </cell>
          <cell r="I11">
            <v>1.1864406779661019</v>
          </cell>
          <cell r="J11">
            <v>1.19</v>
          </cell>
          <cell r="K11"/>
        </row>
        <row r="12">
          <cell r="B12">
            <v>8</v>
          </cell>
          <cell r="C12">
            <v>10.5</v>
          </cell>
          <cell r="D12">
            <v>0.4</v>
          </cell>
          <cell r="E12">
            <v>9.5238095238095233E-2</v>
          </cell>
          <cell r="F12">
            <v>3.8095238095238099E-2</v>
          </cell>
          <cell r="G12">
            <v>3.4285714285714287E-2</v>
          </cell>
          <cell r="H12">
            <v>0.12952380952380951</v>
          </cell>
          <cell r="I12">
            <v>1.3171912832929782</v>
          </cell>
          <cell r="J12">
            <v>1.32</v>
          </cell>
          <cell r="K12"/>
        </row>
        <row r="13">
          <cell r="B13">
            <v>9</v>
          </cell>
          <cell r="C13">
            <v>12</v>
          </cell>
          <cell r="D13">
            <v>0.25</v>
          </cell>
          <cell r="E13">
            <v>8.3333333333333329E-2</v>
          </cell>
          <cell r="F13">
            <v>2.0833333333333332E-2</v>
          </cell>
          <cell r="G13">
            <v>1.8749999999999999E-2</v>
          </cell>
          <cell r="H13">
            <v>0.10208333333333333</v>
          </cell>
          <cell r="I13">
            <v>1.0381355932203391</v>
          </cell>
          <cell r="J13">
            <v>1.04</v>
          </cell>
          <cell r="K13"/>
        </row>
        <row r="14">
          <cell r="B14">
            <v>10</v>
          </cell>
          <cell r="C14">
            <v>12</v>
          </cell>
          <cell r="D14">
            <v>0.2</v>
          </cell>
          <cell r="E14">
            <v>8.3333333333333329E-2</v>
          </cell>
          <cell r="F14">
            <v>1.6666666666666666E-2</v>
          </cell>
          <cell r="G14">
            <v>1.4999999999999999E-2</v>
          </cell>
          <cell r="H14">
            <v>9.8333333333333328E-2</v>
          </cell>
          <cell r="I14">
            <v>1</v>
          </cell>
          <cell r="J14">
            <v>1</v>
          </cell>
          <cell r="K14"/>
        </row>
        <row r="15">
          <cell r="B15">
            <v>11</v>
          </cell>
          <cell r="C15">
            <v>12</v>
          </cell>
          <cell r="D15">
            <v>0.2</v>
          </cell>
          <cell r="E15">
            <v>8.3333333333333329E-2</v>
          </cell>
          <cell r="F15">
            <v>1.6666666666666666E-2</v>
          </cell>
          <cell r="G15">
            <v>1.4999999999999999E-2</v>
          </cell>
          <cell r="H15">
            <v>9.8333333333333328E-2</v>
          </cell>
          <cell r="I15">
            <v>1</v>
          </cell>
          <cell r="J15">
            <v>1</v>
          </cell>
          <cell r="K15"/>
        </row>
        <row r="16">
          <cell r="B16">
            <v>12</v>
          </cell>
          <cell r="C16">
            <v>9</v>
          </cell>
          <cell r="D16">
            <v>0.3</v>
          </cell>
          <cell r="E16">
            <v>0.1111111111111111</v>
          </cell>
          <cell r="F16">
            <v>3.3333333333333333E-2</v>
          </cell>
          <cell r="G16">
            <v>0.03</v>
          </cell>
          <cell r="H16">
            <v>0.1411111111111111</v>
          </cell>
          <cell r="I16">
            <v>1.4350282485875707</v>
          </cell>
          <cell r="J16">
            <v>1.44</v>
          </cell>
          <cell r="K16"/>
        </row>
        <row r="17">
          <cell r="B17">
            <v>13</v>
          </cell>
          <cell r="C17">
            <v>11</v>
          </cell>
          <cell r="D17">
            <v>0.2</v>
          </cell>
          <cell r="E17">
            <v>9.0909090909090912E-2</v>
          </cell>
          <cell r="F17">
            <v>1.8181818181818184E-2</v>
          </cell>
          <cell r="G17">
            <v>1.6363636363636365E-2</v>
          </cell>
          <cell r="H17">
            <v>0.10727272727272727</v>
          </cell>
          <cell r="I17">
            <v>1.0909090909090908</v>
          </cell>
          <cell r="J17">
            <v>1.0900000000000001</v>
          </cell>
          <cell r="K17"/>
        </row>
        <row r="18">
          <cell r="B18">
            <v>14</v>
          </cell>
          <cell r="C18">
            <v>10.5</v>
          </cell>
          <cell r="D18">
            <v>0.25</v>
          </cell>
          <cell r="E18">
            <v>9.5238095238095233E-2</v>
          </cell>
          <cell r="F18">
            <v>2.3809523809523808E-2</v>
          </cell>
          <cell r="G18">
            <v>2.1428571428571429E-2</v>
          </cell>
          <cell r="H18">
            <v>0.11666666666666667</v>
          </cell>
          <cell r="I18">
            <v>1.1864406779661019</v>
          </cell>
          <cell r="J18">
            <v>1.19</v>
          </cell>
          <cell r="K18"/>
        </row>
        <row r="19">
          <cell r="B19">
            <v>15</v>
          </cell>
          <cell r="C19">
            <v>11</v>
          </cell>
          <cell r="D19">
            <v>0.2</v>
          </cell>
          <cell r="E19">
            <v>9.0909090909090912E-2</v>
          </cell>
          <cell r="F19">
            <v>1.8181818181818184E-2</v>
          </cell>
          <cell r="G19">
            <v>1.6363636363636365E-2</v>
          </cell>
          <cell r="H19">
            <v>0.10727272727272727</v>
          </cell>
          <cell r="I19">
            <v>1.0909090909090908</v>
          </cell>
          <cell r="J19">
            <v>1.0900000000000001</v>
          </cell>
          <cell r="K19"/>
        </row>
        <row r="20">
          <cell r="B20">
            <v>16</v>
          </cell>
          <cell r="C20">
            <v>6.5</v>
          </cell>
          <cell r="D20">
            <v>0.6</v>
          </cell>
          <cell r="E20">
            <v>0.15384615384615385</v>
          </cell>
          <cell r="F20">
            <v>9.2307692307692299E-2</v>
          </cell>
          <cell r="G20">
            <v>8.3176923076923079E-2</v>
          </cell>
          <cell r="H20">
            <v>0.23702307692307695</v>
          </cell>
          <cell r="I20">
            <v>2.4104041720990876</v>
          </cell>
          <cell r="J20">
            <v>2.41</v>
          </cell>
          <cell r="K20"/>
        </row>
        <row r="21">
          <cell r="B21">
            <v>17</v>
          </cell>
          <cell r="C21">
            <v>6</v>
          </cell>
          <cell r="D21">
            <v>0.3</v>
          </cell>
          <cell r="E21">
            <v>0.16666666666666666</v>
          </cell>
          <cell r="F21">
            <v>4.9999999999999996E-2</v>
          </cell>
          <cell r="G21">
            <v>4.4999999999999998E-2</v>
          </cell>
          <cell r="H21">
            <v>0.21166666666666667</v>
          </cell>
          <cell r="I21">
            <v>2.152542372881356</v>
          </cell>
          <cell r="J21">
            <v>2.15</v>
          </cell>
          <cell r="K21"/>
        </row>
        <row r="22">
          <cell r="B22">
            <v>18</v>
          </cell>
          <cell r="C22">
            <v>5</v>
          </cell>
          <cell r="D22">
            <v>0.75</v>
          </cell>
          <cell r="E22">
            <v>0.2</v>
          </cell>
          <cell r="F22">
            <v>0.15</v>
          </cell>
          <cell r="G22">
            <v>0.13500000000000001</v>
          </cell>
          <cell r="H22">
            <v>0.33500000000000002</v>
          </cell>
          <cell r="I22">
            <v>3.4067796610169494</v>
          </cell>
          <cell r="J22">
            <v>3.41</v>
          </cell>
          <cell r="K22"/>
        </row>
        <row r="23">
          <cell r="B23">
            <v>19</v>
          </cell>
          <cell r="C23">
            <v>8</v>
          </cell>
          <cell r="D23">
            <v>0.75</v>
          </cell>
          <cell r="E23">
            <v>0.125</v>
          </cell>
          <cell r="F23">
            <v>9.375E-2</v>
          </cell>
          <cell r="G23">
            <v>8.4375000000000006E-2</v>
          </cell>
          <cell r="H23">
            <v>0.20937500000000001</v>
          </cell>
          <cell r="I23">
            <v>2.1292372881355934</v>
          </cell>
          <cell r="J23">
            <v>2.13</v>
          </cell>
          <cell r="K23"/>
        </row>
        <row r="24">
          <cell r="B24">
            <v>20</v>
          </cell>
          <cell r="C24">
            <v>13</v>
          </cell>
          <cell r="D24">
            <v>0.45</v>
          </cell>
          <cell r="E24">
            <v>7.6923076923076927E-2</v>
          </cell>
          <cell r="F24">
            <v>3.4615384615384617E-2</v>
          </cell>
          <cell r="G24">
            <v>3.1153846153846157E-2</v>
          </cell>
          <cell r="H24">
            <v>0.10807692307692308</v>
          </cell>
          <cell r="I24">
            <v>1.0990873533246417</v>
          </cell>
          <cell r="J24">
            <v>1.1000000000000001</v>
          </cell>
          <cell r="K24"/>
        </row>
        <row r="25">
          <cell r="B25">
            <v>0</v>
          </cell>
          <cell r="C25"/>
          <cell r="D25"/>
          <cell r="E25"/>
          <cell r="F25"/>
          <cell r="G25"/>
          <cell r="H25"/>
          <cell r="I25"/>
          <cell r="J25"/>
          <cell r="K25"/>
        </row>
        <row r="26">
          <cell r="B26" t="str">
            <v>K1</v>
          </cell>
          <cell r="C26" t="str">
            <v>modelový pomer priemerného platu odborných  zamestnancov k priemernému platu učiteľov bez PhD</v>
          </cell>
          <cell r="D26"/>
          <cell r="E26"/>
          <cell r="F26">
            <v>0.9</v>
          </cell>
          <cell r="G26"/>
          <cell r="H26"/>
          <cell r="I26"/>
          <cell r="J26"/>
          <cell r="K26"/>
        </row>
        <row r="29">
          <cell r="J29">
            <v>0.31073446327683618</v>
          </cell>
        </row>
        <row r="30">
          <cell r="J30">
            <v>0.24858757062146894</v>
          </cell>
        </row>
        <row r="34">
          <cell r="E34">
            <v>0.7</v>
          </cell>
          <cell r="G34">
            <v>1</v>
          </cell>
        </row>
        <row r="35">
          <cell r="E35">
            <v>1.5</v>
          </cell>
        </row>
        <row r="36">
          <cell r="E36">
            <v>4</v>
          </cell>
        </row>
        <row r="37">
          <cell r="E37">
            <v>0.7</v>
          </cell>
          <cell r="G37">
            <v>1</v>
          </cell>
        </row>
        <row r="38">
          <cell r="E38">
            <v>0.7</v>
          </cell>
          <cell r="G38">
            <v>1</v>
          </cell>
        </row>
      </sheetData>
      <sheetData sheetId="4"/>
      <sheetData sheetId="5"/>
      <sheetData sheetId="6">
        <row r="11">
          <cell r="C11">
            <v>0.35199999999999998</v>
          </cell>
        </row>
        <row r="29">
          <cell r="C29">
            <v>2486425</v>
          </cell>
        </row>
        <row r="32">
          <cell r="C32">
            <v>199451210</v>
          </cell>
        </row>
        <row r="33">
          <cell r="C33">
            <v>169533529</v>
          </cell>
        </row>
        <row r="34">
          <cell r="C34">
            <v>29917681</v>
          </cell>
        </row>
        <row r="37">
          <cell r="C37">
            <v>0.4</v>
          </cell>
        </row>
        <row r="38">
          <cell r="C38">
            <v>0.38740000000000002</v>
          </cell>
        </row>
        <row r="39">
          <cell r="C39">
            <v>0.1203</v>
          </cell>
        </row>
        <row r="40">
          <cell r="C40">
            <v>9.2299999999999993E-2</v>
          </cell>
        </row>
        <row r="47">
          <cell r="C47">
            <v>100000</v>
          </cell>
        </row>
        <row r="48">
          <cell r="C48">
            <v>2000000</v>
          </cell>
        </row>
        <row r="49">
          <cell r="C49">
            <v>1200000</v>
          </cell>
        </row>
        <row r="51">
          <cell r="C51">
            <v>1000000</v>
          </cell>
        </row>
        <row r="53">
          <cell r="C53">
            <v>5000000</v>
          </cell>
        </row>
        <row r="57">
          <cell r="C57">
            <v>5225696</v>
          </cell>
        </row>
        <row r="60">
          <cell r="C60">
            <v>10327612</v>
          </cell>
        </row>
        <row r="62">
          <cell r="C62">
            <v>28982836</v>
          </cell>
        </row>
        <row r="67">
          <cell r="C67">
            <v>160588271</v>
          </cell>
        </row>
        <row r="69">
          <cell r="C69">
            <v>159428271</v>
          </cell>
        </row>
        <row r="70">
          <cell r="C70">
            <v>1160000</v>
          </cell>
        </row>
        <row r="73">
          <cell r="C73">
            <v>0.85</v>
          </cell>
        </row>
        <row r="74">
          <cell r="C74">
            <v>0.15</v>
          </cell>
        </row>
        <row r="75">
          <cell r="C75">
            <v>0.92</v>
          </cell>
        </row>
        <row r="76">
          <cell r="C76">
            <v>0.08</v>
          </cell>
        </row>
        <row r="78">
          <cell r="C78">
            <v>0.9</v>
          </cell>
        </row>
        <row r="79">
          <cell r="C79">
            <v>0.9</v>
          </cell>
        </row>
        <row r="80">
          <cell r="C80">
            <v>0.43</v>
          </cell>
        </row>
        <row r="81">
          <cell r="C81">
            <v>0.17200000000000001</v>
          </cell>
        </row>
        <row r="82">
          <cell r="C82">
            <v>0.25800000000000001</v>
          </cell>
        </row>
        <row r="84">
          <cell r="C84">
            <v>0.03</v>
          </cell>
        </row>
        <row r="85">
          <cell r="C85">
            <v>0.09</v>
          </cell>
        </row>
        <row r="86">
          <cell r="C86">
            <v>0.1</v>
          </cell>
        </row>
        <row r="87">
          <cell r="C87">
            <v>0.1</v>
          </cell>
        </row>
        <row r="88">
          <cell r="C88">
            <v>0.22500000000000001</v>
          </cell>
        </row>
        <row r="89">
          <cell r="C89">
            <v>0</v>
          </cell>
        </row>
        <row r="90">
          <cell r="C90">
            <v>2.5000000000000105E-2</v>
          </cell>
        </row>
        <row r="121">
          <cell r="C121">
            <v>1.4000000000000001</v>
          </cell>
        </row>
        <row r="125">
          <cell r="C125">
            <v>7</v>
          </cell>
        </row>
        <row r="126">
          <cell r="C126">
            <v>7</v>
          </cell>
        </row>
        <row r="132">
          <cell r="C132">
            <v>0.94</v>
          </cell>
        </row>
        <row r="133">
          <cell r="C133">
            <v>2</v>
          </cell>
        </row>
        <row r="134">
          <cell r="C134">
            <v>500</v>
          </cell>
        </row>
        <row r="135">
          <cell r="C135">
            <v>1200</v>
          </cell>
        </row>
        <row r="137">
          <cell r="C137">
            <v>2021</v>
          </cell>
        </row>
        <row r="138">
          <cell r="C138">
            <v>2020</v>
          </cell>
        </row>
        <row r="139">
          <cell r="C139">
            <v>2019</v>
          </cell>
        </row>
        <row r="140">
          <cell r="C140">
            <v>2018</v>
          </cell>
        </row>
        <row r="141">
          <cell r="C141">
            <v>2017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AN1">
            <v>109280.5</v>
          </cell>
          <cell r="AO1" t="str">
            <v>bez pay, len I. a II.st. len den</v>
          </cell>
          <cell r="AP1">
            <v>24624.5</v>
          </cell>
          <cell r="AQ1">
            <v>24205</v>
          </cell>
          <cell r="AR1">
            <v>97052.5</v>
          </cell>
          <cell r="BF1">
            <v>111801.65000000007</v>
          </cell>
          <cell r="BH1"/>
          <cell r="BI1">
            <v>139987.5</v>
          </cell>
          <cell r="BJ1">
            <v>3485</v>
          </cell>
        </row>
        <row r="2">
          <cell r="D2" t="str">
            <v>university</v>
          </cell>
          <cell r="E2" t="str">
            <v>fakulta</v>
          </cell>
          <cell r="AN2" t="str">
            <v>počet neplatiacich (uč+PaT polovica)</v>
          </cell>
          <cell r="AO2" t="str">
            <v>zaklad pre motivacne_stipendia_zakladne</v>
          </cell>
          <cell r="AP2" t="str">
            <v>zaklad pre motivacne_odborove</v>
          </cell>
          <cell r="AQ2" t="str">
            <v>pocet pre TaS vybrane odbory</v>
          </cell>
          <cell r="AR2" t="str">
            <v>pocet studetnov v DF - kultura</v>
          </cell>
          <cell r="BF2" t="str">
            <v>PPS</v>
          </cell>
          <cell r="BG2" t="str">
            <v>PPS*KO</v>
          </cell>
          <cell r="BH2" t="str">
            <v>PPS*KO*KAP</v>
          </cell>
          <cell r="BI2" t="str">
            <v>student</v>
          </cell>
          <cell r="BJ2" t="str">
            <v>DrŠ denní neplatiaci</v>
          </cell>
        </row>
        <row r="3">
          <cell r="D3" t="str">
            <v>Trnavská univerzita v Trnave</v>
          </cell>
          <cell r="E3" t="str">
            <v>Filozofická fakulta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BF3">
            <v>0</v>
          </cell>
          <cell r="BG3">
            <v>0</v>
          </cell>
          <cell r="BH3">
            <v>0</v>
          </cell>
          <cell r="BI3">
            <v>1</v>
          </cell>
          <cell r="BJ3">
            <v>0</v>
          </cell>
        </row>
        <row r="4">
          <cell r="D4" t="str">
            <v>Univerzita Konštantína Filozofa v Nitre</v>
          </cell>
          <cell r="E4" t="str">
            <v>Fakulta prírodných vied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BF4">
            <v>0</v>
          </cell>
          <cell r="BG4">
            <v>0</v>
          </cell>
          <cell r="BH4">
            <v>0</v>
          </cell>
          <cell r="BI4">
            <v>1</v>
          </cell>
          <cell r="BJ4">
            <v>0</v>
          </cell>
        </row>
        <row r="5">
          <cell r="D5" t="str">
            <v>Akadémia Policajného zboru</v>
          </cell>
          <cell r="E5">
            <v>0</v>
          </cell>
          <cell r="AN5">
            <v>8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BF5">
            <v>0</v>
          </cell>
          <cell r="BG5">
            <v>0</v>
          </cell>
          <cell r="BH5">
            <v>0</v>
          </cell>
          <cell r="BI5">
            <v>23</v>
          </cell>
          <cell r="BJ5">
            <v>0</v>
          </cell>
        </row>
        <row r="6">
          <cell r="D6" t="str">
            <v>Univerzita Pavla Jozefa Šafárika v Košiciach</v>
          </cell>
          <cell r="E6" t="str">
            <v>Lekárska fakulta</v>
          </cell>
          <cell r="AN6">
            <v>20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BF6">
            <v>0</v>
          </cell>
          <cell r="BG6">
            <v>0</v>
          </cell>
          <cell r="BH6">
            <v>0</v>
          </cell>
          <cell r="BI6">
            <v>20</v>
          </cell>
          <cell r="BJ6">
            <v>0</v>
          </cell>
        </row>
        <row r="7">
          <cell r="D7" t="str">
            <v>Univerzita Pavla Jozefa Šafárika v Košiciach</v>
          </cell>
          <cell r="E7" t="str">
            <v>Lekárska fakulta</v>
          </cell>
          <cell r="AN7">
            <v>12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BF7">
            <v>0</v>
          </cell>
          <cell r="BG7">
            <v>0</v>
          </cell>
          <cell r="BH7">
            <v>0</v>
          </cell>
          <cell r="BI7">
            <v>12</v>
          </cell>
          <cell r="BJ7">
            <v>0</v>
          </cell>
        </row>
        <row r="8">
          <cell r="D8" t="str">
            <v>Univerzita Pavla Jozefa Šafárika v Košiciach</v>
          </cell>
          <cell r="E8" t="str">
            <v>Právnická fakulta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BF8">
            <v>0</v>
          </cell>
          <cell r="BG8">
            <v>0</v>
          </cell>
          <cell r="BH8">
            <v>0</v>
          </cell>
          <cell r="BI8">
            <v>1</v>
          </cell>
          <cell r="BJ8">
            <v>0</v>
          </cell>
        </row>
        <row r="9">
          <cell r="D9" t="str">
            <v>Univerzita Pavla Jozefa Šafárika v Košiciach</v>
          </cell>
          <cell r="E9" t="str">
            <v>Lekárska fakulta</v>
          </cell>
          <cell r="AN9">
            <v>1221</v>
          </cell>
          <cell r="AO9">
            <v>1269</v>
          </cell>
          <cell r="AP9">
            <v>0</v>
          </cell>
          <cell r="AQ9">
            <v>1221</v>
          </cell>
          <cell r="AR9">
            <v>1221</v>
          </cell>
          <cell r="BF9">
            <v>1429.6</v>
          </cell>
          <cell r="BG9">
            <v>4474.6479999999992</v>
          </cell>
          <cell r="BH9">
            <v>4350.3522222222218</v>
          </cell>
          <cell r="BI9">
            <v>1269</v>
          </cell>
          <cell r="BJ9">
            <v>0</v>
          </cell>
        </row>
        <row r="10">
          <cell r="D10" t="str">
            <v>Univerzita Pavla Jozefa Šafárika v Košiciach</v>
          </cell>
          <cell r="E10" t="str">
            <v>Lekárska fakulta</v>
          </cell>
          <cell r="AN10">
            <v>31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31</v>
          </cell>
          <cell r="BJ10">
            <v>0</v>
          </cell>
        </row>
        <row r="11">
          <cell r="D11" t="str">
            <v>Univerzita Pavla Jozefa Šafárika v Košiciach</v>
          </cell>
          <cell r="E11" t="str">
            <v>Právnická fakulta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2</v>
          </cell>
          <cell r="BJ11">
            <v>0</v>
          </cell>
        </row>
        <row r="12">
          <cell r="D12" t="str">
            <v>Univerzita Pavla Jozefa Šafárika v Košiciach</v>
          </cell>
          <cell r="E12" t="str">
            <v>Prírodovedecká fakulta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</v>
          </cell>
          <cell r="BJ12">
            <v>0</v>
          </cell>
        </row>
        <row r="13">
          <cell r="D13" t="str">
            <v>Univerzita Pavla Jozefa Šafárika v Košiciach</v>
          </cell>
          <cell r="E13" t="str">
            <v>Lekárska fakulta</v>
          </cell>
          <cell r="AN13">
            <v>32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32</v>
          </cell>
          <cell r="BJ13">
            <v>0</v>
          </cell>
        </row>
        <row r="14">
          <cell r="D14" t="str">
            <v>Univerzita Pavla Jozefa Šafárika v Košiciach</v>
          </cell>
          <cell r="E14" t="str">
            <v>Lekárska fakulta</v>
          </cell>
          <cell r="AN14">
            <v>10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10</v>
          </cell>
          <cell r="BJ14">
            <v>0</v>
          </cell>
        </row>
        <row r="15">
          <cell r="D15" t="str">
            <v>Technická univerzita v Košiciach</v>
          </cell>
          <cell r="E15" t="str">
            <v>Letecká fakulta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4</v>
          </cell>
          <cell r="BJ15">
            <v>0</v>
          </cell>
        </row>
        <row r="16">
          <cell r="D16" t="str">
            <v>Technická univerzita v Košiciach</v>
          </cell>
          <cell r="E16" t="str">
            <v>Stavebná fakulta</v>
          </cell>
          <cell r="AN16">
            <v>6</v>
          </cell>
          <cell r="AO16">
            <v>0</v>
          </cell>
          <cell r="AP16">
            <v>0</v>
          </cell>
          <cell r="AQ16">
            <v>6</v>
          </cell>
          <cell r="AR16">
            <v>6</v>
          </cell>
          <cell r="BF16">
            <v>18</v>
          </cell>
          <cell r="BG16">
            <v>38.339999999999996</v>
          </cell>
          <cell r="BH16">
            <v>38.339999999999996</v>
          </cell>
          <cell r="BI16">
            <v>11</v>
          </cell>
          <cell r="BJ16">
            <v>6</v>
          </cell>
        </row>
        <row r="17">
          <cell r="D17" t="str">
            <v>Technická univerzita v Košiciach</v>
          </cell>
          <cell r="E17" t="str">
            <v>Strojnícka fakulta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16</v>
          </cell>
          <cell r="BJ17">
            <v>0</v>
          </cell>
        </row>
        <row r="18">
          <cell r="D18" t="str">
            <v>Vysoká škola ekonómie a manažmentu verejnej správy v Bratislave</v>
          </cell>
          <cell r="E18">
            <v>0</v>
          </cell>
          <cell r="AN18">
            <v>266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266</v>
          </cell>
          <cell r="BJ18">
            <v>0</v>
          </cell>
        </row>
        <row r="19">
          <cell r="D19" t="str">
            <v>Vysoká škola ekonómie a manažmentu verejnej správy v Bratislave</v>
          </cell>
          <cell r="E19">
            <v>0</v>
          </cell>
          <cell r="AN19">
            <v>440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440</v>
          </cell>
          <cell r="BJ19">
            <v>0</v>
          </cell>
        </row>
        <row r="20">
          <cell r="D20" t="str">
            <v>Vysoká škola ekonómie a manažmentu verejnej správy v Bratislave</v>
          </cell>
          <cell r="E20">
            <v>0</v>
          </cell>
          <cell r="AN20">
            <v>675</v>
          </cell>
          <cell r="AO20">
            <v>675</v>
          </cell>
          <cell r="AP20">
            <v>0</v>
          </cell>
          <cell r="AQ20">
            <v>0</v>
          </cell>
          <cell r="AR20">
            <v>675</v>
          </cell>
          <cell r="BF20">
            <v>617.4</v>
          </cell>
          <cell r="BG20">
            <v>642.096</v>
          </cell>
          <cell r="BH20">
            <v>598.70472673559823</v>
          </cell>
          <cell r="BI20">
            <v>675</v>
          </cell>
          <cell r="BJ20">
            <v>0</v>
          </cell>
        </row>
        <row r="21">
          <cell r="D21" t="str">
            <v>Vysoká škola ekonómie a manažmentu verejnej správy v Bratislave</v>
          </cell>
          <cell r="E21">
            <v>0</v>
          </cell>
          <cell r="AN21">
            <v>226</v>
          </cell>
          <cell r="AO21">
            <v>226</v>
          </cell>
          <cell r="AP21">
            <v>0</v>
          </cell>
          <cell r="AQ21">
            <v>0</v>
          </cell>
          <cell r="AR21">
            <v>226</v>
          </cell>
          <cell r="BF21">
            <v>200.8</v>
          </cell>
          <cell r="BG21">
            <v>208.83200000000002</v>
          </cell>
          <cell r="BH21">
            <v>194.71964549483016</v>
          </cell>
          <cell r="BI21">
            <v>226</v>
          </cell>
          <cell r="BJ21">
            <v>0</v>
          </cell>
        </row>
        <row r="22">
          <cell r="D22" t="str">
            <v>Univerzita veterinárskeho lekárstva a farmácie v Košiciach</v>
          </cell>
          <cell r="E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</v>
          </cell>
          <cell r="BJ22">
            <v>0</v>
          </cell>
        </row>
        <row r="23">
          <cell r="D23" t="str">
            <v>Univerzita veterinárskeho lekárstva a farmácie v Košiciach</v>
          </cell>
          <cell r="E23">
            <v>0</v>
          </cell>
          <cell r="AN23">
            <v>591</v>
          </cell>
          <cell r="AO23">
            <v>635</v>
          </cell>
          <cell r="AP23">
            <v>0</v>
          </cell>
          <cell r="AQ23">
            <v>0</v>
          </cell>
          <cell r="AR23">
            <v>591</v>
          </cell>
          <cell r="BF23">
            <v>668.8</v>
          </cell>
          <cell r="BG23">
            <v>2949.4079999999999</v>
          </cell>
          <cell r="BH23">
            <v>2125.6994594594594</v>
          </cell>
          <cell r="BI23">
            <v>635</v>
          </cell>
          <cell r="BJ23">
            <v>0</v>
          </cell>
        </row>
        <row r="24">
          <cell r="D24" t="str">
            <v>Akadémia ozbrojených síl generála Milana Rastislava Štefánika</v>
          </cell>
          <cell r="E24">
            <v>0</v>
          </cell>
          <cell r="AN24">
            <v>3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</v>
          </cell>
          <cell r="BJ24">
            <v>0</v>
          </cell>
        </row>
        <row r="25">
          <cell r="D25" t="str">
            <v>Akadémia ozbrojených síl generála Milana Rastislava Štefánika</v>
          </cell>
          <cell r="E25">
            <v>0</v>
          </cell>
          <cell r="AN25">
            <v>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2</v>
          </cell>
          <cell r="BJ25">
            <v>0</v>
          </cell>
        </row>
        <row r="26">
          <cell r="D26" t="str">
            <v>Akadémia ozbrojených síl generála Milana Rastislava Štefánika</v>
          </cell>
          <cell r="E26">
            <v>0</v>
          </cell>
          <cell r="AN26">
            <v>11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11</v>
          </cell>
          <cell r="BJ26">
            <v>0</v>
          </cell>
        </row>
        <row r="27">
          <cell r="D27" t="str">
            <v>Univerzita veterinárskeho lekárstva a farmácie v Košiciach</v>
          </cell>
          <cell r="E27">
            <v>0</v>
          </cell>
          <cell r="AN27">
            <v>71</v>
          </cell>
          <cell r="AO27">
            <v>72</v>
          </cell>
          <cell r="AP27">
            <v>0</v>
          </cell>
          <cell r="AQ27">
            <v>0</v>
          </cell>
          <cell r="AR27">
            <v>71</v>
          </cell>
          <cell r="BF27">
            <v>71.099999999999994</v>
          </cell>
          <cell r="BG27">
            <v>313.55099999999999</v>
          </cell>
          <cell r="BH27">
            <v>223.965</v>
          </cell>
          <cell r="BI27">
            <v>72</v>
          </cell>
          <cell r="BJ27">
            <v>0</v>
          </cell>
        </row>
        <row r="28">
          <cell r="D28" t="str">
            <v>Univerzita veterinárskeho lekárstva a farmácie v Košiciach</v>
          </cell>
          <cell r="E28">
            <v>0</v>
          </cell>
          <cell r="AN28">
            <v>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</v>
          </cell>
          <cell r="BJ28">
            <v>0</v>
          </cell>
        </row>
        <row r="29">
          <cell r="D29" t="str">
            <v>Univerzita veterinárskeho lekárstva a farmácie v Košiciach</v>
          </cell>
          <cell r="E29">
            <v>0</v>
          </cell>
          <cell r="AN29">
            <v>260</v>
          </cell>
          <cell r="AO29">
            <v>260</v>
          </cell>
          <cell r="AP29">
            <v>0</v>
          </cell>
          <cell r="AQ29">
            <v>0</v>
          </cell>
          <cell r="AR29">
            <v>260</v>
          </cell>
          <cell r="BF29">
            <v>262.39999999999998</v>
          </cell>
          <cell r="BG29">
            <v>1157.184</v>
          </cell>
          <cell r="BH29">
            <v>829.02734328358213</v>
          </cell>
          <cell r="BI29">
            <v>260</v>
          </cell>
          <cell r="BJ29">
            <v>0</v>
          </cell>
        </row>
        <row r="30">
          <cell r="D30" t="str">
            <v>Vysoká škola DTI</v>
          </cell>
          <cell r="E30">
            <v>0</v>
          </cell>
          <cell r="AN30">
            <v>11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11</v>
          </cell>
          <cell r="BJ30">
            <v>0</v>
          </cell>
        </row>
        <row r="31">
          <cell r="D31" t="str">
            <v>Slovenská technická univerzita v Bratislave</v>
          </cell>
          <cell r="E31" t="str">
            <v>Stavebná fakulta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0</v>
          </cell>
        </row>
        <row r="32">
          <cell r="D32" t="str">
            <v>Slovenská technická univerzita v Bratislave</v>
          </cell>
          <cell r="E32" t="str">
            <v>Fakulta elektrotechniky a informatiky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3</v>
          </cell>
          <cell r="BJ32">
            <v>0</v>
          </cell>
        </row>
        <row r="33">
          <cell r="D33" t="str">
            <v>Slovenská technická univerzita v Bratislave</v>
          </cell>
          <cell r="E33" t="str">
            <v>Fakulta elektrotechniky a informatiky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0</v>
          </cell>
        </row>
        <row r="34">
          <cell r="D34" t="str">
            <v>Slovenská technická univerzita v Bratislave</v>
          </cell>
          <cell r="E34" t="str">
            <v>Materiálovotechnologická fakulta so sídlom v Trnave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1</v>
          </cell>
          <cell r="BJ34">
            <v>0</v>
          </cell>
        </row>
        <row r="35">
          <cell r="D35" t="str">
            <v>Technická univerzita vo Zvolene</v>
          </cell>
          <cell r="E35" t="str">
            <v>Lesnícka fakulta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</v>
          </cell>
          <cell r="BJ35">
            <v>0</v>
          </cell>
        </row>
        <row r="36">
          <cell r="D36" t="str">
            <v>Slovenská technická univerzita v Bratislave</v>
          </cell>
          <cell r="E36" t="str">
            <v>Fakulta elektrotechniky a informatiky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0</v>
          </cell>
        </row>
        <row r="37">
          <cell r="D37" t="str">
            <v>Slovenská technická univerzita v Bratislave</v>
          </cell>
          <cell r="E37" t="str">
            <v>Fakulta chemickej a potravinárskej technológie</v>
          </cell>
          <cell r="AN37">
            <v>17</v>
          </cell>
          <cell r="AO37">
            <v>0</v>
          </cell>
          <cell r="AP37">
            <v>0</v>
          </cell>
          <cell r="AQ37">
            <v>17</v>
          </cell>
          <cell r="AR37">
            <v>17</v>
          </cell>
          <cell r="BF37">
            <v>51</v>
          </cell>
          <cell r="BG37">
            <v>108.63</v>
          </cell>
          <cell r="BH37">
            <v>108.63</v>
          </cell>
          <cell r="BI37">
            <v>21</v>
          </cell>
          <cell r="BJ37">
            <v>17</v>
          </cell>
        </row>
        <row r="38">
          <cell r="D38" t="str">
            <v>Slovenská technická univerzita v Bratislave</v>
          </cell>
          <cell r="E38" t="str">
            <v>Fakulta architektúry a dizajnu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5</v>
          </cell>
          <cell r="BJ38">
            <v>0</v>
          </cell>
        </row>
        <row r="39">
          <cell r="D39" t="str">
            <v>Slovenská technická univerzita v Bratislave</v>
          </cell>
          <cell r="E39" t="str">
            <v>Strojnícka fakulta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</v>
          </cell>
          <cell r="BJ39">
            <v>0</v>
          </cell>
        </row>
        <row r="40">
          <cell r="D40" t="str">
            <v>Slovenská technická univerzita v Bratislave</v>
          </cell>
          <cell r="E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7</v>
          </cell>
          <cell r="BJ40">
            <v>0</v>
          </cell>
        </row>
        <row r="41">
          <cell r="D41" t="str">
            <v>Slovenská technická univerzita v Bratislave</v>
          </cell>
          <cell r="E41" t="str">
            <v>Fakulta architektúry a dizajnu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</v>
          </cell>
          <cell r="BJ41">
            <v>0</v>
          </cell>
        </row>
        <row r="42">
          <cell r="D42" t="str">
            <v>Slovenská technická univerzita v Bratislave</v>
          </cell>
          <cell r="E42" t="str">
            <v>Strojnícka fakulta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D43" t="str">
            <v>Slovenská poľnohospodárska univerzita v Nitre</v>
          </cell>
          <cell r="E43" t="str">
            <v>Fakulta ekonomiky a manažmentu</v>
          </cell>
          <cell r="AN43">
            <v>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2</v>
          </cell>
          <cell r="BJ43">
            <v>0</v>
          </cell>
        </row>
        <row r="44">
          <cell r="D44" t="str">
            <v>Vysoká škola DTI</v>
          </cell>
          <cell r="E44">
            <v>0</v>
          </cell>
          <cell r="AN44">
            <v>2</v>
          </cell>
          <cell r="AO44">
            <v>2</v>
          </cell>
          <cell r="AP44">
            <v>0</v>
          </cell>
          <cell r="AQ44">
            <v>0</v>
          </cell>
          <cell r="AR44">
            <v>2</v>
          </cell>
          <cell r="BF44">
            <v>3</v>
          </cell>
          <cell r="BG44">
            <v>3.2700000000000005</v>
          </cell>
          <cell r="BH44">
            <v>3.2700000000000005</v>
          </cell>
          <cell r="BI44">
            <v>2</v>
          </cell>
          <cell r="BJ44">
            <v>0</v>
          </cell>
        </row>
        <row r="45">
          <cell r="D45" t="str">
            <v>Vysoká škola DTI</v>
          </cell>
          <cell r="E45">
            <v>0</v>
          </cell>
          <cell r="AN45">
            <v>507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507</v>
          </cell>
          <cell r="BJ45">
            <v>0</v>
          </cell>
        </row>
        <row r="46">
          <cell r="D46" t="str">
            <v>Vysoká škola DTI</v>
          </cell>
          <cell r="E46">
            <v>0</v>
          </cell>
          <cell r="AN46">
            <v>262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262</v>
          </cell>
          <cell r="BJ46">
            <v>0</v>
          </cell>
        </row>
        <row r="47">
          <cell r="D47" t="str">
            <v>Vysoká škola DTI</v>
          </cell>
          <cell r="E47">
            <v>0</v>
          </cell>
          <cell r="AN47">
            <v>136</v>
          </cell>
          <cell r="AO47">
            <v>136</v>
          </cell>
          <cell r="AP47">
            <v>0</v>
          </cell>
          <cell r="AQ47">
            <v>0</v>
          </cell>
          <cell r="AR47">
            <v>136</v>
          </cell>
          <cell r="BF47">
            <v>110.19999999999999</v>
          </cell>
          <cell r="BG47">
            <v>114.60799999999999</v>
          </cell>
          <cell r="BH47">
            <v>108.87759999999999</v>
          </cell>
          <cell r="BI47">
            <v>136</v>
          </cell>
          <cell r="BJ47">
            <v>0</v>
          </cell>
        </row>
        <row r="48">
          <cell r="D48" t="str">
            <v>Technická univerzita v Košiciach</v>
          </cell>
          <cell r="E48" t="str">
            <v>Stavebná fakulta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4</v>
          </cell>
          <cell r="BJ48">
            <v>0</v>
          </cell>
        </row>
        <row r="49">
          <cell r="D49" t="str">
            <v>Technická univerzita v Košiciach</v>
          </cell>
          <cell r="E49" t="str">
            <v>Fakulta materiálov, metalurgie a recyklácie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5</v>
          </cell>
          <cell r="BJ49">
            <v>0</v>
          </cell>
        </row>
        <row r="50">
          <cell r="D50" t="str">
            <v>Technická univerzita v Košiciach</v>
          </cell>
          <cell r="E50" t="str">
            <v>Fakulta baníctva, ekológie, riadenia a geotechnológií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1</v>
          </cell>
          <cell r="BJ50">
            <v>0</v>
          </cell>
        </row>
        <row r="51">
          <cell r="D51" t="str">
            <v>Univerzita Pavla Jozefa Šafárika v Košiciach</v>
          </cell>
          <cell r="E51" t="str">
            <v>Lekárska fakulta</v>
          </cell>
          <cell r="AN51">
            <v>13</v>
          </cell>
          <cell r="AO51">
            <v>0</v>
          </cell>
          <cell r="AP51">
            <v>0</v>
          </cell>
          <cell r="AQ51">
            <v>0</v>
          </cell>
          <cell r="AR51">
            <v>13</v>
          </cell>
          <cell r="BF51">
            <v>39</v>
          </cell>
          <cell r="BG51">
            <v>132.99</v>
          </cell>
          <cell r="BH51">
            <v>132.99</v>
          </cell>
          <cell r="BI51">
            <v>13</v>
          </cell>
          <cell r="BJ51">
            <v>13</v>
          </cell>
        </row>
        <row r="52">
          <cell r="D52" t="str">
            <v>Univerzita Pavla Jozefa Šafárika v Košiciach</v>
          </cell>
          <cell r="E52" t="str">
            <v>Prírodovedecká fakulta</v>
          </cell>
          <cell r="AN52">
            <v>6</v>
          </cell>
          <cell r="AO52">
            <v>0</v>
          </cell>
          <cell r="AP52">
            <v>0</v>
          </cell>
          <cell r="AQ52">
            <v>6</v>
          </cell>
          <cell r="AR52">
            <v>6</v>
          </cell>
          <cell r="BF52">
            <v>18</v>
          </cell>
          <cell r="BG52">
            <v>38.339999999999996</v>
          </cell>
          <cell r="BH52">
            <v>38.339999999999996</v>
          </cell>
          <cell r="BI52">
            <v>7</v>
          </cell>
          <cell r="BJ52">
            <v>6</v>
          </cell>
        </row>
        <row r="53">
          <cell r="D53" t="str">
            <v>Univerzita Pavla Jozefa Šafárika v Košiciach</v>
          </cell>
          <cell r="E53" t="str">
            <v>Lekárska fakulta</v>
          </cell>
          <cell r="AN53">
            <v>12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12</v>
          </cell>
          <cell r="BJ53">
            <v>0</v>
          </cell>
        </row>
        <row r="54">
          <cell r="D54" t="str">
            <v>Prešovská univerzita v Prešove</v>
          </cell>
          <cell r="E54" t="str">
            <v>Fakulta humanitných a prírodných vied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3</v>
          </cell>
          <cell r="BJ54">
            <v>0</v>
          </cell>
        </row>
        <row r="55">
          <cell r="D55" t="str">
            <v>Katolícka univerzita v Ružomberku</v>
          </cell>
          <cell r="E55" t="str">
            <v>Filozofická fakulta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1</v>
          </cell>
          <cell r="BJ55">
            <v>0</v>
          </cell>
        </row>
        <row r="56">
          <cell r="D56" t="str">
            <v>Katolícka univerzita v Ružomberku</v>
          </cell>
          <cell r="E56" t="str">
            <v>Teologická fakulta v Košiciach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2</v>
          </cell>
          <cell r="BJ56">
            <v>0</v>
          </cell>
        </row>
        <row r="57">
          <cell r="D57" t="str">
            <v>Prešovská univerzita v Prešove</v>
          </cell>
          <cell r="E57" t="str">
            <v>Pedagogická fakulta</v>
          </cell>
          <cell r="AN57">
            <v>3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17</v>
          </cell>
          <cell r="BJ57">
            <v>0</v>
          </cell>
        </row>
        <row r="58">
          <cell r="D58" t="str">
            <v>Prešovská univerzita v Prešove</v>
          </cell>
          <cell r="E58" t="str">
            <v>Filozofická fakulta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</row>
        <row r="59">
          <cell r="D59" t="str">
            <v>Žilinská univerzita v Žiline</v>
          </cell>
          <cell r="E59" t="str">
            <v>Fakulta riadenia a informatiky</v>
          </cell>
          <cell r="AN59">
            <v>510</v>
          </cell>
          <cell r="AO59">
            <v>646</v>
          </cell>
          <cell r="AP59">
            <v>646</v>
          </cell>
          <cell r="AQ59">
            <v>510</v>
          </cell>
          <cell r="AR59">
            <v>510</v>
          </cell>
          <cell r="BF59">
            <v>436.79999999999995</v>
          </cell>
          <cell r="BG59">
            <v>646.46399999999994</v>
          </cell>
          <cell r="BH59">
            <v>646.46399999999994</v>
          </cell>
          <cell r="BI59">
            <v>646</v>
          </cell>
          <cell r="BJ59">
            <v>0</v>
          </cell>
        </row>
        <row r="60">
          <cell r="D60" t="str">
            <v>Slovenská zdravotnícka univerzita v Bratislave</v>
          </cell>
          <cell r="E60" t="str">
            <v>Lekárska fakulta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D61" t="str">
            <v>Slovenská zdravotnícka univerzita v Bratislave</v>
          </cell>
          <cell r="E61" t="str">
            <v>Lekárska fakulta</v>
          </cell>
          <cell r="AN61">
            <v>4</v>
          </cell>
          <cell r="AO61">
            <v>0</v>
          </cell>
          <cell r="AP61">
            <v>0</v>
          </cell>
          <cell r="AQ61">
            <v>0</v>
          </cell>
          <cell r="AR61">
            <v>4</v>
          </cell>
          <cell r="BF61">
            <v>16</v>
          </cell>
          <cell r="BG61">
            <v>54.56</v>
          </cell>
          <cell r="BH61">
            <v>54.56</v>
          </cell>
          <cell r="BI61">
            <v>4</v>
          </cell>
          <cell r="BJ61">
            <v>4</v>
          </cell>
        </row>
        <row r="62">
          <cell r="D62" t="str">
            <v>Žilinská univerzita v Žiline</v>
          </cell>
          <cell r="E62" t="str">
            <v>Fakulta humanitných vied</v>
          </cell>
          <cell r="AN62">
            <v>49</v>
          </cell>
          <cell r="AO62">
            <v>50</v>
          </cell>
          <cell r="AP62">
            <v>0</v>
          </cell>
          <cell r="AQ62">
            <v>0</v>
          </cell>
          <cell r="AR62">
            <v>49</v>
          </cell>
          <cell r="BF62">
            <v>73.5</v>
          </cell>
          <cell r="BG62">
            <v>80.115000000000009</v>
          </cell>
          <cell r="BH62">
            <v>60.086250000000007</v>
          </cell>
          <cell r="BI62">
            <v>50</v>
          </cell>
          <cell r="BJ62">
            <v>0</v>
          </cell>
        </row>
        <row r="63">
          <cell r="D63" t="str">
            <v>Žilinská univerzita v Žiline</v>
          </cell>
          <cell r="E63" t="str">
            <v>Fakulta humanitných vied</v>
          </cell>
          <cell r="AN63">
            <v>20.5</v>
          </cell>
          <cell r="AO63">
            <v>21</v>
          </cell>
          <cell r="AP63">
            <v>0</v>
          </cell>
          <cell r="AQ63">
            <v>0</v>
          </cell>
          <cell r="AR63">
            <v>20.5</v>
          </cell>
          <cell r="BF63">
            <v>30.75</v>
          </cell>
          <cell r="BG63">
            <v>33.517500000000005</v>
          </cell>
          <cell r="BH63">
            <v>30.939230769230775</v>
          </cell>
          <cell r="BI63">
            <v>21</v>
          </cell>
          <cell r="BJ63">
            <v>0</v>
          </cell>
        </row>
        <row r="64">
          <cell r="D64" t="str">
            <v>Univerzita sv. Cyrila a Metoda v Trnave</v>
          </cell>
          <cell r="E64" t="str">
            <v>Fakulta masmediálnej komunikácie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2</v>
          </cell>
          <cell r="BJ64">
            <v>0</v>
          </cell>
        </row>
        <row r="65">
          <cell r="D65" t="str">
            <v>Žilinská univerzita v Žiline</v>
          </cell>
          <cell r="E65" t="str">
            <v>Fakulta bezpečnostného inžinierstva</v>
          </cell>
          <cell r="AN65">
            <v>2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9</v>
          </cell>
          <cell r="BJ65">
            <v>0</v>
          </cell>
        </row>
        <row r="66">
          <cell r="D66" t="str">
            <v>Akadémia médií, odborná vysoká škola mediálnej a marketingovej komunikácie v Bratislave</v>
          </cell>
          <cell r="E66">
            <v>0</v>
          </cell>
          <cell r="AN66">
            <v>44</v>
          </cell>
          <cell r="AO66">
            <v>44</v>
          </cell>
          <cell r="AP66">
            <v>0</v>
          </cell>
          <cell r="AQ66">
            <v>0</v>
          </cell>
          <cell r="AR66">
            <v>44</v>
          </cell>
          <cell r="BF66">
            <v>44</v>
          </cell>
          <cell r="BG66">
            <v>52.36</v>
          </cell>
          <cell r="BH66">
            <v>48.452537313432835</v>
          </cell>
          <cell r="BI66">
            <v>44</v>
          </cell>
          <cell r="BJ66">
            <v>0</v>
          </cell>
        </row>
        <row r="67">
          <cell r="D67" t="str">
            <v>Akadémia médií, odborná vysoká škola mediálnej a marketingovej komunikácie v Bratislave</v>
          </cell>
          <cell r="E67">
            <v>0</v>
          </cell>
          <cell r="AN67">
            <v>36</v>
          </cell>
          <cell r="AO67">
            <v>36</v>
          </cell>
          <cell r="AP67">
            <v>0</v>
          </cell>
          <cell r="AQ67">
            <v>0</v>
          </cell>
          <cell r="AR67">
            <v>36</v>
          </cell>
          <cell r="BF67">
            <v>36</v>
          </cell>
          <cell r="BG67">
            <v>42.839999999999996</v>
          </cell>
          <cell r="BH67">
            <v>39.642985074626864</v>
          </cell>
          <cell r="BI67">
            <v>36</v>
          </cell>
          <cell r="BJ67">
            <v>0</v>
          </cell>
        </row>
        <row r="68">
          <cell r="D68" t="str">
            <v>Akadémia médií, odborná vysoká škola mediálnej a marketingovej komunikácie v Bratislave</v>
          </cell>
          <cell r="E68">
            <v>0</v>
          </cell>
          <cell r="AN68">
            <v>4</v>
          </cell>
          <cell r="AO68">
            <v>4</v>
          </cell>
          <cell r="AP68">
            <v>0</v>
          </cell>
          <cell r="AQ68">
            <v>0</v>
          </cell>
          <cell r="AR68">
            <v>4</v>
          </cell>
          <cell r="BF68">
            <v>4</v>
          </cell>
          <cell r="BG68">
            <v>4.76</v>
          </cell>
          <cell r="BH68">
            <v>4.4047761194029853</v>
          </cell>
          <cell r="BI68">
            <v>4</v>
          </cell>
          <cell r="BJ68">
            <v>0</v>
          </cell>
        </row>
        <row r="69">
          <cell r="D69" t="str">
            <v>Vysoká škola výtvarných umení v Bratislave</v>
          </cell>
          <cell r="E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1</v>
          </cell>
          <cell r="BJ69">
            <v>0</v>
          </cell>
        </row>
        <row r="70">
          <cell r="D70" t="str">
            <v>Katolícka univerzita v Ružomberku</v>
          </cell>
          <cell r="E70" t="str">
            <v>Teologická fakulta v Košiciach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</v>
          </cell>
          <cell r="BJ70">
            <v>0</v>
          </cell>
        </row>
        <row r="71">
          <cell r="D71" t="str">
            <v>Katolícka univerzita v Ružomberku</v>
          </cell>
          <cell r="E71" t="str">
            <v>Teologická fakulta v Košiciach</v>
          </cell>
          <cell r="AN71">
            <v>37</v>
          </cell>
          <cell r="AO71">
            <v>50</v>
          </cell>
          <cell r="AP71">
            <v>0</v>
          </cell>
          <cell r="AQ71">
            <v>0</v>
          </cell>
          <cell r="AR71">
            <v>37</v>
          </cell>
          <cell r="BF71">
            <v>43.6</v>
          </cell>
          <cell r="BG71">
            <v>43.6</v>
          </cell>
          <cell r="BH71">
            <v>43.6</v>
          </cell>
          <cell r="BI71">
            <v>50</v>
          </cell>
          <cell r="BJ71">
            <v>0</v>
          </cell>
        </row>
        <row r="72">
          <cell r="D72" t="str">
            <v>Katolícka univerzita v Ružomberku</v>
          </cell>
          <cell r="E72" t="str">
            <v>Pedagogická fakulta</v>
          </cell>
          <cell r="AN72">
            <v>7</v>
          </cell>
          <cell r="AO72">
            <v>0</v>
          </cell>
          <cell r="AP72">
            <v>0</v>
          </cell>
          <cell r="AQ72">
            <v>0</v>
          </cell>
          <cell r="AR72">
            <v>7</v>
          </cell>
          <cell r="BF72">
            <v>28</v>
          </cell>
          <cell r="BG72">
            <v>30.800000000000004</v>
          </cell>
          <cell r="BH72">
            <v>30.800000000000004</v>
          </cell>
          <cell r="BI72">
            <v>9</v>
          </cell>
          <cell r="BJ72">
            <v>7</v>
          </cell>
        </row>
        <row r="73">
          <cell r="D73" t="str">
            <v>Vysoká škola DTI</v>
          </cell>
          <cell r="E73">
            <v>0</v>
          </cell>
          <cell r="AN73">
            <v>10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10</v>
          </cell>
          <cell r="BJ73">
            <v>0</v>
          </cell>
        </row>
        <row r="74">
          <cell r="D74" t="str">
            <v>Paneurópska vysoká škola</v>
          </cell>
          <cell r="E74" t="str">
            <v>Fakulta práva</v>
          </cell>
          <cell r="AN74">
            <v>3</v>
          </cell>
          <cell r="AO74">
            <v>167</v>
          </cell>
          <cell r="AP74">
            <v>0</v>
          </cell>
          <cell r="AQ74">
            <v>0</v>
          </cell>
          <cell r="AR74">
            <v>3</v>
          </cell>
          <cell r="BF74">
            <v>3</v>
          </cell>
          <cell r="BG74">
            <v>3</v>
          </cell>
          <cell r="BH74">
            <v>3</v>
          </cell>
          <cell r="BI74">
            <v>167</v>
          </cell>
          <cell r="BJ74">
            <v>0</v>
          </cell>
        </row>
        <row r="75">
          <cell r="D75" t="str">
            <v>Stredoeurópska vysoká škola v Skalici</v>
          </cell>
          <cell r="E75">
            <v>0</v>
          </cell>
          <cell r="AN75">
            <v>20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20</v>
          </cell>
          <cell r="BJ75">
            <v>0</v>
          </cell>
        </row>
        <row r="76">
          <cell r="D76" t="str">
            <v>Stredoeurópska vysoká škola v Skalici</v>
          </cell>
          <cell r="E76">
            <v>0</v>
          </cell>
          <cell r="AN76">
            <v>22</v>
          </cell>
          <cell r="AO76">
            <v>22</v>
          </cell>
          <cell r="AP76">
            <v>0</v>
          </cell>
          <cell r="AQ76">
            <v>0</v>
          </cell>
          <cell r="AR76">
            <v>22</v>
          </cell>
          <cell r="BF76">
            <v>33</v>
          </cell>
          <cell r="BG76">
            <v>33</v>
          </cell>
          <cell r="BH76">
            <v>23.571428571428573</v>
          </cell>
          <cell r="BI76">
            <v>22</v>
          </cell>
          <cell r="BJ76">
            <v>0</v>
          </cell>
        </row>
        <row r="77">
          <cell r="D77" t="str">
            <v>Stredoeurópska vysoká škola v Skalici</v>
          </cell>
          <cell r="E77">
            <v>0</v>
          </cell>
          <cell r="AN77">
            <v>304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304</v>
          </cell>
          <cell r="BJ77">
            <v>0</v>
          </cell>
        </row>
        <row r="78">
          <cell r="D78" t="str">
            <v>Stredoeurópska vysoká škola v Skalici</v>
          </cell>
          <cell r="E78">
            <v>0</v>
          </cell>
          <cell r="AN78">
            <v>41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41</v>
          </cell>
          <cell r="BJ78">
            <v>0</v>
          </cell>
        </row>
        <row r="79">
          <cell r="D79" t="str">
            <v>Stredoeurópska vysoká škola v Skalici</v>
          </cell>
          <cell r="E79">
            <v>0</v>
          </cell>
          <cell r="AN79">
            <v>23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23</v>
          </cell>
          <cell r="BJ79">
            <v>0</v>
          </cell>
        </row>
        <row r="80">
          <cell r="D80" t="str">
            <v>Stredoeurópska vysoká škola v Skalici</v>
          </cell>
          <cell r="E80">
            <v>0</v>
          </cell>
          <cell r="AN80">
            <v>28</v>
          </cell>
          <cell r="AO80">
            <v>28</v>
          </cell>
          <cell r="AP80">
            <v>0</v>
          </cell>
          <cell r="AQ80">
            <v>0</v>
          </cell>
          <cell r="AR80">
            <v>28</v>
          </cell>
          <cell r="BF80">
            <v>26.2</v>
          </cell>
          <cell r="BG80">
            <v>26.2</v>
          </cell>
          <cell r="BH80">
            <v>26.2</v>
          </cell>
          <cell r="BI80">
            <v>28</v>
          </cell>
          <cell r="BJ80">
            <v>0</v>
          </cell>
        </row>
        <row r="81">
          <cell r="D81" t="str">
            <v>Stredoeurópska vysoká škola v Skalici</v>
          </cell>
          <cell r="E81">
            <v>0</v>
          </cell>
          <cell r="AN81">
            <v>5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</v>
          </cell>
          <cell r="BJ81">
            <v>0</v>
          </cell>
        </row>
        <row r="82">
          <cell r="D82" t="str">
            <v>Stredoeurópska vysoká škola v Skalici</v>
          </cell>
          <cell r="E82">
            <v>0</v>
          </cell>
          <cell r="AN82">
            <v>17</v>
          </cell>
          <cell r="AO82">
            <v>17</v>
          </cell>
          <cell r="AP82">
            <v>17</v>
          </cell>
          <cell r="AQ82">
            <v>17</v>
          </cell>
          <cell r="AR82">
            <v>17</v>
          </cell>
          <cell r="BF82">
            <v>15.5</v>
          </cell>
          <cell r="BG82">
            <v>22.94</v>
          </cell>
          <cell r="BH82">
            <v>22.94</v>
          </cell>
          <cell r="BI82">
            <v>17</v>
          </cell>
          <cell r="BJ82">
            <v>0</v>
          </cell>
        </row>
        <row r="83">
          <cell r="D83" t="str">
            <v>Stredoeurópska vysoká škola v Skalici</v>
          </cell>
          <cell r="E83">
            <v>0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BF83">
            <v>1</v>
          </cell>
          <cell r="BG83">
            <v>1.48</v>
          </cell>
          <cell r="BH83">
            <v>1.48</v>
          </cell>
          <cell r="BI83">
            <v>1</v>
          </cell>
          <cell r="BJ83">
            <v>0</v>
          </cell>
        </row>
        <row r="84">
          <cell r="D84" t="str">
            <v>Stredoeurópska vysoká škola v Skalici</v>
          </cell>
          <cell r="E84">
            <v>0</v>
          </cell>
          <cell r="AN84">
            <v>1</v>
          </cell>
          <cell r="AO84">
            <v>0</v>
          </cell>
          <cell r="AP84">
            <v>0</v>
          </cell>
          <cell r="AQ84">
            <v>0</v>
          </cell>
          <cell r="AR84">
            <v>1</v>
          </cell>
          <cell r="BF84">
            <v>4</v>
          </cell>
          <cell r="BG84">
            <v>8.52</v>
          </cell>
          <cell r="BH84">
            <v>7.4975999999999994</v>
          </cell>
          <cell r="BI84">
            <v>1</v>
          </cell>
          <cell r="BJ84">
            <v>1</v>
          </cell>
        </row>
        <row r="85">
          <cell r="D85" t="str">
            <v>Vysoká škola výtvarných umení v Bratislave</v>
          </cell>
          <cell r="E85">
            <v>0</v>
          </cell>
          <cell r="AN85">
            <v>14</v>
          </cell>
          <cell r="AO85">
            <v>21</v>
          </cell>
          <cell r="AP85">
            <v>0</v>
          </cell>
          <cell r="AQ85">
            <v>0</v>
          </cell>
          <cell r="AR85">
            <v>14</v>
          </cell>
          <cell r="BF85">
            <v>13.1</v>
          </cell>
          <cell r="BG85">
            <v>42.312999999999995</v>
          </cell>
          <cell r="BH85">
            <v>42.312999999999995</v>
          </cell>
          <cell r="BI85">
            <v>21</v>
          </cell>
          <cell r="BJ85">
            <v>0</v>
          </cell>
        </row>
        <row r="86">
          <cell r="D86" t="str">
            <v>Univerzita Komenského v Bratislave</v>
          </cell>
          <cell r="E86" t="str">
            <v>Lekárska fakulta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</v>
          </cell>
          <cell r="BJ86">
            <v>0</v>
          </cell>
        </row>
        <row r="87">
          <cell r="D87" t="str">
            <v>Univerzita Komenského v Bratislave</v>
          </cell>
          <cell r="E87" t="str">
            <v>Prírodovedecká fakulta</v>
          </cell>
          <cell r="AN87">
            <v>25</v>
          </cell>
          <cell r="AO87">
            <v>0</v>
          </cell>
          <cell r="AP87">
            <v>0</v>
          </cell>
          <cell r="AQ87">
            <v>25</v>
          </cell>
          <cell r="AR87">
            <v>25</v>
          </cell>
          <cell r="BF87">
            <v>75</v>
          </cell>
          <cell r="BG87">
            <v>159.75</v>
          </cell>
          <cell r="BH87">
            <v>159.75</v>
          </cell>
          <cell r="BI87">
            <v>28</v>
          </cell>
          <cell r="BJ87">
            <v>25</v>
          </cell>
        </row>
        <row r="88">
          <cell r="D88" t="str">
            <v>Univerzita Komenského v Bratislave</v>
          </cell>
          <cell r="E88" t="str">
            <v>Farmaceutická fakulta</v>
          </cell>
          <cell r="AN88">
            <v>2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7</v>
          </cell>
          <cell r="BJ88">
            <v>0</v>
          </cell>
        </row>
        <row r="89">
          <cell r="D89" t="str">
            <v>Univerzita Komenského v Bratislave</v>
          </cell>
          <cell r="E89" t="str">
            <v>Filozofická fakulta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</v>
          </cell>
          <cell r="BJ89">
            <v>0</v>
          </cell>
        </row>
        <row r="90">
          <cell r="D90" t="str">
            <v>Univerzita Komenského v Bratislave</v>
          </cell>
          <cell r="E90" t="str">
            <v>Lekárska fakulta</v>
          </cell>
          <cell r="AN90">
            <v>3</v>
          </cell>
          <cell r="AO90">
            <v>0</v>
          </cell>
          <cell r="AP90">
            <v>0</v>
          </cell>
          <cell r="AQ90">
            <v>0</v>
          </cell>
          <cell r="AR90">
            <v>3</v>
          </cell>
          <cell r="BF90">
            <v>9</v>
          </cell>
          <cell r="BG90">
            <v>30.69</v>
          </cell>
          <cell r="BH90">
            <v>30.69</v>
          </cell>
          <cell r="BI90">
            <v>4</v>
          </cell>
          <cell r="BJ90">
            <v>3</v>
          </cell>
        </row>
        <row r="91">
          <cell r="D91" t="str">
            <v>Univerzita Komenského v Bratislave</v>
          </cell>
          <cell r="E91" t="str">
            <v>Lekárska fakulta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10</v>
          </cell>
          <cell r="BJ91">
            <v>0</v>
          </cell>
        </row>
        <row r="92">
          <cell r="D92" t="str">
            <v>Univerzita Komenského v Bratislave</v>
          </cell>
          <cell r="E92" t="str">
            <v>Prírodovedecká fakulta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</v>
          </cell>
          <cell r="BJ92">
            <v>0</v>
          </cell>
        </row>
        <row r="93">
          <cell r="D93" t="str">
            <v>Univerzita Komenského v Bratislave</v>
          </cell>
          <cell r="E93" t="str">
            <v>Lekárska fakulta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4</v>
          </cell>
          <cell r="BJ93">
            <v>0</v>
          </cell>
        </row>
        <row r="94">
          <cell r="D94" t="str">
            <v>Univerzita Komenského v Bratislave</v>
          </cell>
          <cell r="E94" t="str">
            <v>Lekárska fakulta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6</v>
          </cell>
          <cell r="BJ94">
            <v>0</v>
          </cell>
        </row>
        <row r="95">
          <cell r="D95" t="str">
            <v>Univerzita Komenského v Bratislave</v>
          </cell>
          <cell r="E95" t="str">
            <v>Fakulta managementu</v>
          </cell>
          <cell r="AN95">
            <v>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52</v>
          </cell>
          <cell r="BJ95">
            <v>0</v>
          </cell>
        </row>
        <row r="96">
          <cell r="D96" t="str">
            <v>Univerzita Komenského v Bratislave</v>
          </cell>
          <cell r="E96" t="str">
            <v>Jesseniova lekárska fakulta v Martine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10</v>
          </cell>
          <cell r="BJ96">
            <v>0</v>
          </cell>
        </row>
        <row r="97">
          <cell r="D97" t="str">
            <v>Univerzita Komenského v Bratislave</v>
          </cell>
          <cell r="E97" t="str">
            <v>Fakulta managementu</v>
          </cell>
          <cell r="AN97">
            <v>13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117</v>
          </cell>
          <cell r="BJ97">
            <v>0</v>
          </cell>
        </row>
        <row r="98">
          <cell r="D98" t="str">
            <v>Univerzita Komenského v Bratislave</v>
          </cell>
          <cell r="E98" t="str">
            <v>Jesseniova lekárska fakulta v Martine</v>
          </cell>
          <cell r="AN98">
            <v>2</v>
          </cell>
          <cell r="AO98">
            <v>0</v>
          </cell>
          <cell r="AP98">
            <v>0</v>
          </cell>
          <cell r="AQ98">
            <v>0</v>
          </cell>
          <cell r="AR98">
            <v>2</v>
          </cell>
          <cell r="BF98">
            <v>6</v>
          </cell>
          <cell r="BG98">
            <v>20.46</v>
          </cell>
          <cell r="BH98">
            <v>20.46</v>
          </cell>
          <cell r="BI98">
            <v>3</v>
          </cell>
          <cell r="BJ98">
            <v>2</v>
          </cell>
        </row>
        <row r="99">
          <cell r="D99" t="str">
            <v>Univerzita Komenského v Bratislave</v>
          </cell>
          <cell r="E99" t="str">
            <v>Lekárska fakulta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12</v>
          </cell>
          <cell r="BJ99">
            <v>0</v>
          </cell>
        </row>
        <row r="100">
          <cell r="D100" t="str">
            <v>Univerzita Komenského v Bratislave</v>
          </cell>
          <cell r="E100" t="str">
            <v>Lekárska fakulta</v>
          </cell>
          <cell r="AN100">
            <v>28</v>
          </cell>
          <cell r="AO100">
            <v>0</v>
          </cell>
          <cell r="AP100">
            <v>0</v>
          </cell>
          <cell r="AQ100">
            <v>0</v>
          </cell>
          <cell r="AR100">
            <v>28</v>
          </cell>
          <cell r="BF100">
            <v>84</v>
          </cell>
          <cell r="BG100">
            <v>286.44</v>
          </cell>
          <cell r="BH100">
            <v>286.44</v>
          </cell>
          <cell r="BI100">
            <v>30</v>
          </cell>
          <cell r="BJ100">
            <v>28</v>
          </cell>
        </row>
        <row r="101">
          <cell r="D101" t="str">
            <v>Univerzita Komenského v Bratislave</v>
          </cell>
          <cell r="E101" t="str">
            <v>Filozofická fakulta</v>
          </cell>
          <cell r="AN101">
            <v>7</v>
          </cell>
          <cell r="AO101">
            <v>0</v>
          </cell>
          <cell r="AP101">
            <v>0</v>
          </cell>
          <cell r="AQ101">
            <v>0</v>
          </cell>
          <cell r="AR101">
            <v>7</v>
          </cell>
          <cell r="BF101">
            <v>21</v>
          </cell>
          <cell r="BG101">
            <v>23.1</v>
          </cell>
          <cell r="BH101">
            <v>23.1</v>
          </cell>
          <cell r="BI101">
            <v>11</v>
          </cell>
          <cell r="BJ101">
            <v>7</v>
          </cell>
        </row>
        <row r="102">
          <cell r="D102" t="str">
            <v>Univerzita Komenského v Bratislave</v>
          </cell>
          <cell r="E102" t="str">
            <v>Prírodovedecká fakulta</v>
          </cell>
          <cell r="AN102">
            <v>4</v>
          </cell>
          <cell r="AO102">
            <v>0</v>
          </cell>
          <cell r="AP102">
            <v>0</v>
          </cell>
          <cell r="AQ102">
            <v>4</v>
          </cell>
          <cell r="AR102">
            <v>4</v>
          </cell>
          <cell r="BF102">
            <v>12</v>
          </cell>
          <cell r="BG102">
            <v>25.56</v>
          </cell>
          <cell r="BH102">
            <v>25.56</v>
          </cell>
          <cell r="BI102">
            <v>7</v>
          </cell>
          <cell r="BJ102">
            <v>4</v>
          </cell>
        </row>
        <row r="103">
          <cell r="D103" t="str">
            <v>Univerzita Komenského v Bratislave</v>
          </cell>
          <cell r="E103" t="str">
            <v>Prírodovedecká fakulta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2</v>
          </cell>
          <cell r="BJ103">
            <v>0</v>
          </cell>
        </row>
        <row r="104">
          <cell r="D104" t="str">
            <v>Univerzita Komenského v Bratislave</v>
          </cell>
          <cell r="E104" t="str">
            <v>Fakulta matematiky, fyziky a informatiky</v>
          </cell>
          <cell r="AN104">
            <v>14</v>
          </cell>
          <cell r="AO104">
            <v>0</v>
          </cell>
          <cell r="AP104">
            <v>0</v>
          </cell>
          <cell r="AQ104">
            <v>14</v>
          </cell>
          <cell r="AR104">
            <v>14</v>
          </cell>
          <cell r="BF104">
            <v>42</v>
          </cell>
          <cell r="BG104">
            <v>89.46</v>
          </cell>
          <cell r="BH104">
            <v>89.46</v>
          </cell>
          <cell r="BI104">
            <v>15</v>
          </cell>
          <cell r="BJ104">
            <v>14</v>
          </cell>
        </row>
        <row r="105">
          <cell r="D105" t="str">
            <v>Univerzita Komenského v Bratislave</v>
          </cell>
          <cell r="E105" t="str">
            <v>Filozofická fakulta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7</v>
          </cell>
          <cell r="BJ105">
            <v>0</v>
          </cell>
        </row>
        <row r="106">
          <cell r="D106" t="str">
            <v>Univerzita Komenského v Bratislave</v>
          </cell>
          <cell r="E106" t="str">
            <v>Právnická fakulta</v>
          </cell>
          <cell r="AN106">
            <v>1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</v>
          </cell>
          <cell r="BJ106">
            <v>0</v>
          </cell>
        </row>
        <row r="107">
          <cell r="D107" t="str">
            <v>Univerzita Komenského v Bratislave</v>
          </cell>
          <cell r="E107" t="str">
            <v>Lekárska fakulta</v>
          </cell>
          <cell r="AN107">
            <v>1700</v>
          </cell>
          <cell r="AO107">
            <v>1826</v>
          </cell>
          <cell r="AP107">
            <v>0</v>
          </cell>
          <cell r="AQ107">
            <v>0</v>
          </cell>
          <cell r="AR107">
            <v>1700</v>
          </cell>
          <cell r="BF107">
            <v>2036.1</v>
          </cell>
          <cell r="BG107">
            <v>6372.9929999999995</v>
          </cell>
          <cell r="BH107">
            <v>5867.1999047619047</v>
          </cell>
          <cell r="BI107">
            <v>1826</v>
          </cell>
          <cell r="BJ107">
            <v>0</v>
          </cell>
        </row>
        <row r="108">
          <cell r="D108" t="str">
            <v>Univerzita Komenského v Bratislave</v>
          </cell>
          <cell r="E108" t="str">
            <v>Rímskokatolícka cyrilometodská bohoslovecká fakulta</v>
          </cell>
          <cell r="AN108">
            <v>88</v>
          </cell>
          <cell r="AO108">
            <v>110</v>
          </cell>
          <cell r="AP108">
            <v>0</v>
          </cell>
          <cell r="AQ108">
            <v>0</v>
          </cell>
          <cell r="AR108">
            <v>88</v>
          </cell>
          <cell r="BF108">
            <v>101.2</v>
          </cell>
          <cell r="BG108">
            <v>101.2</v>
          </cell>
          <cell r="BH108">
            <v>101.2</v>
          </cell>
          <cell r="BI108">
            <v>110</v>
          </cell>
          <cell r="BJ108">
            <v>0</v>
          </cell>
        </row>
        <row r="109">
          <cell r="D109" t="str">
            <v>Univerzita Komenského v Bratislave</v>
          </cell>
          <cell r="E109" t="str">
            <v>Lekárska fakulta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22</v>
          </cell>
          <cell r="BJ109">
            <v>0</v>
          </cell>
        </row>
        <row r="110">
          <cell r="D110" t="str">
            <v>Univerzita Komenského v Bratislave</v>
          </cell>
          <cell r="E110" t="str">
            <v>Lekárska fakulta</v>
          </cell>
          <cell r="AN110">
            <v>1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12</v>
          </cell>
          <cell r="BJ110">
            <v>0</v>
          </cell>
        </row>
        <row r="111">
          <cell r="D111" t="str">
            <v>Univerzita Komenského v Bratislave</v>
          </cell>
          <cell r="E111" t="str">
            <v>Právnická fakulta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2</v>
          </cell>
          <cell r="BJ111">
            <v>0</v>
          </cell>
        </row>
        <row r="112">
          <cell r="D112" t="str">
            <v>Žilinská univerzita v Žiline</v>
          </cell>
          <cell r="E112" t="str">
            <v>Strojnícka fakulta</v>
          </cell>
          <cell r="AN112">
            <v>113</v>
          </cell>
          <cell r="AO112">
            <v>124</v>
          </cell>
          <cell r="AP112">
            <v>124</v>
          </cell>
          <cell r="AQ112">
            <v>113</v>
          </cell>
          <cell r="AR112">
            <v>113</v>
          </cell>
          <cell r="BF112">
            <v>101</v>
          </cell>
          <cell r="BG112">
            <v>149.47999999999999</v>
          </cell>
          <cell r="BH112">
            <v>143.73076923076923</v>
          </cell>
          <cell r="BI112">
            <v>124</v>
          </cell>
          <cell r="BJ112">
            <v>0</v>
          </cell>
        </row>
        <row r="113">
          <cell r="D113" t="str">
            <v>Žilinská univerzita v Žiline</v>
          </cell>
          <cell r="E113" t="str">
            <v>Fakulta elektrotechniky a informačných technológií</v>
          </cell>
          <cell r="AN113">
            <v>5</v>
          </cell>
          <cell r="AO113">
            <v>0</v>
          </cell>
          <cell r="AP113">
            <v>0</v>
          </cell>
          <cell r="AQ113">
            <v>5</v>
          </cell>
          <cell r="AR113">
            <v>5</v>
          </cell>
          <cell r="BF113">
            <v>20</v>
          </cell>
          <cell r="BG113">
            <v>42.599999999999994</v>
          </cell>
          <cell r="BH113">
            <v>42.599999999999994</v>
          </cell>
          <cell r="BI113">
            <v>6</v>
          </cell>
          <cell r="BJ113">
            <v>5</v>
          </cell>
        </row>
        <row r="114">
          <cell r="D114" t="str">
            <v>Žilinská univerzita v Žiline</v>
          </cell>
          <cell r="E114" t="str">
            <v>Fakulta elektrotechniky a informačných technológií</v>
          </cell>
          <cell r="AN114">
            <v>186</v>
          </cell>
          <cell r="AO114">
            <v>203</v>
          </cell>
          <cell r="AP114">
            <v>203</v>
          </cell>
          <cell r="AQ114">
            <v>186</v>
          </cell>
          <cell r="AR114">
            <v>186</v>
          </cell>
          <cell r="BF114">
            <v>153.6</v>
          </cell>
          <cell r="BG114">
            <v>227.328</v>
          </cell>
          <cell r="BH114">
            <v>227.328</v>
          </cell>
          <cell r="BI114">
            <v>203</v>
          </cell>
          <cell r="BJ114">
            <v>0</v>
          </cell>
        </row>
        <row r="115">
          <cell r="D115" t="str">
            <v>Trnavská univerzita v Trnave</v>
          </cell>
          <cell r="E115" t="str">
            <v>Fakulta zdravotníctva a sociálnej práce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4</v>
          </cell>
          <cell r="BJ115">
            <v>0</v>
          </cell>
        </row>
        <row r="116">
          <cell r="D116" t="str">
            <v>Slovenská zdravotnícka univerzita v Bratislave</v>
          </cell>
          <cell r="E116" t="str">
            <v>Fakulta ošetrovateľstva a zdravotníckych odborných štúdií</v>
          </cell>
          <cell r="AN116">
            <v>58</v>
          </cell>
          <cell r="AO116">
            <v>63</v>
          </cell>
          <cell r="AP116">
            <v>63</v>
          </cell>
          <cell r="AQ116">
            <v>0</v>
          </cell>
          <cell r="AR116">
            <v>58</v>
          </cell>
          <cell r="BF116">
            <v>52.3</v>
          </cell>
          <cell r="BG116">
            <v>112.44499999999999</v>
          </cell>
          <cell r="BH116">
            <v>112.44499999999999</v>
          </cell>
          <cell r="BI116">
            <v>63</v>
          </cell>
          <cell r="BJ116">
            <v>0</v>
          </cell>
        </row>
        <row r="117">
          <cell r="D117" t="str">
            <v>Slovenská zdravotnícka univerzita v Bratislave</v>
          </cell>
          <cell r="E117" t="str">
            <v>Fakulta ošetrovateľstva a zdravotníckych odborných štúdií</v>
          </cell>
          <cell r="AN117">
            <v>53</v>
          </cell>
          <cell r="AO117">
            <v>58</v>
          </cell>
          <cell r="AP117">
            <v>0</v>
          </cell>
          <cell r="AQ117">
            <v>0</v>
          </cell>
          <cell r="AR117">
            <v>53</v>
          </cell>
          <cell r="BF117">
            <v>45.8</v>
          </cell>
          <cell r="BG117">
            <v>98.469999999999985</v>
          </cell>
          <cell r="BH117">
            <v>98.469999999999985</v>
          </cell>
          <cell r="BI117">
            <v>58</v>
          </cell>
          <cell r="BJ117">
            <v>0</v>
          </cell>
        </row>
        <row r="118">
          <cell r="D118" t="str">
            <v>Slovenská zdravotnícka univerzita v Bratislave</v>
          </cell>
          <cell r="E118" t="str">
            <v>Fakulta ošetrovateľstva a zdravotníckych odborných štúdií</v>
          </cell>
          <cell r="AN118">
            <v>131</v>
          </cell>
          <cell r="AO118">
            <v>143</v>
          </cell>
          <cell r="AP118">
            <v>143</v>
          </cell>
          <cell r="AQ118">
            <v>0</v>
          </cell>
          <cell r="AR118">
            <v>131</v>
          </cell>
          <cell r="BF118">
            <v>118.4</v>
          </cell>
          <cell r="BG118">
            <v>254.56</v>
          </cell>
          <cell r="BH118">
            <v>254.56</v>
          </cell>
          <cell r="BI118">
            <v>143</v>
          </cell>
          <cell r="BJ118">
            <v>0</v>
          </cell>
        </row>
        <row r="119">
          <cell r="D119" t="str">
            <v>Slovenská zdravotnícka univerzita v Bratislave</v>
          </cell>
          <cell r="E119" t="str">
            <v>Fakulta ošetrovateľstva a zdravotníckych odborných štúdií</v>
          </cell>
          <cell r="AN119">
            <v>104</v>
          </cell>
          <cell r="AO119">
            <v>123</v>
          </cell>
          <cell r="AP119">
            <v>0</v>
          </cell>
          <cell r="AQ119">
            <v>0</v>
          </cell>
          <cell r="AR119">
            <v>104</v>
          </cell>
          <cell r="BF119">
            <v>93.2</v>
          </cell>
          <cell r="BG119">
            <v>200.38</v>
          </cell>
          <cell r="BH119">
            <v>190.83809523809524</v>
          </cell>
          <cell r="BI119">
            <v>123</v>
          </cell>
          <cell r="BJ119">
            <v>0</v>
          </cell>
        </row>
        <row r="120">
          <cell r="D120" t="str">
            <v>Slovenská zdravotnícka univerzita v Bratislave</v>
          </cell>
          <cell r="E120" t="str">
            <v>Fakulta ošetrovateľstva a zdravotníckych odborných štúdií</v>
          </cell>
          <cell r="AN120">
            <v>5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5</v>
          </cell>
          <cell r="BJ120">
            <v>0</v>
          </cell>
        </row>
        <row r="121">
          <cell r="D121" t="str">
            <v>Slovenská zdravotnícka univerzita v Bratislave</v>
          </cell>
          <cell r="E121" t="str">
            <v>Fakulta ošetrovateľstva a zdravotníckych odborných štúdií</v>
          </cell>
          <cell r="AN121">
            <v>66</v>
          </cell>
          <cell r="AO121">
            <v>75</v>
          </cell>
          <cell r="AP121">
            <v>0</v>
          </cell>
          <cell r="AQ121">
            <v>0</v>
          </cell>
          <cell r="AR121">
            <v>66</v>
          </cell>
          <cell r="BF121">
            <v>57.9</v>
          </cell>
          <cell r="BG121">
            <v>85.691999999999993</v>
          </cell>
          <cell r="BH121">
            <v>82.631571428571419</v>
          </cell>
          <cell r="BI121">
            <v>75</v>
          </cell>
          <cell r="BJ121">
            <v>0</v>
          </cell>
        </row>
        <row r="122">
          <cell r="D122" t="str">
            <v>Trnavská univerzita v Trnave</v>
          </cell>
          <cell r="E122" t="str">
            <v>Právnická fakulta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</v>
          </cell>
          <cell r="BJ122">
            <v>0</v>
          </cell>
        </row>
        <row r="123">
          <cell r="D123" t="str">
            <v>Slovenská zdravotnícka univerzita v Bratislave</v>
          </cell>
          <cell r="E123" t="str">
            <v>Lekárska fakulta</v>
          </cell>
          <cell r="AN123">
            <v>373</v>
          </cell>
          <cell r="AO123">
            <v>550</v>
          </cell>
          <cell r="AP123">
            <v>0</v>
          </cell>
          <cell r="AQ123">
            <v>373</v>
          </cell>
          <cell r="AR123">
            <v>373</v>
          </cell>
          <cell r="BF123">
            <v>446.4</v>
          </cell>
          <cell r="BG123">
            <v>1397.232</v>
          </cell>
          <cell r="BH123">
            <v>1361.4055384615383</v>
          </cell>
          <cell r="BI123">
            <v>550</v>
          </cell>
          <cell r="BJ123">
            <v>0</v>
          </cell>
        </row>
        <row r="124">
          <cell r="D124" t="str">
            <v>Slovenská zdravotnícka univerzita v Bratislave</v>
          </cell>
          <cell r="E124" t="str">
            <v>Lekárska fakulta</v>
          </cell>
          <cell r="AN124">
            <v>4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54</v>
          </cell>
          <cell r="BJ124">
            <v>0</v>
          </cell>
        </row>
        <row r="125">
          <cell r="D125" t="str">
            <v>Slovenská zdravotnícka univerzita v Bratislave</v>
          </cell>
          <cell r="E125" t="str">
            <v>Lekárska fakulta</v>
          </cell>
          <cell r="AN125">
            <v>7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21</v>
          </cell>
          <cell r="BJ125">
            <v>0</v>
          </cell>
        </row>
        <row r="126">
          <cell r="D126" t="str">
            <v>Univerzita veterinárskeho lekárstva a farmácie v Košiciach</v>
          </cell>
          <cell r="E126">
            <v>0</v>
          </cell>
          <cell r="AN126">
            <v>11</v>
          </cell>
          <cell r="AO126">
            <v>0</v>
          </cell>
          <cell r="AP126">
            <v>0</v>
          </cell>
          <cell r="AQ126">
            <v>0</v>
          </cell>
          <cell r="AR126">
            <v>11</v>
          </cell>
          <cell r="BF126">
            <v>33</v>
          </cell>
          <cell r="BG126">
            <v>70.289999999999992</v>
          </cell>
          <cell r="BH126">
            <v>70.289999999999992</v>
          </cell>
          <cell r="BI126">
            <v>11</v>
          </cell>
          <cell r="BJ126">
            <v>11</v>
          </cell>
        </row>
        <row r="127">
          <cell r="D127" t="str">
            <v>Slovenská zdravotnícka univerzita v Bratislave</v>
          </cell>
          <cell r="E127" t="str">
            <v>Fakulta verejného zdravotníctva</v>
          </cell>
          <cell r="AN127">
            <v>31</v>
          </cell>
          <cell r="AO127">
            <v>39</v>
          </cell>
          <cell r="AP127">
            <v>0</v>
          </cell>
          <cell r="AQ127">
            <v>0</v>
          </cell>
          <cell r="AR127">
            <v>31</v>
          </cell>
          <cell r="BF127">
            <v>27.7</v>
          </cell>
          <cell r="BG127">
            <v>40.995999999999995</v>
          </cell>
          <cell r="BH127">
            <v>40.995999999999995</v>
          </cell>
          <cell r="BI127">
            <v>39</v>
          </cell>
          <cell r="BJ127">
            <v>0</v>
          </cell>
        </row>
        <row r="128">
          <cell r="D128" t="str">
            <v>Slovenská zdravotnícka univerzita v Bratislave</v>
          </cell>
          <cell r="E128" t="str">
            <v>Fakulta verejného zdravotníctva</v>
          </cell>
          <cell r="AN128">
            <v>1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12</v>
          </cell>
          <cell r="BJ128">
            <v>0</v>
          </cell>
        </row>
        <row r="129">
          <cell r="D129" t="str">
            <v>Technická univerzita v Košiciach</v>
          </cell>
          <cell r="E129" t="str">
            <v>Fakulta materiálov, metalurgie a recyklácie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1</v>
          </cell>
          <cell r="BJ129">
            <v>0</v>
          </cell>
        </row>
        <row r="130">
          <cell r="D130" t="str">
            <v>Technická univerzita v Košiciach</v>
          </cell>
          <cell r="E130" t="str">
            <v>Fakulta baníctva, ekológie, riadenia a geotechnológií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5</v>
          </cell>
          <cell r="BJ130">
            <v>0</v>
          </cell>
        </row>
        <row r="131">
          <cell r="D131" t="str">
            <v>Technická univerzita v Košiciach</v>
          </cell>
          <cell r="E131" t="str">
            <v>Fakulta baníctva, ekológie, riadenia a geotechnológií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</v>
          </cell>
          <cell r="BJ131">
            <v>0</v>
          </cell>
        </row>
        <row r="132">
          <cell r="D132" t="str">
            <v>Technická univerzita v Košiciach</v>
          </cell>
          <cell r="E132" t="str">
            <v>Fakulta elektrotechniky a informatiky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3</v>
          </cell>
          <cell r="BJ132">
            <v>0</v>
          </cell>
        </row>
        <row r="133">
          <cell r="D133" t="str">
            <v>Univerzita Mateja Bela v Banskej Bystrici</v>
          </cell>
          <cell r="E133" t="str">
            <v>Ekonomická fakulta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2</v>
          </cell>
          <cell r="BJ133">
            <v>0</v>
          </cell>
        </row>
        <row r="134">
          <cell r="D134" t="str">
            <v>Univerzita Konštantína Filozofa v Nitre</v>
          </cell>
          <cell r="E134" t="str">
            <v>Filozofická fakulta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1</v>
          </cell>
          <cell r="BJ134">
            <v>0</v>
          </cell>
        </row>
        <row r="135">
          <cell r="D135" t="str">
            <v>Univerzita Konštantína Filozofa v Nitre</v>
          </cell>
          <cell r="E135" t="str">
            <v>Filozofická fakulta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1</v>
          </cell>
          <cell r="BJ135">
            <v>0</v>
          </cell>
        </row>
        <row r="136">
          <cell r="D136" t="str">
            <v>Vysoká škola ekonómie a manažmentu verejnej správy v Bratislave</v>
          </cell>
          <cell r="E136">
            <v>0</v>
          </cell>
          <cell r="AN136">
            <v>271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271</v>
          </cell>
          <cell r="BJ136">
            <v>0</v>
          </cell>
        </row>
        <row r="137">
          <cell r="D137" t="str">
            <v>Vysoká škola ekonómie a manažmentu verejnej správy v Bratislave</v>
          </cell>
          <cell r="E137">
            <v>0</v>
          </cell>
          <cell r="AN137">
            <v>57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57</v>
          </cell>
          <cell r="BJ137">
            <v>0</v>
          </cell>
        </row>
        <row r="138">
          <cell r="D138" t="str">
            <v>Vysoká škola medzinárodného podnikania ISM Slovakia v Prešove</v>
          </cell>
          <cell r="E138">
            <v>0</v>
          </cell>
          <cell r="AN138">
            <v>34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34</v>
          </cell>
          <cell r="BJ138">
            <v>0</v>
          </cell>
        </row>
        <row r="139">
          <cell r="D139" t="str">
            <v>Vysoká škola medzinárodného podnikania ISM Slovakia v Prešove</v>
          </cell>
          <cell r="E139">
            <v>0</v>
          </cell>
          <cell r="AN139">
            <v>39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39</v>
          </cell>
          <cell r="BJ139">
            <v>0</v>
          </cell>
        </row>
        <row r="140">
          <cell r="D140" t="str">
            <v>Vysoká škola medzinárodného podnikania ISM Slovakia v Prešove</v>
          </cell>
          <cell r="E140">
            <v>0</v>
          </cell>
          <cell r="AN140">
            <v>42</v>
          </cell>
          <cell r="AO140">
            <v>42</v>
          </cell>
          <cell r="AP140">
            <v>0</v>
          </cell>
          <cell r="AQ140">
            <v>0</v>
          </cell>
          <cell r="AR140">
            <v>42</v>
          </cell>
          <cell r="BF140">
            <v>42</v>
          </cell>
          <cell r="BG140">
            <v>43.68</v>
          </cell>
          <cell r="BH140">
            <v>43.68</v>
          </cell>
          <cell r="BI140">
            <v>42</v>
          </cell>
          <cell r="BJ140">
            <v>0</v>
          </cell>
        </row>
        <row r="141">
          <cell r="D141" t="str">
            <v>Vysoká škola medzinárodného podnikania ISM Slovakia v Prešove</v>
          </cell>
          <cell r="E141">
            <v>0</v>
          </cell>
          <cell r="AN141">
            <v>59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59</v>
          </cell>
          <cell r="BJ141">
            <v>0</v>
          </cell>
        </row>
        <row r="142">
          <cell r="D142" t="str">
            <v>Vysoká škola ekonómie a manažmentu verejnej správy v Bratislave</v>
          </cell>
          <cell r="E142">
            <v>0</v>
          </cell>
          <cell r="AN142">
            <v>151</v>
          </cell>
          <cell r="AO142">
            <v>151</v>
          </cell>
          <cell r="AP142">
            <v>0</v>
          </cell>
          <cell r="AQ142">
            <v>0</v>
          </cell>
          <cell r="AR142">
            <v>151</v>
          </cell>
          <cell r="BF142">
            <v>226.5</v>
          </cell>
          <cell r="BG142">
            <v>235.56</v>
          </cell>
          <cell r="BH142">
            <v>206.41043478260869</v>
          </cell>
          <cell r="BI142">
            <v>151</v>
          </cell>
          <cell r="BJ142">
            <v>0</v>
          </cell>
        </row>
        <row r="143">
          <cell r="D143" t="str">
            <v>Paneurópska vysoká škola</v>
          </cell>
          <cell r="E143" t="str">
            <v>Fakulta práva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1</v>
          </cell>
          <cell r="BJ143">
            <v>0</v>
          </cell>
        </row>
        <row r="144">
          <cell r="D144" t="str">
            <v>Paneurópska vysoká škola</v>
          </cell>
          <cell r="E144" t="str">
            <v>Fakulta ekonómie a podnikania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</v>
          </cell>
          <cell r="BJ144">
            <v>0</v>
          </cell>
        </row>
        <row r="145">
          <cell r="D145" t="str">
            <v>Paneurópska vysoká škola</v>
          </cell>
          <cell r="E145" t="str">
            <v>Fakulta práva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2</v>
          </cell>
          <cell r="BJ145">
            <v>0</v>
          </cell>
        </row>
        <row r="146">
          <cell r="D146" t="str">
            <v>Slovenská technická univerzita v Bratislave</v>
          </cell>
          <cell r="E146" t="str">
            <v>Stavebná fakulta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</v>
          </cell>
          <cell r="BJ146">
            <v>0</v>
          </cell>
        </row>
        <row r="147">
          <cell r="D147" t="str">
            <v>Slovenská technická univerzita v Bratislave</v>
          </cell>
          <cell r="E147" t="str">
            <v>Fakulta elektrotechniky a informatiky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3</v>
          </cell>
          <cell r="BJ147">
            <v>0</v>
          </cell>
        </row>
        <row r="148">
          <cell r="D148" t="str">
            <v>Slovenská technická univerzita v Bratislave</v>
          </cell>
          <cell r="E148" t="str">
            <v>Fakulta architektúry a dizajnu</v>
          </cell>
          <cell r="AN148">
            <v>18</v>
          </cell>
          <cell r="AO148">
            <v>0</v>
          </cell>
          <cell r="AP148">
            <v>0</v>
          </cell>
          <cell r="AQ148">
            <v>18</v>
          </cell>
          <cell r="AR148">
            <v>18</v>
          </cell>
          <cell r="BF148">
            <v>72</v>
          </cell>
          <cell r="BG148">
            <v>153.35999999999999</v>
          </cell>
          <cell r="BH148">
            <v>153.35999999999999</v>
          </cell>
          <cell r="BI148">
            <v>30</v>
          </cell>
          <cell r="BJ148">
            <v>18</v>
          </cell>
        </row>
        <row r="149">
          <cell r="D149" t="str">
            <v>Slovenská technická univerzita v Bratislave</v>
          </cell>
          <cell r="E149" t="str">
            <v>Fakulta architektúry a dizajnu</v>
          </cell>
          <cell r="AN149">
            <v>5</v>
          </cell>
          <cell r="AO149">
            <v>0</v>
          </cell>
          <cell r="AP149">
            <v>0</v>
          </cell>
          <cell r="AQ149">
            <v>5</v>
          </cell>
          <cell r="AR149">
            <v>5</v>
          </cell>
          <cell r="BF149">
            <v>20</v>
          </cell>
          <cell r="BG149">
            <v>42.599999999999994</v>
          </cell>
          <cell r="BH149">
            <v>42.599999999999994</v>
          </cell>
          <cell r="BI149">
            <v>8</v>
          </cell>
          <cell r="BJ149">
            <v>5</v>
          </cell>
        </row>
        <row r="150">
          <cell r="D150" t="str">
            <v>Slovenská technická univerzita v Bratislave</v>
          </cell>
          <cell r="E150" t="str">
            <v>Fakulta chemickej a potravinárskej technológie</v>
          </cell>
          <cell r="AN150">
            <v>9</v>
          </cell>
          <cell r="AO150">
            <v>0</v>
          </cell>
          <cell r="AP150">
            <v>0</v>
          </cell>
          <cell r="AQ150">
            <v>9</v>
          </cell>
          <cell r="AR150">
            <v>9</v>
          </cell>
          <cell r="BF150">
            <v>27</v>
          </cell>
          <cell r="BG150">
            <v>57.51</v>
          </cell>
          <cell r="BH150">
            <v>57.51</v>
          </cell>
          <cell r="BI150">
            <v>10</v>
          </cell>
          <cell r="BJ150">
            <v>9</v>
          </cell>
        </row>
        <row r="151">
          <cell r="D151" t="str">
            <v>Slovenská technická univerzita v Bratislave</v>
          </cell>
          <cell r="E151" t="str">
            <v>Stavebná fakulta</v>
          </cell>
          <cell r="AN151">
            <v>9</v>
          </cell>
          <cell r="AO151">
            <v>0</v>
          </cell>
          <cell r="AP151">
            <v>0</v>
          </cell>
          <cell r="AQ151">
            <v>9</v>
          </cell>
          <cell r="AR151">
            <v>9</v>
          </cell>
          <cell r="BF151">
            <v>27</v>
          </cell>
          <cell r="BG151">
            <v>57.51</v>
          </cell>
          <cell r="BH151">
            <v>57.51</v>
          </cell>
          <cell r="BI151">
            <v>12</v>
          </cell>
          <cell r="BJ151">
            <v>9</v>
          </cell>
        </row>
        <row r="152">
          <cell r="D152" t="str">
            <v>Slovenská technická univerzita v Bratislave</v>
          </cell>
          <cell r="E152" t="str">
            <v>Materiálovotechnologická fakulta so sídlom v Trnave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2</v>
          </cell>
          <cell r="BJ152">
            <v>0</v>
          </cell>
        </row>
        <row r="153">
          <cell r="D153" t="str">
            <v>Slovenská technická univerzita v Bratislave</v>
          </cell>
          <cell r="E153" t="str">
            <v>Fakulta architektúry a dizajnu</v>
          </cell>
          <cell r="AN153">
            <v>433</v>
          </cell>
          <cell r="AO153">
            <v>461</v>
          </cell>
          <cell r="AP153">
            <v>0</v>
          </cell>
          <cell r="AQ153">
            <v>433</v>
          </cell>
          <cell r="AR153">
            <v>433</v>
          </cell>
          <cell r="BF153">
            <v>385.9</v>
          </cell>
          <cell r="BG153">
            <v>578.84999999999991</v>
          </cell>
          <cell r="BH153">
            <v>573.44018691588781</v>
          </cell>
          <cell r="BI153">
            <v>461</v>
          </cell>
          <cell r="BJ153">
            <v>0</v>
          </cell>
        </row>
        <row r="154">
          <cell r="D154" t="str">
            <v>Slovenská zdravotnícka univerzita v Bratislave</v>
          </cell>
          <cell r="E154" t="str">
            <v>Fakulta zdravotníctva so sídlom v Banskej Bystrici</v>
          </cell>
          <cell r="AN154">
            <v>106</v>
          </cell>
          <cell r="AO154">
            <v>111</v>
          </cell>
          <cell r="AP154">
            <v>111</v>
          </cell>
          <cell r="AQ154">
            <v>0</v>
          </cell>
          <cell r="AR154">
            <v>106</v>
          </cell>
          <cell r="BF154">
            <v>92.8</v>
          </cell>
          <cell r="BG154">
            <v>199.51999999999998</v>
          </cell>
          <cell r="BH154">
            <v>195.18260869565216</v>
          </cell>
          <cell r="BI154">
            <v>111</v>
          </cell>
          <cell r="BJ154">
            <v>0</v>
          </cell>
        </row>
        <row r="155">
          <cell r="D155" t="str">
            <v>Prešovská univerzita v Prešove</v>
          </cell>
          <cell r="E155" t="str">
            <v>Filozofická fakulta</v>
          </cell>
          <cell r="AN155">
            <v>1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5</v>
          </cell>
          <cell r="BJ155">
            <v>0</v>
          </cell>
        </row>
        <row r="156">
          <cell r="D156" t="str">
            <v>Prešovská univerzita v Prešove</v>
          </cell>
          <cell r="E156" t="str">
            <v>Filozofická fakulta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4</v>
          </cell>
          <cell r="BJ156">
            <v>0</v>
          </cell>
        </row>
        <row r="157">
          <cell r="D157" t="str">
            <v>Prešovská univerzita v Prešove</v>
          </cell>
          <cell r="E157" t="str">
            <v>Filozofická fakulta</v>
          </cell>
          <cell r="AN157">
            <v>3</v>
          </cell>
          <cell r="AO157">
            <v>0</v>
          </cell>
          <cell r="AP157">
            <v>0</v>
          </cell>
          <cell r="AQ157">
            <v>0</v>
          </cell>
          <cell r="AR157">
            <v>3</v>
          </cell>
          <cell r="BF157">
            <v>9</v>
          </cell>
          <cell r="BG157">
            <v>9.9</v>
          </cell>
          <cell r="BH157">
            <v>8.4857142857142858</v>
          </cell>
          <cell r="BI157">
            <v>3</v>
          </cell>
          <cell r="BJ157">
            <v>3</v>
          </cell>
        </row>
        <row r="158">
          <cell r="D158" t="str">
            <v>Prešovská univerzita v Prešove</v>
          </cell>
          <cell r="E158" t="str">
            <v>Gréckokatolícka teologická fakulta</v>
          </cell>
          <cell r="AN158">
            <v>67</v>
          </cell>
          <cell r="AO158">
            <v>70</v>
          </cell>
          <cell r="AP158">
            <v>0</v>
          </cell>
          <cell r="AQ158">
            <v>0</v>
          </cell>
          <cell r="AR158">
            <v>67</v>
          </cell>
          <cell r="BF158">
            <v>75.099999999999994</v>
          </cell>
          <cell r="BG158">
            <v>75.099999999999994</v>
          </cell>
          <cell r="BH158">
            <v>75.099999999999994</v>
          </cell>
          <cell r="BI158">
            <v>70</v>
          </cell>
          <cell r="BJ158">
            <v>0</v>
          </cell>
        </row>
        <row r="159">
          <cell r="D159" t="str">
            <v>Prešovská univerzita v Prešove</v>
          </cell>
          <cell r="E159" t="str">
            <v>Pravoslávna bohoslovecká fakulta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7</v>
          </cell>
          <cell r="BJ159">
            <v>0</v>
          </cell>
        </row>
        <row r="160">
          <cell r="D160" t="str">
            <v>Univerzita Pavla Jozefa Šafárika v Košiciach</v>
          </cell>
          <cell r="E160" t="str">
            <v>Fakulta verejnej správy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1</v>
          </cell>
          <cell r="BJ160">
            <v>0</v>
          </cell>
        </row>
        <row r="161">
          <cell r="D161" t="str">
            <v>Akadémia ozbrojených síl generála Milana Rastislava Štefánika</v>
          </cell>
          <cell r="E161">
            <v>0</v>
          </cell>
          <cell r="AN161">
            <v>23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23</v>
          </cell>
          <cell r="BJ161">
            <v>0</v>
          </cell>
        </row>
        <row r="162">
          <cell r="D162" t="str">
            <v>Akadémia ozbrojených síl generála Milana Rastislava Štefánika</v>
          </cell>
          <cell r="E162">
            <v>0</v>
          </cell>
          <cell r="AN162">
            <v>7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7</v>
          </cell>
          <cell r="BJ162">
            <v>0</v>
          </cell>
        </row>
        <row r="163">
          <cell r="D163" t="str">
            <v>Akadémia ozbrojených síl generála Milana Rastislava Štefánika</v>
          </cell>
          <cell r="E163">
            <v>0</v>
          </cell>
          <cell r="AN163">
            <v>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2</v>
          </cell>
          <cell r="BJ163">
            <v>0</v>
          </cell>
        </row>
        <row r="164">
          <cell r="D164" t="str">
            <v>Katolícka univerzita v Ružomberku</v>
          </cell>
          <cell r="E164" t="str">
            <v>Pedagogická fakulta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11</v>
          </cell>
          <cell r="BJ164">
            <v>0</v>
          </cell>
        </row>
        <row r="165">
          <cell r="D165" t="str">
            <v>Univerzita Pavla Jozefa Šafárika v Košiciach</v>
          </cell>
          <cell r="E165" t="str">
            <v>Prírodovedecká fakulta</v>
          </cell>
          <cell r="AN165">
            <v>8</v>
          </cell>
          <cell r="AO165">
            <v>0</v>
          </cell>
          <cell r="AP165">
            <v>0</v>
          </cell>
          <cell r="AQ165">
            <v>0</v>
          </cell>
          <cell r="AR165">
            <v>8</v>
          </cell>
          <cell r="BF165">
            <v>24</v>
          </cell>
          <cell r="BG165">
            <v>51.12</v>
          </cell>
          <cell r="BH165">
            <v>25.56</v>
          </cell>
          <cell r="BI165">
            <v>10</v>
          </cell>
          <cell r="BJ165">
            <v>8</v>
          </cell>
        </row>
        <row r="166">
          <cell r="D166" t="str">
            <v>Univerzita Pavla Jozefa Šafárika v Košiciach</v>
          </cell>
          <cell r="E166" t="str">
            <v>Prírodovedecká fakulta</v>
          </cell>
          <cell r="AN166">
            <v>5</v>
          </cell>
          <cell r="AO166">
            <v>0</v>
          </cell>
          <cell r="AP166">
            <v>0</v>
          </cell>
          <cell r="AQ166">
            <v>5</v>
          </cell>
          <cell r="AR166">
            <v>5</v>
          </cell>
          <cell r="BF166">
            <v>15</v>
          </cell>
          <cell r="BG166">
            <v>31.95</v>
          </cell>
          <cell r="BH166">
            <v>31.95</v>
          </cell>
          <cell r="BI166">
            <v>6</v>
          </cell>
          <cell r="BJ166">
            <v>5</v>
          </cell>
        </row>
        <row r="167">
          <cell r="D167" t="str">
            <v>Univerzita Pavla Jozefa Šafárika v Košiciach</v>
          </cell>
          <cell r="E167" t="str">
            <v>Prírodovedecká fakulta</v>
          </cell>
          <cell r="AN167">
            <v>9</v>
          </cell>
          <cell r="AO167">
            <v>0</v>
          </cell>
          <cell r="AP167">
            <v>0</v>
          </cell>
          <cell r="AQ167">
            <v>9</v>
          </cell>
          <cell r="AR167">
            <v>9</v>
          </cell>
          <cell r="BF167">
            <v>27</v>
          </cell>
          <cell r="BG167">
            <v>57.51</v>
          </cell>
          <cell r="BH167">
            <v>57.51</v>
          </cell>
          <cell r="BI167">
            <v>10</v>
          </cell>
          <cell r="BJ167">
            <v>9</v>
          </cell>
        </row>
        <row r="168">
          <cell r="D168" t="str">
            <v>Ekonomická univerzita v Bratislave</v>
          </cell>
          <cell r="E168" t="str">
            <v>Fakulta hospodárskej informatiky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2</v>
          </cell>
          <cell r="BJ168">
            <v>0</v>
          </cell>
        </row>
        <row r="169">
          <cell r="D169" t="str">
            <v>Univerzita Pavla Jozefa Šafárika v Košiciach</v>
          </cell>
          <cell r="E169" t="str">
            <v>Lekárska fakulta</v>
          </cell>
          <cell r="AN169">
            <v>17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17</v>
          </cell>
          <cell r="BJ169">
            <v>0</v>
          </cell>
        </row>
        <row r="170">
          <cell r="D170" t="str">
            <v>Univerzita Pavla Jozefa Šafárika v Košiciach</v>
          </cell>
          <cell r="E170" t="str">
            <v>Lekárska fakulta</v>
          </cell>
          <cell r="AN170">
            <v>13</v>
          </cell>
          <cell r="AO170">
            <v>0</v>
          </cell>
          <cell r="AP170">
            <v>0</v>
          </cell>
          <cell r="AQ170">
            <v>0</v>
          </cell>
          <cell r="AR170">
            <v>13</v>
          </cell>
          <cell r="BF170">
            <v>39</v>
          </cell>
          <cell r="BG170">
            <v>132.99</v>
          </cell>
          <cell r="BH170">
            <v>132.99</v>
          </cell>
          <cell r="BI170">
            <v>13</v>
          </cell>
          <cell r="BJ170">
            <v>13</v>
          </cell>
        </row>
        <row r="171">
          <cell r="D171" t="str">
            <v>Univerzita Komenského v Bratislave</v>
          </cell>
          <cell r="E171" t="str">
            <v>Fakulta matematiky, fyziky a informatiky</v>
          </cell>
          <cell r="AN171">
            <v>14</v>
          </cell>
          <cell r="AO171">
            <v>0</v>
          </cell>
          <cell r="AP171">
            <v>0</v>
          </cell>
          <cell r="AQ171">
            <v>14</v>
          </cell>
          <cell r="AR171">
            <v>14</v>
          </cell>
          <cell r="BF171">
            <v>42</v>
          </cell>
          <cell r="BG171">
            <v>89.46</v>
          </cell>
          <cell r="BH171">
            <v>89.46</v>
          </cell>
          <cell r="BI171">
            <v>16</v>
          </cell>
          <cell r="BJ171">
            <v>14</v>
          </cell>
        </row>
        <row r="172">
          <cell r="D172" t="str">
            <v>Univerzita Komenského v Bratislave</v>
          </cell>
          <cell r="E172" t="str">
            <v>Fakulta matematiky, fyziky a informatiky</v>
          </cell>
          <cell r="AN172">
            <v>10</v>
          </cell>
          <cell r="AO172">
            <v>0</v>
          </cell>
          <cell r="AP172">
            <v>0</v>
          </cell>
          <cell r="AQ172">
            <v>10</v>
          </cell>
          <cell r="AR172">
            <v>10</v>
          </cell>
          <cell r="BF172">
            <v>30</v>
          </cell>
          <cell r="BG172">
            <v>63.9</v>
          </cell>
          <cell r="BH172">
            <v>63.9</v>
          </cell>
          <cell r="BI172">
            <v>11</v>
          </cell>
          <cell r="BJ172">
            <v>10</v>
          </cell>
        </row>
        <row r="173">
          <cell r="D173" t="str">
            <v>Univerzita Komenského v Bratislave</v>
          </cell>
          <cell r="E173" t="str">
            <v>Fakulta matematiky, fyziky a informatiky</v>
          </cell>
          <cell r="AN173">
            <v>9</v>
          </cell>
          <cell r="AO173">
            <v>0</v>
          </cell>
          <cell r="AP173">
            <v>0</v>
          </cell>
          <cell r="AQ173">
            <v>9</v>
          </cell>
          <cell r="AR173">
            <v>9</v>
          </cell>
          <cell r="BF173">
            <v>27</v>
          </cell>
          <cell r="BG173">
            <v>57.51</v>
          </cell>
          <cell r="BH173">
            <v>57.51</v>
          </cell>
          <cell r="BI173">
            <v>10</v>
          </cell>
          <cell r="BJ173">
            <v>9</v>
          </cell>
        </row>
        <row r="174">
          <cell r="D174" t="str">
            <v>Univerzita Pavla Jozefa Šafárika v Košiciach</v>
          </cell>
          <cell r="E174" t="str">
            <v>Právnická fakulta</v>
          </cell>
          <cell r="AN174">
            <v>6</v>
          </cell>
          <cell r="AO174">
            <v>0</v>
          </cell>
          <cell r="AP174">
            <v>0</v>
          </cell>
          <cell r="AQ174">
            <v>0</v>
          </cell>
          <cell r="AR174">
            <v>6</v>
          </cell>
          <cell r="BF174">
            <v>24</v>
          </cell>
          <cell r="BG174">
            <v>26.400000000000002</v>
          </cell>
          <cell r="BH174">
            <v>26.400000000000002</v>
          </cell>
          <cell r="BI174">
            <v>8</v>
          </cell>
          <cell r="BJ174">
            <v>6</v>
          </cell>
        </row>
        <row r="175">
          <cell r="D175" t="str">
            <v>Vysoká škola výtvarných umení v Bratislave</v>
          </cell>
          <cell r="E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1</v>
          </cell>
          <cell r="BJ175">
            <v>0</v>
          </cell>
        </row>
        <row r="176">
          <cell r="D176" t="str">
            <v>Vysoká škola výtvarných umení v Bratislave</v>
          </cell>
          <cell r="E176">
            <v>0</v>
          </cell>
          <cell r="AN176">
            <v>10</v>
          </cell>
          <cell r="AO176">
            <v>0</v>
          </cell>
          <cell r="AP176">
            <v>0</v>
          </cell>
          <cell r="AQ176">
            <v>0</v>
          </cell>
          <cell r="AR176">
            <v>10</v>
          </cell>
          <cell r="BF176">
            <v>40</v>
          </cell>
          <cell r="BG176">
            <v>44</v>
          </cell>
          <cell r="BH176">
            <v>44</v>
          </cell>
          <cell r="BI176">
            <v>13</v>
          </cell>
          <cell r="BJ176">
            <v>10</v>
          </cell>
        </row>
        <row r="177">
          <cell r="D177" t="str">
            <v>Vysoká škola výtvarných umení v Bratislave</v>
          </cell>
          <cell r="E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1</v>
          </cell>
          <cell r="BJ177">
            <v>0</v>
          </cell>
        </row>
        <row r="178">
          <cell r="D178" t="str">
            <v>Univerzita Komenského v Bratislave</v>
          </cell>
          <cell r="E178" t="str">
            <v>Lekárska fakulta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30</v>
          </cell>
          <cell r="BJ178">
            <v>0</v>
          </cell>
        </row>
        <row r="179">
          <cell r="D179" t="str">
            <v>Univerzita Komenského v Bratislave</v>
          </cell>
          <cell r="E179" t="str">
            <v>Lekárska fakulta</v>
          </cell>
          <cell r="AN179">
            <v>1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2</v>
          </cell>
          <cell r="BJ179">
            <v>0</v>
          </cell>
        </row>
        <row r="180">
          <cell r="D180" t="str">
            <v>Univerzita Komenského v Bratislave</v>
          </cell>
          <cell r="E180" t="str">
            <v>Lekárska fakulta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25</v>
          </cell>
          <cell r="BJ180">
            <v>0</v>
          </cell>
        </row>
        <row r="181">
          <cell r="D181" t="str">
            <v>Univerzita Komenského v Bratislave</v>
          </cell>
          <cell r="E181" t="str">
            <v>Lekárska fakulta</v>
          </cell>
          <cell r="AN181">
            <v>225</v>
          </cell>
          <cell r="AO181">
            <v>241</v>
          </cell>
          <cell r="AP181">
            <v>0</v>
          </cell>
          <cell r="AQ181">
            <v>0</v>
          </cell>
          <cell r="AR181">
            <v>225</v>
          </cell>
          <cell r="BF181">
            <v>274.5</v>
          </cell>
          <cell r="BG181">
            <v>859.18499999999995</v>
          </cell>
          <cell r="BH181">
            <v>859.18499999999995</v>
          </cell>
          <cell r="BI181">
            <v>241</v>
          </cell>
          <cell r="BJ181">
            <v>0</v>
          </cell>
        </row>
        <row r="182">
          <cell r="D182" t="str">
            <v>Univerzita Komenského v Bratislave</v>
          </cell>
          <cell r="E182" t="str">
            <v>Lekárska fakulta</v>
          </cell>
          <cell r="AN182">
            <v>1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7</v>
          </cell>
          <cell r="BJ182">
            <v>0</v>
          </cell>
        </row>
        <row r="183">
          <cell r="D183" t="str">
            <v>Univerzita Komenského v Bratislave</v>
          </cell>
          <cell r="E183" t="str">
            <v>Lekárska fakulta</v>
          </cell>
          <cell r="AN183">
            <v>0</v>
          </cell>
          <cell r="AO183">
            <v>804</v>
          </cell>
          <cell r="AP183">
            <v>0</v>
          </cell>
          <cell r="AQ183">
            <v>0</v>
          </cell>
          <cell r="AR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804</v>
          </cell>
          <cell r="BJ183">
            <v>0</v>
          </cell>
        </row>
        <row r="184">
          <cell r="D184" t="str">
            <v>Univerzita Komenského v Bratislave</v>
          </cell>
          <cell r="E184" t="str">
            <v>Jesseniova lekárska fakulta v Martine</v>
          </cell>
          <cell r="AN184">
            <v>703</v>
          </cell>
          <cell r="AO184">
            <v>732</v>
          </cell>
          <cell r="AP184">
            <v>0</v>
          </cell>
          <cell r="AQ184">
            <v>703</v>
          </cell>
          <cell r="AR184">
            <v>703</v>
          </cell>
          <cell r="BF184">
            <v>823.3</v>
          </cell>
          <cell r="BG184">
            <v>2576.9289999999996</v>
          </cell>
          <cell r="BH184">
            <v>2526.8915436893199</v>
          </cell>
          <cell r="BI184">
            <v>732</v>
          </cell>
          <cell r="BJ184">
            <v>0</v>
          </cell>
        </row>
        <row r="185">
          <cell r="D185" t="str">
            <v>Univerzita Komenského v Bratislave</v>
          </cell>
          <cell r="E185" t="str">
            <v>Jesseniova lekárska fakulta v Martine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4</v>
          </cell>
          <cell r="BJ185">
            <v>0</v>
          </cell>
        </row>
        <row r="186">
          <cell r="D186" t="str">
            <v>Univerzita Komenského v Bratislave</v>
          </cell>
          <cell r="E186" t="str">
            <v>Jesseniova lekárska fakulta v Martine</v>
          </cell>
          <cell r="AN186">
            <v>1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13</v>
          </cell>
          <cell r="BJ186">
            <v>0</v>
          </cell>
        </row>
        <row r="187">
          <cell r="D187" t="str">
            <v>Univerzita Komenského v Bratislave</v>
          </cell>
          <cell r="E187" t="str">
            <v>Jesseniova lekárska fakulta v Martine</v>
          </cell>
          <cell r="AN187">
            <v>3</v>
          </cell>
          <cell r="AO187">
            <v>625</v>
          </cell>
          <cell r="AP187">
            <v>0</v>
          </cell>
          <cell r="AQ187">
            <v>3</v>
          </cell>
          <cell r="AR187">
            <v>3</v>
          </cell>
          <cell r="BF187">
            <v>3.2</v>
          </cell>
          <cell r="BG187">
            <v>10.016</v>
          </cell>
          <cell r="BH187">
            <v>10.016</v>
          </cell>
          <cell r="BI187">
            <v>625</v>
          </cell>
          <cell r="BJ187">
            <v>0</v>
          </cell>
        </row>
        <row r="188">
          <cell r="D188" t="str">
            <v>Univerzita Komenského v Bratislave</v>
          </cell>
          <cell r="E188" t="str">
            <v>Fakulta sociálnych a ekonomických vied</v>
          </cell>
          <cell r="AN188">
            <v>1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</row>
        <row r="189">
          <cell r="D189" t="str">
            <v>Univerzita Pavla Jozefa Šafárika v Košiciach</v>
          </cell>
          <cell r="E189" t="str">
            <v>Lekárska fakulta</v>
          </cell>
          <cell r="AN189">
            <v>112</v>
          </cell>
          <cell r="AO189">
            <v>1215</v>
          </cell>
          <cell r="AP189">
            <v>0</v>
          </cell>
          <cell r="AQ189">
            <v>112</v>
          </cell>
          <cell r="AR189">
            <v>112</v>
          </cell>
          <cell r="BF189">
            <v>100.9</v>
          </cell>
          <cell r="BG189">
            <v>315.81700000000001</v>
          </cell>
          <cell r="BH189">
            <v>307.04430555555558</v>
          </cell>
          <cell r="BI189">
            <v>1215</v>
          </cell>
          <cell r="BJ189">
            <v>0</v>
          </cell>
        </row>
        <row r="190">
          <cell r="D190" t="str">
            <v>Univerzita Komenského v Bratislave</v>
          </cell>
          <cell r="E190" t="str">
            <v>Filozofická fakulta</v>
          </cell>
          <cell r="AN190">
            <v>13</v>
          </cell>
          <cell r="AO190">
            <v>0</v>
          </cell>
          <cell r="AP190">
            <v>0</v>
          </cell>
          <cell r="AQ190">
            <v>0</v>
          </cell>
          <cell r="AR190">
            <v>13</v>
          </cell>
          <cell r="BF190">
            <v>39</v>
          </cell>
          <cell r="BG190">
            <v>42.900000000000006</v>
          </cell>
          <cell r="BH190">
            <v>42.900000000000006</v>
          </cell>
          <cell r="BI190">
            <v>18</v>
          </cell>
          <cell r="BJ190">
            <v>13</v>
          </cell>
        </row>
        <row r="191">
          <cell r="D191" t="str">
            <v>Univerzita Komenského v Bratislave</v>
          </cell>
          <cell r="E191" t="str">
            <v>Filozofická fakulta</v>
          </cell>
          <cell r="AN191">
            <v>1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2</v>
          </cell>
          <cell r="BJ191">
            <v>0</v>
          </cell>
        </row>
        <row r="192">
          <cell r="D192" t="str">
            <v>Univerzita Komenského v Bratislave</v>
          </cell>
          <cell r="E192" t="str">
            <v>Filozofická fakulta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5</v>
          </cell>
          <cell r="BJ192">
            <v>0</v>
          </cell>
        </row>
        <row r="193">
          <cell r="D193" t="str">
            <v>Univerzita Komenského v Bratislave</v>
          </cell>
          <cell r="E193" t="str">
            <v>Filozofická fakulta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6</v>
          </cell>
          <cell r="BJ193">
            <v>0</v>
          </cell>
        </row>
        <row r="194">
          <cell r="D194" t="str">
            <v>Stredoeurópska vysoká škola v Skalici</v>
          </cell>
          <cell r="E194">
            <v>0</v>
          </cell>
          <cell r="AN194">
            <v>271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271</v>
          </cell>
          <cell r="BJ194">
            <v>0</v>
          </cell>
        </row>
        <row r="195">
          <cell r="D195" t="str">
            <v>Univerzita Komenského v Bratislave</v>
          </cell>
          <cell r="E195" t="str">
            <v>Rímskokatolícka cyrilometodská bohoslovecká fakulta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3</v>
          </cell>
          <cell r="BJ195">
            <v>0</v>
          </cell>
        </row>
        <row r="196">
          <cell r="D196" t="str">
            <v>Univerzita Komenského v Bratislave</v>
          </cell>
          <cell r="E196" t="str">
            <v>Farmaceutická fakulta</v>
          </cell>
          <cell r="AN196">
            <v>12</v>
          </cell>
          <cell r="AO196">
            <v>0</v>
          </cell>
          <cell r="AP196">
            <v>0</v>
          </cell>
          <cell r="AQ196">
            <v>0</v>
          </cell>
          <cell r="AR196">
            <v>12</v>
          </cell>
          <cell r="BF196">
            <v>36</v>
          </cell>
          <cell r="BG196">
            <v>76.679999999999993</v>
          </cell>
          <cell r="BH196">
            <v>76.679999999999993</v>
          </cell>
          <cell r="BI196">
            <v>12</v>
          </cell>
          <cell r="BJ196">
            <v>12</v>
          </cell>
        </row>
        <row r="197">
          <cell r="D197" t="str">
            <v>Univerzita Komenského v Bratislave</v>
          </cell>
          <cell r="E197" t="str">
            <v>Farmaceutická fakulta</v>
          </cell>
          <cell r="AN197">
            <v>2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5</v>
          </cell>
          <cell r="BJ197">
            <v>0</v>
          </cell>
        </row>
        <row r="198">
          <cell r="D198" t="str">
            <v>Univerzita Komenského v Bratislave</v>
          </cell>
          <cell r="E198" t="str">
            <v>Farmaceutická fakulta</v>
          </cell>
          <cell r="AN198">
            <v>836</v>
          </cell>
          <cell r="AO198">
            <v>893</v>
          </cell>
          <cell r="AP198">
            <v>0</v>
          </cell>
          <cell r="AQ198">
            <v>0</v>
          </cell>
          <cell r="AR198">
            <v>836</v>
          </cell>
          <cell r="BF198">
            <v>924.9</v>
          </cell>
          <cell r="BG198">
            <v>2894.9369999999999</v>
          </cell>
          <cell r="BH198">
            <v>2853.5807571428572</v>
          </cell>
          <cell r="BI198">
            <v>893</v>
          </cell>
          <cell r="BJ198">
            <v>0</v>
          </cell>
        </row>
        <row r="199">
          <cell r="D199" t="str">
            <v>Univerzita Komenského v Bratislave</v>
          </cell>
          <cell r="E199" t="str">
            <v>Prírodovedecká fakulta</v>
          </cell>
          <cell r="AN199">
            <v>36</v>
          </cell>
          <cell r="AO199">
            <v>0</v>
          </cell>
          <cell r="AP199">
            <v>0</v>
          </cell>
          <cell r="AQ199">
            <v>36</v>
          </cell>
          <cell r="AR199">
            <v>36</v>
          </cell>
          <cell r="BF199">
            <v>108</v>
          </cell>
          <cell r="BG199">
            <v>230.04</v>
          </cell>
          <cell r="BH199">
            <v>230.04</v>
          </cell>
          <cell r="BI199">
            <v>37</v>
          </cell>
          <cell r="BJ199">
            <v>36</v>
          </cell>
        </row>
        <row r="200">
          <cell r="D200" t="str">
            <v>Univerzita Komenského v Bratislave</v>
          </cell>
          <cell r="E200" t="str">
            <v>Prírodovedecká fakulta</v>
          </cell>
          <cell r="AN200">
            <v>19</v>
          </cell>
          <cell r="AO200">
            <v>0</v>
          </cell>
          <cell r="AP200">
            <v>0</v>
          </cell>
          <cell r="AQ200">
            <v>19</v>
          </cell>
          <cell r="AR200">
            <v>19</v>
          </cell>
          <cell r="BF200">
            <v>57</v>
          </cell>
          <cell r="BG200">
            <v>121.41</v>
          </cell>
          <cell r="BH200">
            <v>121.41</v>
          </cell>
          <cell r="BI200">
            <v>21</v>
          </cell>
          <cell r="BJ200">
            <v>19</v>
          </cell>
        </row>
        <row r="201">
          <cell r="D201" t="str">
            <v>Univerzita Komenského v Bratislave</v>
          </cell>
          <cell r="E201" t="str">
            <v>Prírodovedecká fakulta</v>
          </cell>
          <cell r="AN201">
            <v>8</v>
          </cell>
          <cell r="AO201">
            <v>0</v>
          </cell>
          <cell r="AP201">
            <v>0</v>
          </cell>
          <cell r="AQ201">
            <v>8</v>
          </cell>
          <cell r="AR201">
            <v>8</v>
          </cell>
          <cell r="BF201">
            <v>24</v>
          </cell>
          <cell r="BG201">
            <v>51.12</v>
          </cell>
          <cell r="BH201">
            <v>51.12</v>
          </cell>
          <cell r="BI201">
            <v>9</v>
          </cell>
          <cell r="BJ201">
            <v>8</v>
          </cell>
        </row>
        <row r="202">
          <cell r="D202" t="str">
            <v>Univerzita Komenského v Bratislave</v>
          </cell>
          <cell r="E202" t="str">
            <v>Prírodovedecká fakulta</v>
          </cell>
          <cell r="AN202">
            <v>22</v>
          </cell>
          <cell r="AO202">
            <v>0</v>
          </cell>
          <cell r="AP202">
            <v>0</v>
          </cell>
          <cell r="AQ202">
            <v>0</v>
          </cell>
          <cell r="AR202">
            <v>22</v>
          </cell>
          <cell r="BF202">
            <v>66</v>
          </cell>
          <cell r="BG202">
            <v>140.57999999999998</v>
          </cell>
          <cell r="BH202">
            <v>93.72</v>
          </cell>
          <cell r="BI202">
            <v>25</v>
          </cell>
          <cell r="BJ202">
            <v>22</v>
          </cell>
        </row>
        <row r="203">
          <cell r="D203" t="str">
            <v>Univerzita Komenského v Bratislave</v>
          </cell>
          <cell r="E203" t="str">
            <v>Prírodovedecká fakulta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</v>
          </cell>
          <cell r="BJ203">
            <v>0</v>
          </cell>
        </row>
        <row r="204">
          <cell r="D204" t="str">
            <v>Trnavská univerzita v Trnave</v>
          </cell>
          <cell r="E204" t="str">
            <v>Teologická fakulta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1</v>
          </cell>
          <cell r="BJ204">
            <v>0</v>
          </cell>
        </row>
        <row r="205">
          <cell r="D205" t="str">
            <v>Univerzita Mateja Bela v Banskej Bystrici</v>
          </cell>
          <cell r="E205" t="str">
            <v>Filozofická fakulta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1</v>
          </cell>
          <cell r="BJ205">
            <v>0</v>
          </cell>
        </row>
        <row r="206">
          <cell r="D206" t="str">
            <v>Univerzita Mateja Bela v Banskej Bystrici</v>
          </cell>
          <cell r="E206" t="str">
            <v>Filozofická fakulta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1</v>
          </cell>
          <cell r="BJ206">
            <v>0</v>
          </cell>
        </row>
        <row r="207">
          <cell r="D207" t="str">
            <v>Univerzita Pavla Jozefa Šafárika v Košiciach</v>
          </cell>
          <cell r="E207" t="str">
            <v>Prírodovedecká fakulta</v>
          </cell>
          <cell r="AN207">
            <v>24</v>
          </cell>
          <cell r="AO207">
            <v>29</v>
          </cell>
          <cell r="AP207">
            <v>29</v>
          </cell>
          <cell r="AQ207">
            <v>24</v>
          </cell>
          <cell r="AR207">
            <v>24</v>
          </cell>
          <cell r="BF207">
            <v>22.2</v>
          </cell>
          <cell r="BG207">
            <v>32.856000000000002</v>
          </cell>
          <cell r="BH207">
            <v>32.856000000000002</v>
          </cell>
          <cell r="BI207">
            <v>29</v>
          </cell>
          <cell r="BJ207">
            <v>0</v>
          </cell>
        </row>
        <row r="208">
          <cell r="D208" t="str">
            <v>Univerzita Pavla Jozefa Šafárika v Košiciach</v>
          </cell>
          <cell r="E208" t="str">
            <v>Prírodovedecká fakulta</v>
          </cell>
          <cell r="AN208">
            <v>6</v>
          </cell>
          <cell r="AO208">
            <v>6</v>
          </cell>
          <cell r="AP208">
            <v>6</v>
          </cell>
          <cell r="AQ208">
            <v>6</v>
          </cell>
          <cell r="AR208">
            <v>6</v>
          </cell>
          <cell r="BF208">
            <v>5.0999999999999996</v>
          </cell>
          <cell r="BG208">
            <v>7.1399999999999988</v>
          </cell>
          <cell r="BH208">
            <v>7.1399999999999988</v>
          </cell>
          <cell r="BI208">
            <v>6</v>
          </cell>
          <cell r="BJ208">
            <v>0</v>
          </cell>
        </row>
        <row r="209">
          <cell r="D209" t="str">
            <v>Univerzita Pavla Jozefa Šafárika v Košiciach</v>
          </cell>
          <cell r="E209" t="str">
            <v>Filozofická fakulta</v>
          </cell>
          <cell r="AN209">
            <v>2</v>
          </cell>
          <cell r="AO209">
            <v>2</v>
          </cell>
          <cell r="AP209">
            <v>0</v>
          </cell>
          <cell r="AQ209">
            <v>0</v>
          </cell>
          <cell r="AR209">
            <v>2</v>
          </cell>
          <cell r="BF209">
            <v>2</v>
          </cell>
          <cell r="BG209">
            <v>2.08</v>
          </cell>
          <cell r="BH209">
            <v>1.9746835443037973</v>
          </cell>
          <cell r="BI209">
            <v>2</v>
          </cell>
          <cell r="BJ209">
            <v>0</v>
          </cell>
        </row>
        <row r="210">
          <cell r="D210" t="str">
            <v>Univerzita Pavla Jozefa Šafárika v Košiciach</v>
          </cell>
          <cell r="E210" t="str">
            <v>Prírodovedecká fakulta</v>
          </cell>
          <cell r="AN210">
            <v>13</v>
          </cell>
          <cell r="AO210">
            <v>0</v>
          </cell>
          <cell r="AP210">
            <v>0</v>
          </cell>
          <cell r="AQ210">
            <v>13</v>
          </cell>
          <cell r="AR210">
            <v>13</v>
          </cell>
          <cell r="BF210">
            <v>39</v>
          </cell>
          <cell r="BG210">
            <v>83.07</v>
          </cell>
          <cell r="BH210">
            <v>83.07</v>
          </cell>
          <cell r="BI210">
            <v>13</v>
          </cell>
          <cell r="BJ210">
            <v>13</v>
          </cell>
        </row>
        <row r="211">
          <cell r="D211" t="str">
            <v>Univerzita Pavla Jozefa Šafárika v Košiciach</v>
          </cell>
          <cell r="E211" t="str">
            <v>Lekárska fakulta</v>
          </cell>
          <cell r="AN211">
            <v>3</v>
          </cell>
          <cell r="AO211">
            <v>0</v>
          </cell>
          <cell r="AP211">
            <v>0</v>
          </cell>
          <cell r="AQ211">
            <v>0</v>
          </cell>
          <cell r="AR211">
            <v>3</v>
          </cell>
          <cell r="BF211">
            <v>9</v>
          </cell>
          <cell r="BG211">
            <v>30.69</v>
          </cell>
          <cell r="BH211">
            <v>30.69</v>
          </cell>
          <cell r="BI211">
            <v>3</v>
          </cell>
          <cell r="BJ211">
            <v>3</v>
          </cell>
        </row>
        <row r="212">
          <cell r="D212" t="str">
            <v>Univerzita Pavla Jozefa Šafárika v Košiciach</v>
          </cell>
          <cell r="E212" t="str">
            <v>Lekárska fakulta</v>
          </cell>
          <cell r="AN212">
            <v>236</v>
          </cell>
          <cell r="AO212">
            <v>249</v>
          </cell>
          <cell r="AP212">
            <v>0</v>
          </cell>
          <cell r="AQ212">
            <v>0</v>
          </cell>
          <cell r="AR212">
            <v>236</v>
          </cell>
          <cell r="BF212">
            <v>277.7</v>
          </cell>
          <cell r="BG212">
            <v>869.20099999999991</v>
          </cell>
          <cell r="BH212">
            <v>850.30532608695648</v>
          </cell>
          <cell r="BI212">
            <v>249</v>
          </cell>
          <cell r="BJ212">
            <v>0</v>
          </cell>
        </row>
        <row r="213">
          <cell r="D213" t="str">
            <v>Univerzita Pavla Jozefa Šafárika v Košiciach</v>
          </cell>
          <cell r="E213" t="str">
            <v>Lekárska fakulta</v>
          </cell>
          <cell r="AN213">
            <v>23</v>
          </cell>
          <cell r="AO213">
            <v>180</v>
          </cell>
          <cell r="AP213">
            <v>0</v>
          </cell>
          <cell r="AQ213">
            <v>0</v>
          </cell>
          <cell r="AR213">
            <v>23</v>
          </cell>
          <cell r="BF213">
            <v>19.899999999999999</v>
          </cell>
          <cell r="BG213">
            <v>62.286999999999992</v>
          </cell>
          <cell r="BH213">
            <v>60.93293478260869</v>
          </cell>
          <cell r="BI213">
            <v>180</v>
          </cell>
          <cell r="BJ213">
            <v>0</v>
          </cell>
        </row>
        <row r="214">
          <cell r="D214" t="str">
            <v>Univerzita Komenského v Bratislave</v>
          </cell>
          <cell r="E214" t="str">
            <v>Rímskokatolícka cyrilometodská bohoslovecká fakulta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1</v>
          </cell>
          <cell r="BJ214">
            <v>0</v>
          </cell>
        </row>
        <row r="215">
          <cell r="D215" t="str">
            <v>Univerzita Pavla Jozefa Šafárika v Košiciach</v>
          </cell>
          <cell r="E215" t="str">
            <v>Právnická fakulta</v>
          </cell>
          <cell r="AN215">
            <v>354</v>
          </cell>
          <cell r="AO215">
            <v>402</v>
          </cell>
          <cell r="AP215">
            <v>0</v>
          </cell>
          <cell r="AQ215">
            <v>0</v>
          </cell>
          <cell r="AR215">
            <v>354</v>
          </cell>
          <cell r="BF215">
            <v>309.60000000000002</v>
          </cell>
          <cell r="BG215">
            <v>309.60000000000002</v>
          </cell>
          <cell r="BH215">
            <v>305.5792207792208</v>
          </cell>
          <cell r="BI215">
            <v>402</v>
          </cell>
          <cell r="BJ215">
            <v>0</v>
          </cell>
        </row>
        <row r="216">
          <cell r="D216" t="str">
            <v>Univerzita Mateja Bela v Banskej Bystrici</v>
          </cell>
          <cell r="E216" t="str">
            <v>Ekonomická fakulta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1</v>
          </cell>
          <cell r="BJ216">
            <v>0</v>
          </cell>
        </row>
        <row r="217">
          <cell r="D217" t="str">
            <v>Univerzita Komenského v Bratislave</v>
          </cell>
          <cell r="E217" t="str">
            <v>Evanjelická bohoslovecká fakulta</v>
          </cell>
          <cell r="AN217">
            <v>29</v>
          </cell>
          <cell r="AO217">
            <v>36</v>
          </cell>
          <cell r="AP217">
            <v>0</v>
          </cell>
          <cell r="AQ217">
            <v>0</v>
          </cell>
          <cell r="AR217">
            <v>29</v>
          </cell>
          <cell r="BF217">
            <v>33.5</v>
          </cell>
          <cell r="BG217">
            <v>33.5</v>
          </cell>
          <cell r="BH217">
            <v>33.5</v>
          </cell>
          <cell r="BI217">
            <v>36</v>
          </cell>
          <cell r="BJ217">
            <v>0</v>
          </cell>
        </row>
        <row r="218">
          <cell r="D218" t="str">
            <v>Univerzita sv. Cyrila a Metoda v Trnave</v>
          </cell>
          <cell r="E218" t="str">
            <v>Fakulta sociálnych vied</v>
          </cell>
          <cell r="AN218">
            <v>96</v>
          </cell>
          <cell r="AO218">
            <v>103</v>
          </cell>
          <cell r="AP218">
            <v>0</v>
          </cell>
          <cell r="AQ218">
            <v>0</v>
          </cell>
          <cell r="AR218">
            <v>96</v>
          </cell>
          <cell r="BF218">
            <v>144</v>
          </cell>
          <cell r="BG218">
            <v>144</v>
          </cell>
          <cell r="BH218">
            <v>129.6</v>
          </cell>
          <cell r="BI218">
            <v>103</v>
          </cell>
          <cell r="BJ218">
            <v>0</v>
          </cell>
        </row>
        <row r="219">
          <cell r="D219" t="str">
            <v>Univerzita Konštantína Filozofa v Nitre</v>
          </cell>
          <cell r="E219" t="str">
            <v>Fakulta prírodných vied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1</v>
          </cell>
          <cell r="BJ219">
            <v>0</v>
          </cell>
        </row>
        <row r="220">
          <cell r="D220" t="str">
            <v>Univerzita Komenského v Bratislave</v>
          </cell>
          <cell r="E220" t="str">
            <v>Fakulta telesnej výchovy a športu</v>
          </cell>
          <cell r="AN220">
            <v>65</v>
          </cell>
          <cell r="AO220">
            <v>83</v>
          </cell>
          <cell r="AP220">
            <v>0</v>
          </cell>
          <cell r="AQ220">
            <v>0</v>
          </cell>
          <cell r="AR220">
            <v>65</v>
          </cell>
          <cell r="BF220">
            <v>56.9</v>
          </cell>
          <cell r="BG220">
            <v>67.710999999999999</v>
          </cell>
          <cell r="BH220">
            <v>67.710999999999999</v>
          </cell>
          <cell r="BI220">
            <v>83</v>
          </cell>
          <cell r="BJ220">
            <v>0</v>
          </cell>
        </row>
        <row r="221">
          <cell r="D221" t="str">
            <v>Univerzita Komenského v Bratislave</v>
          </cell>
          <cell r="E221" t="str">
            <v>Filozofická fakulta</v>
          </cell>
          <cell r="AN221">
            <v>11</v>
          </cell>
          <cell r="AO221">
            <v>0</v>
          </cell>
          <cell r="AP221">
            <v>0</v>
          </cell>
          <cell r="AQ221">
            <v>0</v>
          </cell>
          <cell r="AR221">
            <v>11</v>
          </cell>
          <cell r="BF221">
            <v>33</v>
          </cell>
          <cell r="BG221">
            <v>36.300000000000004</v>
          </cell>
          <cell r="BH221">
            <v>36.300000000000004</v>
          </cell>
          <cell r="BI221">
            <v>13</v>
          </cell>
          <cell r="BJ221">
            <v>11</v>
          </cell>
        </row>
        <row r="222">
          <cell r="D222" t="str">
            <v>Univerzita Komenského v Bratislave</v>
          </cell>
          <cell r="E222" t="str">
            <v>Filozofická fakulta</v>
          </cell>
          <cell r="AN222">
            <v>12</v>
          </cell>
          <cell r="AO222">
            <v>0</v>
          </cell>
          <cell r="AP222">
            <v>0</v>
          </cell>
          <cell r="AQ222">
            <v>0</v>
          </cell>
          <cell r="AR222">
            <v>12</v>
          </cell>
          <cell r="BF222">
            <v>36</v>
          </cell>
          <cell r="BG222">
            <v>39.6</v>
          </cell>
          <cell r="BH222">
            <v>39.6</v>
          </cell>
          <cell r="BI222">
            <v>14</v>
          </cell>
          <cell r="BJ222">
            <v>12</v>
          </cell>
        </row>
        <row r="223">
          <cell r="D223" t="str">
            <v>Univerzita Komenského v Bratislave</v>
          </cell>
          <cell r="E223" t="str">
            <v>Filozofická fakulta</v>
          </cell>
          <cell r="AN223">
            <v>7</v>
          </cell>
          <cell r="AO223">
            <v>0</v>
          </cell>
          <cell r="AP223">
            <v>0</v>
          </cell>
          <cell r="AQ223">
            <v>0</v>
          </cell>
          <cell r="AR223">
            <v>7</v>
          </cell>
          <cell r="BF223">
            <v>21</v>
          </cell>
          <cell r="BG223">
            <v>23.1</v>
          </cell>
          <cell r="BH223">
            <v>23.1</v>
          </cell>
          <cell r="BI223">
            <v>8</v>
          </cell>
          <cell r="BJ223">
            <v>7</v>
          </cell>
        </row>
        <row r="224">
          <cell r="D224" t="str">
            <v>Univerzita Komenského v Bratislave</v>
          </cell>
          <cell r="E224" t="str">
            <v>Filozofická fakulta</v>
          </cell>
          <cell r="AN224">
            <v>5</v>
          </cell>
          <cell r="AO224">
            <v>0</v>
          </cell>
          <cell r="AP224">
            <v>0</v>
          </cell>
          <cell r="AQ224">
            <v>0</v>
          </cell>
          <cell r="AR224">
            <v>5</v>
          </cell>
          <cell r="BF224">
            <v>15</v>
          </cell>
          <cell r="BG224">
            <v>16.5</v>
          </cell>
          <cell r="BH224">
            <v>16.5</v>
          </cell>
          <cell r="BI224">
            <v>6</v>
          </cell>
          <cell r="BJ224">
            <v>5</v>
          </cell>
        </row>
        <row r="225">
          <cell r="D225" t="str">
            <v>Univerzita Komenského v Bratislave</v>
          </cell>
          <cell r="E225" t="str">
            <v>Filozofická fakulta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4</v>
          </cell>
          <cell r="BJ225">
            <v>0</v>
          </cell>
        </row>
        <row r="226">
          <cell r="D226" t="str">
            <v>Univerzita Komenského v Bratislave</v>
          </cell>
          <cell r="E226" t="str">
            <v>Filozofická fakulta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3</v>
          </cell>
          <cell r="BJ226">
            <v>0</v>
          </cell>
        </row>
        <row r="227">
          <cell r="D227" t="str">
            <v>Univerzita Komenského v Bratislave</v>
          </cell>
          <cell r="E227" t="str">
            <v>Filozofická fakulta</v>
          </cell>
          <cell r="AN227">
            <v>214</v>
          </cell>
          <cell r="AO227">
            <v>241</v>
          </cell>
          <cell r="AP227">
            <v>0</v>
          </cell>
          <cell r="AQ227">
            <v>0</v>
          </cell>
          <cell r="AR227">
            <v>214</v>
          </cell>
          <cell r="BF227">
            <v>187.9</v>
          </cell>
          <cell r="BG227">
            <v>187.9</v>
          </cell>
          <cell r="BH227">
            <v>182.68055555555557</v>
          </cell>
          <cell r="BI227">
            <v>241</v>
          </cell>
          <cell r="BJ227">
            <v>0</v>
          </cell>
        </row>
        <row r="228">
          <cell r="D228" t="str">
            <v>Univerzita Komenského v Bratislave</v>
          </cell>
          <cell r="E228" t="str">
            <v>Filozofická fakulta</v>
          </cell>
          <cell r="AN228">
            <v>35</v>
          </cell>
          <cell r="AO228">
            <v>41</v>
          </cell>
          <cell r="AP228">
            <v>0</v>
          </cell>
          <cell r="AQ228">
            <v>0</v>
          </cell>
          <cell r="AR228">
            <v>35</v>
          </cell>
          <cell r="BF228">
            <v>28.7</v>
          </cell>
          <cell r="BG228">
            <v>28.7</v>
          </cell>
          <cell r="BH228">
            <v>28.7</v>
          </cell>
          <cell r="BI228">
            <v>41</v>
          </cell>
          <cell r="BJ228">
            <v>0</v>
          </cell>
        </row>
        <row r="229">
          <cell r="D229" t="str">
            <v>Univerzita Komenského v Bratislave</v>
          </cell>
          <cell r="E229" t="str">
            <v>Filozofická fakulta</v>
          </cell>
          <cell r="AN229">
            <v>3</v>
          </cell>
          <cell r="AO229">
            <v>6</v>
          </cell>
          <cell r="AP229">
            <v>0</v>
          </cell>
          <cell r="AQ229">
            <v>0</v>
          </cell>
          <cell r="AR229">
            <v>3</v>
          </cell>
          <cell r="BF229">
            <v>2.4</v>
          </cell>
          <cell r="BG229">
            <v>2.496</v>
          </cell>
          <cell r="BH229">
            <v>2.496</v>
          </cell>
          <cell r="BI229">
            <v>6</v>
          </cell>
          <cell r="BJ229">
            <v>0</v>
          </cell>
        </row>
        <row r="230">
          <cell r="D230" t="str">
            <v>Univerzita Komenského v Bratislave</v>
          </cell>
          <cell r="E230" t="str">
            <v>Filozofická fakulta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8</v>
          </cell>
          <cell r="BJ230">
            <v>0</v>
          </cell>
        </row>
        <row r="231">
          <cell r="D231" t="str">
            <v>Univerzita Komenského v Bratislave</v>
          </cell>
          <cell r="E231" t="str">
            <v>Pedagogická fakulta</v>
          </cell>
          <cell r="AN231">
            <v>3</v>
          </cell>
          <cell r="AO231">
            <v>0</v>
          </cell>
          <cell r="AP231">
            <v>0</v>
          </cell>
          <cell r="AQ231">
            <v>0</v>
          </cell>
          <cell r="AR231">
            <v>3</v>
          </cell>
          <cell r="BF231">
            <v>9</v>
          </cell>
          <cell r="BG231">
            <v>9.9</v>
          </cell>
          <cell r="BH231">
            <v>9.9</v>
          </cell>
          <cell r="BI231">
            <v>3</v>
          </cell>
          <cell r="BJ231">
            <v>3</v>
          </cell>
        </row>
        <row r="232">
          <cell r="D232" t="str">
            <v>Univerzita Komenského v Bratislave</v>
          </cell>
          <cell r="E232" t="str">
            <v>Pedagogická fakulta</v>
          </cell>
          <cell r="AN232">
            <v>95</v>
          </cell>
          <cell r="AO232">
            <v>100</v>
          </cell>
          <cell r="AP232">
            <v>0</v>
          </cell>
          <cell r="AQ232">
            <v>0</v>
          </cell>
          <cell r="AR232">
            <v>95</v>
          </cell>
          <cell r="BF232">
            <v>109</v>
          </cell>
          <cell r="BG232">
            <v>129.71</v>
          </cell>
          <cell r="BH232">
            <v>117.35666666666667</v>
          </cell>
          <cell r="BI232">
            <v>100</v>
          </cell>
          <cell r="BJ232">
            <v>0</v>
          </cell>
        </row>
        <row r="233">
          <cell r="D233" t="str">
            <v>Akadémia ozbrojených síl generála Milana Rastislava Štefánika</v>
          </cell>
          <cell r="E233">
            <v>0</v>
          </cell>
          <cell r="AN233">
            <v>4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4</v>
          </cell>
          <cell r="BJ233">
            <v>0</v>
          </cell>
        </row>
        <row r="234">
          <cell r="D234" t="str">
            <v>Akadémia ozbrojených síl generála Milana Rastislava Štefánika</v>
          </cell>
          <cell r="E234">
            <v>0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1</v>
          </cell>
          <cell r="BJ234">
            <v>0</v>
          </cell>
        </row>
        <row r="235">
          <cell r="D235" t="str">
            <v>Katolícka univerzita v Ružomberku</v>
          </cell>
          <cell r="E235" t="str">
            <v>Filozofická fakulta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</v>
          </cell>
          <cell r="BJ235">
            <v>0</v>
          </cell>
        </row>
        <row r="236">
          <cell r="D236" t="str">
            <v>Univerzita Komenského v Bratislave</v>
          </cell>
          <cell r="E236" t="str">
            <v>Jesseniova lekárska fakulta v Martine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30</v>
          </cell>
          <cell r="BJ236">
            <v>0</v>
          </cell>
        </row>
        <row r="237">
          <cell r="D237" t="str">
            <v>Univerzita Komenského v Bratislave</v>
          </cell>
          <cell r="E237" t="str">
            <v>Jesseniova lekárska fakulta v Martine</v>
          </cell>
          <cell r="AN237">
            <v>51</v>
          </cell>
          <cell r="AO237">
            <v>54</v>
          </cell>
          <cell r="AP237">
            <v>0</v>
          </cell>
          <cell r="AQ237">
            <v>0</v>
          </cell>
          <cell r="AR237">
            <v>51</v>
          </cell>
          <cell r="BF237">
            <v>61.3</v>
          </cell>
          <cell r="BG237">
            <v>191.86899999999997</v>
          </cell>
          <cell r="BH237">
            <v>191.86899999999997</v>
          </cell>
          <cell r="BI237">
            <v>54</v>
          </cell>
          <cell r="BJ237">
            <v>0</v>
          </cell>
        </row>
        <row r="238">
          <cell r="D238" t="str">
            <v>Univerzita Komenského v Bratislave</v>
          </cell>
          <cell r="E238" t="str">
            <v>Jesseniova lekárska fakulta v Martine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16</v>
          </cell>
          <cell r="BJ238">
            <v>0</v>
          </cell>
        </row>
        <row r="239">
          <cell r="D239" t="str">
            <v>Ekonomická univerzita v Bratislave</v>
          </cell>
          <cell r="E239" t="str">
            <v>Národohospodárska fakulta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1</v>
          </cell>
          <cell r="BJ239">
            <v>0</v>
          </cell>
        </row>
        <row r="240">
          <cell r="D240" t="str">
            <v>Ekonomická univerzita v Bratislave</v>
          </cell>
          <cell r="E240" t="str">
            <v>Fakulta medzinárodných vzťahov</v>
          </cell>
          <cell r="AN240">
            <v>11</v>
          </cell>
          <cell r="AO240">
            <v>0</v>
          </cell>
          <cell r="AP240">
            <v>0</v>
          </cell>
          <cell r="AQ240">
            <v>0</v>
          </cell>
          <cell r="AR240">
            <v>11</v>
          </cell>
          <cell r="BF240">
            <v>44</v>
          </cell>
          <cell r="BG240">
            <v>48.400000000000006</v>
          </cell>
          <cell r="BH240">
            <v>48.400000000000006</v>
          </cell>
          <cell r="BI240">
            <v>13</v>
          </cell>
          <cell r="BJ240">
            <v>11</v>
          </cell>
        </row>
        <row r="241">
          <cell r="D241" t="str">
            <v>Ekonomická univerzita v Bratislave</v>
          </cell>
          <cell r="E241" t="str">
            <v>Národohospodárska fakulta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1</v>
          </cell>
          <cell r="BJ241">
            <v>0</v>
          </cell>
        </row>
        <row r="242">
          <cell r="D242" t="str">
            <v>Ekonomická univerzita v Bratislave</v>
          </cell>
          <cell r="E242" t="str">
            <v>Národohospodárska fakulta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1</v>
          </cell>
          <cell r="BJ242">
            <v>0</v>
          </cell>
        </row>
        <row r="243">
          <cell r="D243" t="str">
            <v>Ekonomická univerzita v Bratislave</v>
          </cell>
          <cell r="E243" t="str">
            <v>Fakulta medzinárodných vzťahov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10</v>
          </cell>
          <cell r="BJ243">
            <v>0</v>
          </cell>
        </row>
        <row r="244">
          <cell r="D244" t="str">
            <v>Univerzita Komenského v Bratislave</v>
          </cell>
          <cell r="E244" t="str">
            <v>Fakulta matematiky, fyziky a informatiky</v>
          </cell>
          <cell r="AN244">
            <v>2</v>
          </cell>
          <cell r="AO244">
            <v>0</v>
          </cell>
          <cell r="AP244">
            <v>0</v>
          </cell>
          <cell r="AQ244">
            <v>2</v>
          </cell>
          <cell r="AR244">
            <v>2</v>
          </cell>
          <cell r="BF244">
            <v>6</v>
          </cell>
          <cell r="BG244">
            <v>12.78</v>
          </cell>
          <cell r="BH244">
            <v>12.78</v>
          </cell>
          <cell r="BI244">
            <v>3</v>
          </cell>
          <cell r="BJ244">
            <v>2</v>
          </cell>
        </row>
        <row r="245">
          <cell r="D245" t="str">
            <v>Univerzita Komenského v Bratislave</v>
          </cell>
          <cell r="E245" t="str">
            <v>Fakulta matematiky, fyziky a informatiky</v>
          </cell>
          <cell r="AN245">
            <v>11</v>
          </cell>
          <cell r="AO245">
            <v>0</v>
          </cell>
          <cell r="AP245">
            <v>0</v>
          </cell>
          <cell r="AQ245">
            <v>11</v>
          </cell>
          <cell r="AR245">
            <v>11</v>
          </cell>
          <cell r="BF245">
            <v>33</v>
          </cell>
          <cell r="BG245">
            <v>70.289999999999992</v>
          </cell>
          <cell r="BH245">
            <v>70.289999999999992</v>
          </cell>
          <cell r="BI245">
            <v>14</v>
          </cell>
          <cell r="BJ245">
            <v>11</v>
          </cell>
        </row>
        <row r="246">
          <cell r="D246" t="str">
            <v>Univerzita Komenského v Bratislave</v>
          </cell>
          <cell r="E246" t="str">
            <v>Fakulta matematiky, fyziky a informatiky</v>
          </cell>
          <cell r="AN246">
            <v>13</v>
          </cell>
          <cell r="AO246">
            <v>0</v>
          </cell>
          <cell r="AP246">
            <v>0</v>
          </cell>
          <cell r="AQ246">
            <v>13</v>
          </cell>
          <cell r="AR246">
            <v>13</v>
          </cell>
          <cell r="BF246">
            <v>39</v>
          </cell>
          <cell r="BG246">
            <v>83.07</v>
          </cell>
          <cell r="BH246">
            <v>83.07</v>
          </cell>
          <cell r="BI246">
            <v>16</v>
          </cell>
          <cell r="BJ246">
            <v>13</v>
          </cell>
        </row>
        <row r="247">
          <cell r="D247" t="str">
            <v>Univerzita Komenského v Bratislave</v>
          </cell>
          <cell r="E247" t="str">
            <v>Fakulta matematiky, fyziky a informatiky</v>
          </cell>
          <cell r="AN247">
            <v>7</v>
          </cell>
          <cell r="AO247">
            <v>0</v>
          </cell>
          <cell r="AP247">
            <v>0</v>
          </cell>
          <cell r="AQ247">
            <v>7</v>
          </cell>
          <cell r="AR247">
            <v>7</v>
          </cell>
          <cell r="BF247">
            <v>21</v>
          </cell>
          <cell r="BG247">
            <v>44.73</v>
          </cell>
          <cell r="BH247">
            <v>44.73</v>
          </cell>
          <cell r="BI247">
            <v>8</v>
          </cell>
          <cell r="BJ247">
            <v>7</v>
          </cell>
        </row>
        <row r="248">
          <cell r="D248" t="str">
            <v>Univerzita Komenského v Bratislave</v>
          </cell>
          <cell r="E248" t="str">
            <v>Fakulta matematiky, fyziky a informatiky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3</v>
          </cell>
          <cell r="BJ248">
            <v>0</v>
          </cell>
        </row>
        <row r="249">
          <cell r="D249" t="str">
            <v>Univerzita Komenského v Bratislave</v>
          </cell>
          <cell r="E249" t="str">
            <v>Fakulta matematiky, fyziky a informatiky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</v>
          </cell>
          <cell r="BJ249">
            <v>0</v>
          </cell>
        </row>
        <row r="250">
          <cell r="D250" t="str">
            <v>Univerzita Komenského v Bratislave</v>
          </cell>
          <cell r="E250" t="str">
            <v>Farmaceutická fakulta</v>
          </cell>
          <cell r="AN250">
            <v>4</v>
          </cell>
          <cell r="AO250">
            <v>101</v>
          </cell>
          <cell r="AP250">
            <v>0</v>
          </cell>
          <cell r="AQ250">
            <v>0</v>
          </cell>
          <cell r="AR250">
            <v>4</v>
          </cell>
          <cell r="BF250">
            <v>3.4</v>
          </cell>
          <cell r="BG250">
            <v>10.641999999999999</v>
          </cell>
          <cell r="BH250">
            <v>10.489971428571428</v>
          </cell>
          <cell r="BI250">
            <v>101</v>
          </cell>
          <cell r="BJ250">
            <v>0</v>
          </cell>
        </row>
        <row r="251">
          <cell r="D251" t="str">
            <v>Technická univerzita vo Zvolene</v>
          </cell>
          <cell r="E251" t="str">
            <v>Drevárska fakulta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</row>
        <row r="252">
          <cell r="D252" t="str">
            <v>Technická univerzita vo Zvolene</v>
          </cell>
          <cell r="E252" t="str">
            <v>Drevárska fakulta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4</v>
          </cell>
          <cell r="BJ252">
            <v>0</v>
          </cell>
        </row>
        <row r="253">
          <cell r="D253" t="str">
            <v>Technická univerzita v Košiciach</v>
          </cell>
          <cell r="E253" t="str">
            <v>Strojnícka fakulta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4</v>
          </cell>
          <cell r="BJ253">
            <v>0</v>
          </cell>
        </row>
        <row r="254">
          <cell r="D254" t="str">
            <v>Technická univerzita v Košiciach</v>
          </cell>
          <cell r="E254" t="str">
            <v>Fakulta baníctva, ekológie, riadenia a geotechnológií</v>
          </cell>
          <cell r="AN254">
            <v>4</v>
          </cell>
          <cell r="AO254">
            <v>0</v>
          </cell>
          <cell r="AP254">
            <v>0</v>
          </cell>
          <cell r="AQ254">
            <v>4</v>
          </cell>
          <cell r="AR254">
            <v>4</v>
          </cell>
          <cell r="BF254">
            <v>16</v>
          </cell>
          <cell r="BG254">
            <v>34.08</v>
          </cell>
          <cell r="BH254">
            <v>34.08</v>
          </cell>
          <cell r="BI254">
            <v>4</v>
          </cell>
          <cell r="BJ254">
            <v>4</v>
          </cell>
        </row>
        <row r="255">
          <cell r="D255" t="str">
            <v>Katolícka univerzita v Ružomberku</v>
          </cell>
          <cell r="E255" t="str">
            <v>Pedagogická fakulta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9</v>
          </cell>
          <cell r="BJ255">
            <v>0</v>
          </cell>
        </row>
        <row r="256">
          <cell r="D256" t="str">
            <v>Univerzita Konštantína Filozofa v Nitre</v>
          </cell>
          <cell r="E256" t="str">
            <v>Filozofická fakulta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0.5</v>
          </cell>
          <cell r="BJ256">
            <v>0</v>
          </cell>
        </row>
        <row r="257">
          <cell r="D257" t="str">
            <v>Univerzita Konštantína Filozofa v Nitre</v>
          </cell>
          <cell r="E257" t="str">
            <v>Filozofická fakulta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1</v>
          </cell>
          <cell r="BJ257">
            <v>0</v>
          </cell>
        </row>
        <row r="258">
          <cell r="D258" t="str">
            <v>Univerzita Komenského v Bratislave</v>
          </cell>
          <cell r="E258" t="str">
            <v>Lekárska fakulta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14</v>
          </cell>
          <cell r="BJ258">
            <v>0</v>
          </cell>
        </row>
        <row r="259">
          <cell r="D259" t="str">
            <v>Univerzita Komenského v Bratislave</v>
          </cell>
          <cell r="E259" t="str">
            <v>Lekárska fakulta</v>
          </cell>
          <cell r="AN259">
            <v>0</v>
          </cell>
          <cell r="AO259">
            <v>123</v>
          </cell>
          <cell r="AP259">
            <v>0</v>
          </cell>
          <cell r="AQ259">
            <v>0</v>
          </cell>
          <cell r="AR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123</v>
          </cell>
          <cell r="BJ259">
            <v>0</v>
          </cell>
        </row>
        <row r="260">
          <cell r="D260" t="str">
            <v>Univerzita Komenského v Bratislave</v>
          </cell>
          <cell r="E260" t="str">
            <v>Lekárska fakulta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16</v>
          </cell>
          <cell r="BJ260">
            <v>0</v>
          </cell>
        </row>
        <row r="261">
          <cell r="D261" t="str">
            <v>Vysoká škola ekonómie a manažmentu verejnej správy v Bratislave</v>
          </cell>
          <cell r="E261">
            <v>0</v>
          </cell>
          <cell r="AN261">
            <v>410</v>
          </cell>
          <cell r="AO261">
            <v>410</v>
          </cell>
          <cell r="AP261">
            <v>0</v>
          </cell>
          <cell r="AQ261">
            <v>0</v>
          </cell>
          <cell r="AR261">
            <v>410</v>
          </cell>
          <cell r="BF261">
            <v>615</v>
          </cell>
          <cell r="BG261">
            <v>639.6</v>
          </cell>
          <cell r="BH261">
            <v>560.45217391304345</v>
          </cell>
          <cell r="BI261">
            <v>410</v>
          </cell>
          <cell r="BJ261">
            <v>0</v>
          </cell>
        </row>
        <row r="262">
          <cell r="D262" t="str">
            <v>Akadémia médií, odborná vysoká škola mediálnej a marketingovej komunikácie v Bratislave</v>
          </cell>
          <cell r="E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1</v>
          </cell>
          <cell r="BJ262">
            <v>0</v>
          </cell>
        </row>
        <row r="263">
          <cell r="D263" t="str">
            <v>Akadémia médií, odborná vysoká škola mediálnej a marketingovej komunikácie v Bratislave</v>
          </cell>
          <cell r="E263">
            <v>0</v>
          </cell>
          <cell r="AN263">
            <v>25</v>
          </cell>
          <cell r="AO263">
            <v>25</v>
          </cell>
          <cell r="AP263">
            <v>0</v>
          </cell>
          <cell r="AQ263">
            <v>0</v>
          </cell>
          <cell r="AR263">
            <v>25</v>
          </cell>
          <cell r="BF263">
            <v>37.5</v>
          </cell>
          <cell r="BG263">
            <v>44.625</v>
          </cell>
          <cell r="BH263">
            <v>38.98732206405694</v>
          </cell>
          <cell r="BI263">
            <v>25</v>
          </cell>
          <cell r="BJ263">
            <v>0</v>
          </cell>
        </row>
        <row r="264">
          <cell r="D264" t="str">
            <v>Univerzita Konštantína Filozofa v Nitre</v>
          </cell>
          <cell r="E264" t="str">
            <v>Filozofická fakulta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3</v>
          </cell>
          <cell r="BJ264">
            <v>0</v>
          </cell>
        </row>
        <row r="265">
          <cell r="D265" t="str">
            <v>Univerzita Komenského v Bratislave</v>
          </cell>
          <cell r="E265" t="str">
            <v>Fakulta sociálnych a ekonomických vied</v>
          </cell>
          <cell r="AN265">
            <v>151</v>
          </cell>
          <cell r="AO265">
            <v>162</v>
          </cell>
          <cell r="AP265">
            <v>0</v>
          </cell>
          <cell r="AQ265">
            <v>0</v>
          </cell>
          <cell r="AR265">
            <v>151</v>
          </cell>
          <cell r="BF265">
            <v>132.69999999999999</v>
          </cell>
          <cell r="BG265">
            <v>132.69999999999999</v>
          </cell>
          <cell r="BH265">
            <v>132.69999999999999</v>
          </cell>
          <cell r="BI265">
            <v>162</v>
          </cell>
          <cell r="BJ265">
            <v>0</v>
          </cell>
        </row>
        <row r="266">
          <cell r="D266" t="str">
            <v>Univerzita Komenského v Bratislave</v>
          </cell>
          <cell r="E266" t="str">
            <v>Právnická fakulta</v>
          </cell>
          <cell r="AN266">
            <v>6</v>
          </cell>
          <cell r="AO266">
            <v>0</v>
          </cell>
          <cell r="AP266">
            <v>0</v>
          </cell>
          <cell r="AQ266">
            <v>0</v>
          </cell>
          <cell r="AR266">
            <v>6</v>
          </cell>
          <cell r="BF266">
            <v>24</v>
          </cell>
          <cell r="BG266">
            <v>26.400000000000002</v>
          </cell>
          <cell r="BH266">
            <v>26.400000000000002</v>
          </cell>
          <cell r="BI266">
            <v>7</v>
          </cell>
          <cell r="BJ266">
            <v>6</v>
          </cell>
        </row>
        <row r="267">
          <cell r="D267" t="str">
            <v>Univerzita Komenského v Bratislave</v>
          </cell>
          <cell r="E267" t="str">
            <v>Právnická fakulta</v>
          </cell>
          <cell r="AN267">
            <v>1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17</v>
          </cell>
          <cell r="BJ267">
            <v>0</v>
          </cell>
        </row>
        <row r="268">
          <cell r="D268" t="str">
            <v>Univerzita Komenského v Bratislave</v>
          </cell>
          <cell r="E268" t="str">
            <v>Právnická fakulta</v>
          </cell>
          <cell r="AN268">
            <v>4</v>
          </cell>
          <cell r="AO268">
            <v>42</v>
          </cell>
          <cell r="AP268">
            <v>0</v>
          </cell>
          <cell r="AQ268">
            <v>0</v>
          </cell>
          <cell r="AR268">
            <v>4</v>
          </cell>
          <cell r="BF268">
            <v>4</v>
          </cell>
          <cell r="BG268">
            <v>4</v>
          </cell>
          <cell r="BH268">
            <v>3.9663865546218489</v>
          </cell>
          <cell r="BI268">
            <v>42</v>
          </cell>
          <cell r="BJ268">
            <v>0</v>
          </cell>
        </row>
        <row r="269">
          <cell r="D269" t="str">
            <v>Slovenská technická univerzita v Bratislave</v>
          </cell>
          <cell r="E269" t="str">
            <v>Fakulta elektrotechniky a informatiky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2</v>
          </cell>
          <cell r="BJ269">
            <v>0</v>
          </cell>
        </row>
        <row r="270">
          <cell r="D270" t="str">
            <v>Slovenská technická univerzita v Bratislave</v>
          </cell>
          <cell r="E270" t="str">
            <v>Fakulta informatiky a informačných technológií</v>
          </cell>
          <cell r="AN270">
            <v>0</v>
          </cell>
          <cell r="AO270">
            <v>1</v>
          </cell>
          <cell r="AP270">
            <v>1</v>
          </cell>
          <cell r="AQ270">
            <v>0</v>
          </cell>
          <cell r="AR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1</v>
          </cell>
          <cell r="BJ270">
            <v>0</v>
          </cell>
        </row>
        <row r="271">
          <cell r="D271" t="str">
            <v>Slovenská technická univerzita v Bratislave</v>
          </cell>
          <cell r="E271" t="str">
            <v>Stavebná fakulta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1</v>
          </cell>
          <cell r="BJ271">
            <v>0</v>
          </cell>
        </row>
        <row r="272">
          <cell r="D272" t="str">
            <v>Slovenská technická univerzita v Bratislave</v>
          </cell>
          <cell r="E272" t="str">
            <v>Stavebná fakulta</v>
          </cell>
          <cell r="AN272">
            <v>26</v>
          </cell>
          <cell r="AO272">
            <v>0</v>
          </cell>
          <cell r="AP272">
            <v>0</v>
          </cell>
          <cell r="AQ272">
            <v>26</v>
          </cell>
          <cell r="AR272">
            <v>26</v>
          </cell>
          <cell r="BF272">
            <v>78</v>
          </cell>
          <cell r="BG272">
            <v>166.14</v>
          </cell>
          <cell r="BH272">
            <v>166.14</v>
          </cell>
          <cell r="BI272">
            <v>35</v>
          </cell>
          <cell r="BJ272">
            <v>26</v>
          </cell>
        </row>
        <row r="273">
          <cell r="D273" t="str">
            <v>Slovenská technická univerzita v Bratislave</v>
          </cell>
          <cell r="E273" t="str">
            <v>Stavebná fakulta</v>
          </cell>
          <cell r="AN273">
            <v>7</v>
          </cell>
          <cell r="AO273">
            <v>0</v>
          </cell>
          <cell r="AP273">
            <v>0</v>
          </cell>
          <cell r="AQ273">
            <v>0</v>
          </cell>
          <cell r="AR273">
            <v>7</v>
          </cell>
          <cell r="BF273">
            <v>21</v>
          </cell>
          <cell r="BG273">
            <v>44.73</v>
          </cell>
          <cell r="BH273">
            <v>36.597272727272724</v>
          </cell>
          <cell r="BI273">
            <v>10</v>
          </cell>
          <cell r="BJ273">
            <v>7</v>
          </cell>
        </row>
        <row r="274">
          <cell r="D274" t="str">
            <v>Slovenská technická univerzita v Bratislave</v>
          </cell>
          <cell r="E274" t="str">
            <v>Stavebná fakulta</v>
          </cell>
          <cell r="AN274">
            <v>10</v>
          </cell>
          <cell r="AO274">
            <v>0</v>
          </cell>
          <cell r="AP274">
            <v>0</v>
          </cell>
          <cell r="AQ274">
            <v>10</v>
          </cell>
          <cell r="AR274">
            <v>10</v>
          </cell>
          <cell r="BF274">
            <v>30</v>
          </cell>
          <cell r="BG274">
            <v>63.9</v>
          </cell>
          <cell r="BH274">
            <v>63.9</v>
          </cell>
          <cell r="BI274">
            <v>12</v>
          </cell>
          <cell r="BJ274">
            <v>10</v>
          </cell>
        </row>
        <row r="275">
          <cell r="D275" t="str">
            <v>Slovenská technická univerzita v Bratislave</v>
          </cell>
          <cell r="E275" t="str">
            <v>Materiálovotechnologická fakulta so sídlom v Trnave</v>
          </cell>
          <cell r="AN275">
            <v>121</v>
          </cell>
          <cell r="AO275">
            <v>165</v>
          </cell>
          <cell r="AP275">
            <v>165</v>
          </cell>
          <cell r="AQ275">
            <v>121</v>
          </cell>
          <cell r="AR275">
            <v>121</v>
          </cell>
          <cell r="BF275">
            <v>99.1</v>
          </cell>
          <cell r="BG275">
            <v>146.66799999999998</v>
          </cell>
          <cell r="BH275">
            <v>143.67477551020406</v>
          </cell>
          <cell r="BI275">
            <v>165</v>
          </cell>
          <cell r="BJ275">
            <v>0</v>
          </cell>
        </row>
        <row r="276">
          <cell r="D276" t="str">
            <v>Slovenská technická univerzita v Bratislave</v>
          </cell>
          <cell r="E276" t="str">
            <v>Fakulta informatiky a informačných technológií</v>
          </cell>
          <cell r="AN276">
            <v>16</v>
          </cell>
          <cell r="AO276">
            <v>0</v>
          </cell>
          <cell r="AP276">
            <v>0</v>
          </cell>
          <cell r="AQ276">
            <v>16</v>
          </cell>
          <cell r="AR276">
            <v>16</v>
          </cell>
          <cell r="BF276">
            <v>64</v>
          </cell>
          <cell r="BG276">
            <v>136.32</v>
          </cell>
          <cell r="BH276">
            <v>136.32</v>
          </cell>
          <cell r="BI276">
            <v>22</v>
          </cell>
          <cell r="BJ276">
            <v>16</v>
          </cell>
        </row>
        <row r="277">
          <cell r="D277" t="str">
            <v>Slovenská technická univerzita v Bratislave</v>
          </cell>
          <cell r="E277">
            <v>0</v>
          </cell>
          <cell r="AN277">
            <v>9</v>
          </cell>
          <cell r="AO277">
            <v>0</v>
          </cell>
          <cell r="AP277">
            <v>0</v>
          </cell>
          <cell r="AQ277">
            <v>9</v>
          </cell>
          <cell r="AR277">
            <v>9</v>
          </cell>
          <cell r="BF277">
            <v>36</v>
          </cell>
          <cell r="BG277">
            <v>76.679999999999993</v>
          </cell>
          <cell r="BH277">
            <v>76.679999999999993</v>
          </cell>
          <cell r="BI277">
            <v>10</v>
          </cell>
          <cell r="BJ277">
            <v>9</v>
          </cell>
        </row>
        <row r="278">
          <cell r="D278" t="str">
            <v>Slovenská technická univerzita v Bratislave</v>
          </cell>
          <cell r="E278" t="str">
            <v>Fakulta elektrotechniky a informatiky</v>
          </cell>
          <cell r="AN278">
            <v>604</v>
          </cell>
          <cell r="AO278">
            <v>766</v>
          </cell>
          <cell r="AP278">
            <v>766</v>
          </cell>
          <cell r="AQ278">
            <v>604</v>
          </cell>
          <cell r="AR278">
            <v>604</v>
          </cell>
          <cell r="BF278">
            <v>508.6</v>
          </cell>
          <cell r="BG278">
            <v>752.72800000000007</v>
          </cell>
          <cell r="BH278">
            <v>752.72800000000007</v>
          </cell>
          <cell r="BI278">
            <v>766</v>
          </cell>
          <cell r="BJ278">
            <v>0</v>
          </cell>
        </row>
        <row r="279">
          <cell r="D279" t="str">
            <v>Slovenská technická univerzita v Bratislave</v>
          </cell>
          <cell r="E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</v>
          </cell>
          <cell r="BJ279">
            <v>0</v>
          </cell>
        </row>
        <row r="280">
          <cell r="D280" t="str">
            <v>Slovenská technická univerzita v Bratislave</v>
          </cell>
          <cell r="E280" t="str">
            <v>Fakulta chemickej a potravinárskej technológie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1</v>
          </cell>
          <cell r="BJ280">
            <v>0</v>
          </cell>
        </row>
        <row r="281">
          <cell r="D281" t="str">
            <v>Slovenská technická univerzita v Bratislave</v>
          </cell>
          <cell r="E281" t="str">
            <v>Fakulta architektúry a dizajnu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1</v>
          </cell>
          <cell r="BJ281">
            <v>0</v>
          </cell>
        </row>
        <row r="282">
          <cell r="D282" t="str">
            <v>Slovenská technická univerzita v Bratislave</v>
          </cell>
          <cell r="E282" t="str">
            <v>Fakulta informatiky a informačných technológií</v>
          </cell>
          <cell r="AN282">
            <v>3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3</v>
          </cell>
          <cell r="BJ282">
            <v>0</v>
          </cell>
        </row>
        <row r="283">
          <cell r="D283" t="str">
            <v>Slovenská technická univerzita v Bratislave</v>
          </cell>
          <cell r="E283" t="str">
            <v>Fakulta elektrotechniky a informatiky</v>
          </cell>
          <cell r="AN283">
            <v>125</v>
          </cell>
          <cell r="AO283">
            <v>176</v>
          </cell>
          <cell r="AP283">
            <v>176</v>
          </cell>
          <cell r="AQ283">
            <v>125</v>
          </cell>
          <cell r="AR283">
            <v>125</v>
          </cell>
          <cell r="BF283">
            <v>103.1</v>
          </cell>
          <cell r="BG283">
            <v>152.58799999999999</v>
          </cell>
          <cell r="BH283">
            <v>152.58799999999999</v>
          </cell>
          <cell r="BI283">
            <v>176</v>
          </cell>
          <cell r="BJ283">
            <v>0</v>
          </cell>
        </row>
        <row r="284">
          <cell r="D284" t="str">
            <v>Trenčianska univerzita Alexandra Dubčeka v Trenčíne</v>
          </cell>
          <cell r="E284">
            <v>0</v>
          </cell>
          <cell r="AN284">
            <v>5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14</v>
          </cell>
          <cell r="BJ284">
            <v>0</v>
          </cell>
        </row>
        <row r="285">
          <cell r="D285" t="str">
            <v>Trenčianska univerzita Alexandra Dubčeka v Trenčíne</v>
          </cell>
          <cell r="E285" t="str">
            <v>Fakulta priemyselných technológií v Púchove</v>
          </cell>
          <cell r="AN285">
            <v>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2</v>
          </cell>
          <cell r="BJ285">
            <v>0</v>
          </cell>
        </row>
        <row r="286">
          <cell r="D286" t="str">
            <v>Trenčianska univerzita Alexandra Dubčeka v Trenčíne</v>
          </cell>
          <cell r="E286">
            <v>0</v>
          </cell>
          <cell r="AN286">
            <v>2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</v>
          </cell>
          <cell r="BJ286">
            <v>0</v>
          </cell>
        </row>
        <row r="287">
          <cell r="D287" t="str">
            <v>Univerzita Komenského v Bratislave</v>
          </cell>
          <cell r="E287" t="str">
            <v>Prírodovedecká fakulta</v>
          </cell>
          <cell r="AN287">
            <v>2</v>
          </cell>
          <cell r="AO287">
            <v>0</v>
          </cell>
          <cell r="AP287">
            <v>0</v>
          </cell>
          <cell r="AQ287">
            <v>0</v>
          </cell>
          <cell r="AR287">
            <v>2</v>
          </cell>
          <cell r="BF287">
            <v>6</v>
          </cell>
          <cell r="BG287">
            <v>6.6000000000000005</v>
          </cell>
          <cell r="BH287">
            <v>6.6000000000000005</v>
          </cell>
          <cell r="BI287">
            <v>2</v>
          </cell>
          <cell r="BJ287">
            <v>2</v>
          </cell>
        </row>
        <row r="288">
          <cell r="D288" t="str">
            <v>Univerzita Komenského v Bratislave</v>
          </cell>
          <cell r="E288" t="str">
            <v>Prírodovedecká fakulta</v>
          </cell>
          <cell r="AN288">
            <v>4</v>
          </cell>
          <cell r="AO288">
            <v>0</v>
          </cell>
          <cell r="AP288">
            <v>0</v>
          </cell>
          <cell r="AQ288">
            <v>4</v>
          </cell>
          <cell r="AR288">
            <v>4</v>
          </cell>
          <cell r="BF288">
            <v>12</v>
          </cell>
          <cell r="BG288">
            <v>25.56</v>
          </cell>
          <cell r="BH288">
            <v>25.56</v>
          </cell>
          <cell r="BI288">
            <v>6</v>
          </cell>
          <cell r="BJ288">
            <v>4</v>
          </cell>
        </row>
        <row r="289">
          <cell r="D289" t="str">
            <v>Univerzita Komenského v Bratislave</v>
          </cell>
          <cell r="E289" t="str">
            <v>Prírodovedecká fakulta</v>
          </cell>
          <cell r="AN289">
            <v>10</v>
          </cell>
          <cell r="AO289">
            <v>0</v>
          </cell>
          <cell r="AP289">
            <v>0</v>
          </cell>
          <cell r="AQ289">
            <v>10</v>
          </cell>
          <cell r="AR289">
            <v>10</v>
          </cell>
          <cell r="BF289">
            <v>30</v>
          </cell>
          <cell r="BG289">
            <v>63.9</v>
          </cell>
          <cell r="BH289">
            <v>63.9</v>
          </cell>
          <cell r="BI289">
            <v>11</v>
          </cell>
          <cell r="BJ289">
            <v>10</v>
          </cell>
        </row>
        <row r="290">
          <cell r="D290" t="str">
            <v>Prešovská univerzita v Prešove</v>
          </cell>
          <cell r="E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3</v>
          </cell>
          <cell r="BJ290">
            <v>0</v>
          </cell>
        </row>
        <row r="291">
          <cell r="D291" t="str">
            <v>Prešovská univerzita v Prešove</v>
          </cell>
          <cell r="E291" t="str">
            <v>Pedagogická fakulta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6</v>
          </cell>
          <cell r="BJ291">
            <v>0</v>
          </cell>
        </row>
        <row r="292">
          <cell r="D292" t="str">
            <v>Prešovská univerzita v Prešove</v>
          </cell>
          <cell r="E292" t="str">
            <v>Filozofická fakulta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3</v>
          </cell>
          <cell r="BJ292">
            <v>0</v>
          </cell>
        </row>
        <row r="293">
          <cell r="D293" t="str">
            <v>Prešovská univerzita v Prešove</v>
          </cell>
          <cell r="E293" t="str">
            <v>Fakulta zdravotníckych odborov</v>
          </cell>
          <cell r="AN293">
            <v>1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31</v>
          </cell>
          <cell r="BJ293">
            <v>0</v>
          </cell>
        </row>
        <row r="294">
          <cell r="D294" t="str">
            <v>Prešovská univerzita v Prešove</v>
          </cell>
          <cell r="E294" t="str">
            <v>Fakulta humanitných a prírodných vied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4</v>
          </cell>
          <cell r="BJ294">
            <v>0</v>
          </cell>
        </row>
        <row r="295">
          <cell r="D295" t="str">
            <v>Prešovská univerzita v Prešove</v>
          </cell>
          <cell r="E295" t="str">
            <v>Filozofická fakulta</v>
          </cell>
          <cell r="AN295">
            <v>20</v>
          </cell>
          <cell r="AO295">
            <v>23</v>
          </cell>
          <cell r="AP295">
            <v>0</v>
          </cell>
          <cell r="AQ295">
            <v>0</v>
          </cell>
          <cell r="AR295">
            <v>20</v>
          </cell>
          <cell r="BF295">
            <v>17.3</v>
          </cell>
          <cell r="BG295">
            <v>25.950000000000003</v>
          </cell>
          <cell r="BH295">
            <v>25.950000000000003</v>
          </cell>
          <cell r="BI295">
            <v>23</v>
          </cell>
          <cell r="BJ295">
            <v>0</v>
          </cell>
        </row>
        <row r="296">
          <cell r="D296" t="str">
            <v>Prešovská univerzita v Prešove</v>
          </cell>
          <cell r="E296" t="str">
            <v>Filozofická fakulta</v>
          </cell>
          <cell r="AN296">
            <v>21.5</v>
          </cell>
          <cell r="AO296">
            <v>23.5</v>
          </cell>
          <cell r="AP296">
            <v>0</v>
          </cell>
          <cell r="AQ296">
            <v>0</v>
          </cell>
          <cell r="AR296">
            <v>21.5</v>
          </cell>
          <cell r="BF296">
            <v>16.399999999999999</v>
          </cell>
          <cell r="BG296">
            <v>24.599999999999998</v>
          </cell>
          <cell r="BH296">
            <v>24.599999999999998</v>
          </cell>
          <cell r="BI296">
            <v>23.5</v>
          </cell>
          <cell r="BJ296">
            <v>0</v>
          </cell>
        </row>
        <row r="297">
          <cell r="D297" t="str">
            <v>Slovenská poľnohospodárska univerzita v Nitre</v>
          </cell>
          <cell r="E297" t="str">
            <v>Fakulta agrobiológie a potravinových zdrojov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2</v>
          </cell>
          <cell r="BJ297">
            <v>0</v>
          </cell>
        </row>
        <row r="298">
          <cell r="D298" t="str">
            <v>Univerzita Mateja Bela v Banskej Bystrici</v>
          </cell>
          <cell r="E298" t="str">
            <v>Právnická fakulta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27</v>
          </cell>
          <cell r="BJ298">
            <v>0</v>
          </cell>
        </row>
        <row r="299">
          <cell r="D299" t="str">
            <v>Slovenská zdravotnícka univerzita v Bratislave</v>
          </cell>
          <cell r="E299" t="str">
            <v>Fakulta zdravotníctva so sídlom v Banskej Bystrici</v>
          </cell>
          <cell r="AN299">
            <v>20</v>
          </cell>
          <cell r="AO299">
            <v>21</v>
          </cell>
          <cell r="AP299">
            <v>0</v>
          </cell>
          <cell r="AQ299">
            <v>0</v>
          </cell>
          <cell r="AR299">
            <v>20</v>
          </cell>
          <cell r="BF299">
            <v>17</v>
          </cell>
          <cell r="BG299">
            <v>25.16</v>
          </cell>
          <cell r="BH299">
            <v>25.16</v>
          </cell>
          <cell r="BI299">
            <v>21</v>
          </cell>
          <cell r="BJ299">
            <v>0</v>
          </cell>
        </row>
        <row r="300">
          <cell r="D300" t="str">
            <v>Slovenská poľnohospodárska univerzita v Nitre</v>
          </cell>
          <cell r="E300" t="str">
            <v>Fakulta záhradníctva a krajinného inžinierstva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1</v>
          </cell>
          <cell r="BJ300">
            <v>0</v>
          </cell>
        </row>
        <row r="301">
          <cell r="D301" t="str">
            <v>Slovenská poľnohospodárska univerzita v Nitre</v>
          </cell>
          <cell r="E301" t="str">
            <v>Fakulta záhradníctva a krajinného inžinierstva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</v>
          </cell>
          <cell r="BJ301">
            <v>0</v>
          </cell>
        </row>
        <row r="302">
          <cell r="D302" t="str">
            <v>Žilinská univerzita v Žiline</v>
          </cell>
          <cell r="E302" t="str">
            <v>Fakulta prevádzky a ekonomiky dopravy a spojov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5</v>
          </cell>
          <cell r="BJ302">
            <v>0</v>
          </cell>
        </row>
        <row r="303">
          <cell r="D303" t="str">
            <v>Univerzita Pavla Jozefa Šafárika v Košiciach</v>
          </cell>
          <cell r="E303" t="str">
            <v>Prírodovedecká fakulta</v>
          </cell>
          <cell r="AN303">
            <v>9</v>
          </cell>
          <cell r="AO303">
            <v>0</v>
          </cell>
          <cell r="AP303">
            <v>0</v>
          </cell>
          <cell r="AQ303">
            <v>9</v>
          </cell>
          <cell r="AR303">
            <v>9</v>
          </cell>
          <cell r="BF303">
            <v>27</v>
          </cell>
          <cell r="BG303">
            <v>57.51</v>
          </cell>
          <cell r="BH303">
            <v>57.51</v>
          </cell>
          <cell r="BI303">
            <v>9</v>
          </cell>
          <cell r="BJ303">
            <v>9</v>
          </cell>
        </row>
        <row r="304">
          <cell r="D304" t="str">
            <v>Katolícka univerzita v Ružomberku</v>
          </cell>
          <cell r="E304" t="str">
            <v>Pedagogická fakulta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2</v>
          </cell>
          <cell r="BJ304">
            <v>0</v>
          </cell>
        </row>
        <row r="305">
          <cell r="D305" t="str">
            <v>Univerzita veterinárskeho lekárstva a farmácie v Košiciach</v>
          </cell>
          <cell r="E305">
            <v>0</v>
          </cell>
          <cell r="AN305">
            <v>7</v>
          </cell>
          <cell r="AO305">
            <v>0</v>
          </cell>
          <cell r="AP305">
            <v>0</v>
          </cell>
          <cell r="AQ305">
            <v>0</v>
          </cell>
          <cell r="AR305">
            <v>7</v>
          </cell>
          <cell r="BF305">
            <v>21</v>
          </cell>
          <cell r="BG305">
            <v>44.73</v>
          </cell>
          <cell r="BH305">
            <v>44.73</v>
          </cell>
          <cell r="BI305">
            <v>7</v>
          </cell>
          <cell r="BJ305">
            <v>7</v>
          </cell>
        </row>
        <row r="306">
          <cell r="D306" t="str">
            <v>Hudobná a umelecká akadémia Jána Albrechta - Banská Štiavnica, s. r. o., odborná vysoká škola</v>
          </cell>
          <cell r="E306">
            <v>0</v>
          </cell>
          <cell r="AN306">
            <v>12</v>
          </cell>
          <cell r="AO306">
            <v>18</v>
          </cell>
          <cell r="AP306">
            <v>0</v>
          </cell>
          <cell r="AQ306">
            <v>0</v>
          </cell>
          <cell r="AR306">
            <v>12</v>
          </cell>
          <cell r="BF306">
            <v>12</v>
          </cell>
          <cell r="BG306">
            <v>38.76</v>
          </cell>
          <cell r="BH306">
            <v>38.76</v>
          </cell>
          <cell r="BI306">
            <v>18</v>
          </cell>
          <cell r="BJ306">
            <v>0</v>
          </cell>
        </row>
        <row r="307">
          <cell r="D307" t="str">
            <v>Hudobná a umelecká akadémia Jána Albrechta - Banská Štiavnica, s. r. o., odborná vysoká škola</v>
          </cell>
          <cell r="E307">
            <v>0</v>
          </cell>
          <cell r="AN307">
            <v>1</v>
          </cell>
          <cell r="AO307">
            <v>1</v>
          </cell>
          <cell r="AP307">
            <v>0</v>
          </cell>
          <cell r="AQ307">
            <v>0</v>
          </cell>
          <cell r="AR307">
            <v>1</v>
          </cell>
          <cell r="BF307">
            <v>1</v>
          </cell>
          <cell r="BG307">
            <v>3.23</v>
          </cell>
          <cell r="BH307">
            <v>3.23</v>
          </cell>
          <cell r="BI307">
            <v>1</v>
          </cell>
          <cell r="BJ307">
            <v>0</v>
          </cell>
        </row>
        <row r="308">
          <cell r="D308" t="str">
            <v>Vysoká škola manažmentu</v>
          </cell>
          <cell r="E308">
            <v>0</v>
          </cell>
          <cell r="AN308">
            <v>143</v>
          </cell>
          <cell r="AO308">
            <v>143</v>
          </cell>
          <cell r="AP308">
            <v>0</v>
          </cell>
          <cell r="AQ308">
            <v>0</v>
          </cell>
          <cell r="AR308">
            <v>143</v>
          </cell>
          <cell r="BF308">
            <v>129.80000000000001</v>
          </cell>
          <cell r="BG308">
            <v>134.99200000000002</v>
          </cell>
          <cell r="BH308">
            <v>131.85265116279072</v>
          </cell>
          <cell r="BI308">
            <v>143</v>
          </cell>
          <cell r="BJ308">
            <v>0</v>
          </cell>
        </row>
        <row r="309">
          <cell r="D309" t="str">
            <v>Vysoká škola manažmentu</v>
          </cell>
          <cell r="E309">
            <v>0</v>
          </cell>
          <cell r="AN309">
            <v>23</v>
          </cell>
          <cell r="AO309">
            <v>23</v>
          </cell>
          <cell r="AP309">
            <v>0</v>
          </cell>
          <cell r="AQ309">
            <v>0</v>
          </cell>
          <cell r="AR309">
            <v>23</v>
          </cell>
          <cell r="BF309">
            <v>23</v>
          </cell>
          <cell r="BG309">
            <v>23.92</v>
          </cell>
          <cell r="BH309">
            <v>23.282133333333338</v>
          </cell>
          <cell r="BI309">
            <v>23</v>
          </cell>
          <cell r="BJ309">
            <v>0</v>
          </cell>
        </row>
        <row r="310">
          <cell r="D310" t="str">
            <v>Vysoká škola manažmentu</v>
          </cell>
          <cell r="E310">
            <v>0</v>
          </cell>
          <cell r="AN310">
            <v>6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6</v>
          </cell>
          <cell r="BJ310">
            <v>0</v>
          </cell>
        </row>
        <row r="311">
          <cell r="D311" t="str">
            <v>Vysoká škola manažmentu</v>
          </cell>
          <cell r="E311">
            <v>0</v>
          </cell>
          <cell r="AN311">
            <v>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1</v>
          </cell>
          <cell r="BJ311">
            <v>0</v>
          </cell>
        </row>
        <row r="312">
          <cell r="D312" t="str">
            <v>Vysoká škola manažmentu</v>
          </cell>
          <cell r="E312">
            <v>0</v>
          </cell>
          <cell r="AN312">
            <v>51</v>
          </cell>
          <cell r="AO312">
            <v>51</v>
          </cell>
          <cell r="AP312">
            <v>0</v>
          </cell>
          <cell r="AQ312">
            <v>0</v>
          </cell>
          <cell r="AR312">
            <v>51</v>
          </cell>
          <cell r="BF312">
            <v>76.5</v>
          </cell>
          <cell r="BG312">
            <v>79.56</v>
          </cell>
          <cell r="BH312">
            <v>76.718571428571437</v>
          </cell>
          <cell r="BI312">
            <v>51</v>
          </cell>
          <cell r="BJ312">
            <v>0</v>
          </cell>
        </row>
        <row r="313">
          <cell r="D313" t="str">
            <v>Vysoká škola manažmentu</v>
          </cell>
          <cell r="E313">
            <v>0</v>
          </cell>
          <cell r="AN313">
            <v>81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81</v>
          </cell>
          <cell r="BJ313">
            <v>0</v>
          </cell>
        </row>
        <row r="314">
          <cell r="D314" t="str">
            <v>Slovenská zdravotnícka univerzita v Bratislave</v>
          </cell>
          <cell r="E314" t="str">
            <v>Lekárska fakulta</v>
          </cell>
          <cell r="AN314">
            <v>98</v>
          </cell>
          <cell r="AO314">
            <v>118</v>
          </cell>
          <cell r="AP314">
            <v>0</v>
          </cell>
          <cell r="AQ314">
            <v>0</v>
          </cell>
          <cell r="AR314">
            <v>98</v>
          </cell>
          <cell r="BF314">
            <v>112.4</v>
          </cell>
          <cell r="BG314">
            <v>351.81200000000001</v>
          </cell>
          <cell r="BH314">
            <v>351.81200000000001</v>
          </cell>
          <cell r="BI314">
            <v>118</v>
          </cell>
          <cell r="BJ314">
            <v>0</v>
          </cell>
        </row>
        <row r="315">
          <cell r="D315" t="str">
            <v>Vysoká škola medzinárodného podnikania ISM Slovakia v Prešove</v>
          </cell>
          <cell r="E315">
            <v>0</v>
          </cell>
          <cell r="AN315">
            <v>111</v>
          </cell>
          <cell r="AO315">
            <v>111</v>
          </cell>
          <cell r="AP315">
            <v>0</v>
          </cell>
          <cell r="AQ315">
            <v>0</v>
          </cell>
          <cell r="AR315">
            <v>111</v>
          </cell>
          <cell r="BF315">
            <v>166.5</v>
          </cell>
          <cell r="BG315">
            <v>166.5</v>
          </cell>
          <cell r="BH315">
            <v>118.92857142857143</v>
          </cell>
          <cell r="BI315">
            <v>111</v>
          </cell>
          <cell r="BJ315">
            <v>0</v>
          </cell>
        </row>
        <row r="316">
          <cell r="D316" t="str">
            <v>Vysoká škola medzinárodného podnikania ISM Slovakia v Prešove</v>
          </cell>
          <cell r="E316">
            <v>0</v>
          </cell>
          <cell r="AN316">
            <v>51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51</v>
          </cell>
          <cell r="BJ316">
            <v>0</v>
          </cell>
        </row>
        <row r="317">
          <cell r="D317" t="str">
            <v>Paneurópska vysoká škola</v>
          </cell>
          <cell r="E317" t="str">
            <v>Fakulta práva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3</v>
          </cell>
          <cell r="BJ317">
            <v>0</v>
          </cell>
        </row>
        <row r="318">
          <cell r="D318" t="str">
            <v>Paneurópska vysoká škola</v>
          </cell>
          <cell r="E318" t="str">
            <v>Fakulta práva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4</v>
          </cell>
          <cell r="BJ318">
            <v>0</v>
          </cell>
        </row>
        <row r="319">
          <cell r="D319" t="str">
            <v>Paneurópska vysoká škola</v>
          </cell>
          <cell r="E319" t="str">
            <v>Fakulta psychológie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3</v>
          </cell>
          <cell r="BJ319">
            <v>0</v>
          </cell>
        </row>
        <row r="320">
          <cell r="D320" t="str">
            <v>Vysoká škola DTI</v>
          </cell>
          <cell r="E320">
            <v>0</v>
          </cell>
          <cell r="AN320">
            <v>2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</v>
          </cell>
          <cell r="BJ320">
            <v>0</v>
          </cell>
        </row>
        <row r="321">
          <cell r="D321" t="str">
            <v>Vysoká škola DTI</v>
          </cell>
          <cell r="E321">
            <v>0</v>
          </cell>
          <cell r="AN321">
            <v>220</v>
          </cell>
          <cell r="AO321">
            <v>220</v>
          </cell>
          <cell r="AP321">
            <v>0</v>
          </cell>
          <cell r="AQ321">
            <v>0</v>
          </cell>
          <cell r="AR321">
            <v>220</v>
          </cell>
          <cell r="BF321">
            <v>154.29999999999998</v>
          </cell>
          <cell r="BG321">
            <v>168.18699999999998</v>
          </cell>
          <cell r="BH321">
            <v>168.18699999999998</v>
          </cell>
          <cell r="BI321">
            <v>220</v>
          </cell>
          <cell r="BJ321">
            <v>0</v>
          </cell>
        </row>
        <row r="322">
          <cell r="D322" t="str">
            <v>Univerzita Komenského v Bratislave</v>
          </cell>
          <cell r="E322" t="str">
            <v>Prírodovedecká fakulta</v>
          </cell>
          <cell r="AN322">
            <v>12</v>
          </cell>
          <cell r="AO322">
            <v>0</v>
          </cell>
          <cell r="AP322">
            <v>0</v>
          </cell>
          <cell r="AQ322">
            <v>12</v>
          </cell>
          <cell r="AR322">
            <v>12</v>
          </cell>
          <cell r="BF322">
            <v>36</v>
          </cell>
          <cell r="BG322">
            <v>76.679999999999993</v>
          </cell>
          <cell r="BH322">
            <v>76.679999999999993</v>
          </cell>
          <cell r="BI322">
            <v>14</v>
          </cell>
          <cell r="BJ322">
            <v>12</v>
          </cell>
        </row>
        <row r="323">
          <cell r="D323" t="str">
            <v>Vysoká škola zdravotníctva a sociálnej práce sv. Alžbety v Bratislave, n. o.</v>
          </cell>
          <cell r="E323">
            <v>0</v>
          </cell>
          <cell r="AN323">
            <v>31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31</v>
          </cell>
          <cell r="BJ323">
            <v>0</v>
          </cell>
        </row>
        <row r="324">
          <cell r="D324" t="str">
            <v>Vysoká škola zdravotníctva a sociálnej práce sv. Alžbety v Bratislave, n. o.</v>
          </cell>
          <cell r="E324">
            <v>0</v>
          </cell>
          <cell r="AN324">
            <v>124</v>
          </cell>
          <cell r="AO324">
            <v>124</v>
          </cell>
          <cell r="AP324">
            <v>124</v>
          </cell>
          <cell r="AQ324">
            <v>0</v>
          </cell>
          <cell r="AR324">
            <v>124</v>
          </cell>
          <cell r="BF324">
            <v>114.4</v>
          </cell>
          <cell r="BG324">
            <v>245.96</v>
          </cell>
          <cell r="BH324">
            <v>245.96</v>
          </cell>
          <cell r="BI324">
            <v>124</v>
          </cell>
          <cell r="BJ324">
            <v>0</v>
          </cell>
        </row>
        <row r="325">
          <cell r="D325" t="str">
            <v>Vysoká škola zdravotníctva a sociálnej práce sv. Alžbety v Bratislave, n. o.</v>
          </cell>
          <cell r="E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5</v>
          </cell>
          <cell r="BJ325">
            <v>0</v>
          </cell>
        </row>
        <row r="326">
          <cell r="D326" t="str">
            <v>Vysoká škola zdravotníctva a sociálnej práce sv. Alžbety v Bratislave, n. o.</v>
          </cell>
          <cell r="E326">
            <v>0</v>
          </cell>
          <cell r="AN326">
            <v>2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2</v>
          </cell>
          <cell r="BJ326">
            <v>0</v>
          </cell>
        </row>
        <row r="327">
          <cell r="D327" t="str">
            <v>Vysoká škola zdravotníctva a sociálnej práce sv. Alžbety v Bratislave, n. o.</v>
          </cell>
          <cell r="E327">
            <v>0</v>
          </cell>
          <cell r="AN327">
            <v>1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1</v>
          </cell>
          <cell r="BJ327">
            <v>0</v>
          </cell>
        </row>
        <row r="328">
          <cell r="D328" t="str">
            <v>Vysoká škola zdravotníctva a sociálnej práce sv. Alžbety v Bratislave, n. o.</v>
          </cell>
          <cell r="E328">
            <v>0</v>
          </cell>
          <cell r="AN328">
            <v>1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1</v>
          </cell>
          <cell r="BJ328">
            <v>0</v>
          </cell>
        </row>
        <row r="329">
          <cell r="D329" t="str">
            <v>Vysoká škola zdravotníctva a sociálnej práce sv. Alžbety v Bratislave, n. o.</v>
          </cell>
          <cell r="E329">
            <v>0</v>
          </cell>
          <cell r="AN329">
            <v>1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1</v>
          </cell>
          <cell r="BJ329">
            <v>0</v>
          </cell>
        </row>
        <row r="330">
          <cell r="D330" t="str">
            <v>Vysoká škola zdravotníctva a sociálnej práce sv. Alžbety v Bratislave, n. o.</v>
          </cell>
          <cell r="E330">
            <v>0</v>
          </cell>
          <cell r="AN330">
            <v>22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22</v>
          </cell>
          <cell r="BJ330">
            <v>0</v>
          </cell>
        </row>
        <row r="331">
          <cell r="D331" t="str">
            <v>Vysoká škola zdravotníctva a sociálnej práce sv. Alžbety v Bratislave, n. o.</v>
          </cell>
          <cell r="E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8</v>
          </cell>
          <cell r="BJ331">
            <v>0</v>
          </cell>
        </row>
        <row r="332">
          <cell r="D332" t="str">
            <v>Vysoká škola zdravotníctva a sociálnej práce sv. Alžbety v Bratislave, n. o.</v>
          </cell>
          <cell r="E332">
            <v>0</v>
          </cell>
          <cell r="AN332">
            <v>1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1</v>
          </cell>
          <cell r="BJ332">
            <v>0</v>
          </cell>
        </row>
        <row r="333">
          <cell r="D333" t="str">
            <v>Vysoká škola zdravotníctva a sociálnej práce sv. Alžbety v Bratislave, n. o.</v>
          </cell>
          <cell r="E333">
            <v>0</v>
          </cell>
          <cell r="AN333">
            <v>132</v>
          </cell>
          <cell r="AO333">
            <v>132</v>
          </cell>
          <cell r="AP333">
            <v>0</v>
          </cell>
          <cell r="AQ333">
            <v>0</v>
          </cell>
          <cell r="AR333">
            <v>132</v>
          </cell>
          <cell r="BF333">
            <v>118.19999999999999</v>
          </cell>
          <cell r="BG333">
            <v>118.19999999999999</v>
          </cell>
          <cell r="BH333">
            <v>118.19999999999999</v>
          </cell>
          <cell r="BI333">
            <v>132</v>
          </cell>
          <cell r="BJ333">
            <v>0</v>
          </cell>
        </row>
        <row r="334">
          <cell r="D334" t="str">
            <v>Vysoká škola zdravotníctva a sociálnej práce sv. Alžbety v Bratislave, n. o.</v>
          </cell>
          <cell r="E334">
            <v>0</v>
          </cell>
          <cell r="AN334">
            <v>6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6</v>
          </cell>
          <cell r="BJ334">
            <v>0</v>
          </cell>
        </row>
        <row r="335">
          <cell r="D335" t="str">
            <v>Vysoká škola zdravotníctva a sociálnej práce sv. Alžbety v Bratislave, n. o.</v>
          </cell>
          <cell r="E335">
            <v>0</v>
          </cell>
          <cell r="AN335">
            <v>8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8</v>
          </cell>
          <cell r="BJ335">
            <v>0</v>
          </cell>
        </row>
        <row r="336">
          <cell r="D336" t="str">
            <v>Vysoká škola výtvarných umení v Bratislave</v>
          </cell>
          <cell r="E336">
            <v>0</v>
          </cell>
          <cell r="AN336">
            <v>41</v>
          </cell>
          <cell r="AO336">
            <v>45</v>
          </cell>
          <cell r="AP336">
            <v>0</v>
          </cell>
          <cell r="AQ336">
            <v>0</v>
          </cell>
          <cell r="AR336">
            <v>41</v>
          </cell>
          <cell r="BF336">
            <v>37.700000000000003</v>
          </cell>
          <cell r="BG336">
            <v>121.77100000000002</v>
          </cell>
          <cell r="BH336">
            <v>109.59390000000002</v>
          </cell>
          <cell r="BI336">
            <v>45</v>
          </cell>
          <cell r="BJ336">
            <v>0</v>
          </cell>
        </row>
        <row r="337">
          <cell r="D337" t="str">
            <v>Vysoká škola výtvarných umení v Bratislave</v>
          </cell>
          <cell r="E337">
            <v>0</v>
          </cell>
          <cell r="AN337">
            <v>21</v>
          </cell>
          <cell r="AO337">
            <v>23</v>
          </cell>
          <cell r="AP337">
            <v>0</v>
          </cell>
          <cell r="AQ337">
            <v>0</v>
          </cell>
          <cell r="AR337">
            <v>21</v>
          </cell>
          <cell r="BF337">
            <v>18.600000000000001</v>
          </cell>
          <cell r="BG337">
            <v>60.078000000000003</v>
          </cell>
          <cell r="BH337">
            <v>60.078000000000003</v>
          </cell>
          <cell r="BI337">
            <v>23</v>
          </cell>
          <cell r="BJ337">
            <v>0</v>
          </cell>
        </row>
        <row r="338">
          <cell r="D338" t="str">
            <v>Vysoká škola zdravotníctva a sociálnej práce sv. Alžbety v Bratislave, n. o.</v>
          </cell>
          <cell r="E338">
            <v>0</v>
          </cell>
          <cell r="AN338">
            <v>1</v>
          </cell>
          <cell r="AO338">
            <v>1</v>
          </cell>
          <cell r="AP338">
            <v>1</v>
          </cell>
          <cell r="AQ338">
            <v>0</v>
          </cell>
          <cell r="AR338">
            <v>1</v>
          </cell>
          <cell r="BF338">
            <v>1</v>
          </cell>
          <cell r="BG338">
            <v>2.15</v>
          </cell>
          <cell r="BH338">
            <v>2.1125435540069688</v>
          </cell>
          <cell r="BI338">
            <v>1</v>
          </cell>
          <cell r="BJ338">
            <v>0</v>
          </cell>
        </row>
        <row r="339">
          <cell r="D339" t="str">
            <v>Univerzita Konštantína Filozofa v Nitre</v>
          </cell>
          <cell r="E339" t="str">
            <v>Fakulta sociálnych vied a zdravotníctva</v>
          </cell>
          <cell r="AN339">
            <v>1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1</v>
          </cell>
          <cell r="BJ339">
            <v>0</v>
          </cell>
        </row>
        <row r="340">
          <cell r="D340" t="str">
            <v>Univerzita veterinárskeho lekárstva a farmácie v Košiciach</v>
          </cell>
          <cell r="E340">
            <v>0</v>
          </cell>
          <cell r="AN340">
            <v>3</v>
          </cell>
          <cell r="AO340">
            <v>0</v>
          </cell>
          <cell r="AP340">
            <v>0</v>
          </cell>
          <cell r="AQ340">
            <v>0</v>
          </cell>
          <cell r="AR340">
            <v>3</v>
          </cell>
          <cell r="BF340">
            <v>9</v>
          </cell>
          <cell r="BG340">
            <v>19.169999999999998</v>
          </cell>
          <cell r="BH340">
            <v>19.169999999999998</v>
          </cell>
          <cell r="BI340">
            <v>3</v>
          </cell>
          <cell r="BJ340">
            <v>3</v>
          </cell>
        </row>
        <row r="341">
          <cell r="D341" t="str">
            <v>Vysoká škola bezpečnostného manažérstva v Košiciach</v>
          </cell>
          <cell r="E341">
            <v>0</v>
          </cell>
          <cell r="AN341">
            <v>425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</v>
          </cell>
          <cell r="BJ341">
            <v>0</v>
          </cell>
        </row>
        <row r="342">
          <cell r="D342" t="str">
            <v>Vysoká škola bezpečnostného manažérstva v Košiciach</v>
          </cell>
          <cell r="E342">
            <v>0</v>
          </cell>
          <cell r="AN342">
            <v>335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335</v>
          </cell>
          <cell r="BJ342">
            <v>0</v>
          </cell>
        </row>
        <row r="343">
          <cell r="D343" t="str">
            <v>Vysoká škola bezpečnostného manažérstva v Košiciach</v>
          </cell>
          <cell r="E343">
            <v>0</v>
          </cell>
          <cell r="AN343">
            <v>108</v>
          </cell>
          <cell r="AO343">
            <v>108</v>
          </cell>
          <cell r="AP343">
            <v>0</v>
          </cell>
          <cell r="AQ343">
            <v>0</v>
          </cell>
          <cell r="AR343">
            <v>108</v>
          </cell>
          <cell r="BF343">
            <v>162</v>
          </cell>
          <cell r="BG343">
            <v>239.76</v>
          </cell>
          <cell r="BH343">
            <v>183.81599999999997</v>
          </cell>
          <cell r="BI343">
            <v>108</v>
          </cell>
          <cell r="BJ343">
            <v>0</v>
          </cell>
        </row>
        <row r="344">
          <cell r="D344" t="str">
            <v>Vysoká škola bezpečnostného manažérstva v Košiciach</v>
          </cell>
          <cell r="E344">
            <v>0</v>
          </cell>
          <cell r="AN344">
            <v>226</v>
          </cell>
          <cell r="AO344">
            <v>226</v>
          </cell>
          <cell r="AP344">
            <v>0</v>
          </cell>
          <cell r="AQ344">
            <v>0</v>
          </cell>
          <cell r="AR344">
            <v>226</v>
          </cell>
          <cell r="BF344">
            <v>203.2</v>
          </cell>
          <cell r="BG344">
            <v>300.73599999999999</v>
          </cell>
          <cell r="BH344">
            <v>286.18425806451614</v>
          </cell>
          <cell r="BI344">
            <v>226</v>
          </cell>
          <cell r="BJ344">
            <v>0</v>
          </cell>
        </row>
        <row r="345">
          <cell r="D345" t="str">
            <v>Univerzita Pavla Jozefa Šafárika v Košiciach</v>
          </cell>
          <cell r="E345">
            <v>0</v>
          </cell>
          <cell r="AN345">
            <v>77</v>
          </cell>
          <cell r="AO345">
            <v>90</v>
          </cell>
          <cell r="AP345">
            <v>0</v>
          </cell>
          <cell r="AQ345">
            <v>0</v>
          </cell>
          <cell r="AR345">
            <v>77</v>
          </cell>
          <cell r="BF345">
            <v>62.3</v>
          </cell>
          <cell r="BG345">
            <v>74.136999999999986</v>
          </cell>
          <cell r="BH345">
            <v>63.545999999999992</v>
          </cell>
          <cell r="BI345">
            <v>90</v>
          </cell>
          <cell r="BJ345">
            <v>0</v>
          </cell>
        </row>
        <row r="346">
          <cell r="D346" t="str">
            <v>Univerzita Pavla Jozefa Šafárika v Košiciach</v>
          </cell>
          <cell r="E346" t="str">
            <v>Lekárska fakulta</v>
          </cell>
          <cell r="AN346">
            <v>5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5</v>
          </cell>
          <cell r="BJ346">
            <v>0</v>
          </cell>
        </row>
        <row r="347">
          <cell r="D347" t="str">
            <v>Univerzita Pavla Jozefa Šafárika v Košiciach</v>
          </cell>
          <cell r="E347" t="str">
            <v>Lekárska fakulta</v>
          </cell>
          <cell r="AN347">
            <v>9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9</v>
          </cell>
          <cell r="BJ347">
            <v>0</v>
          </cell>
        </row>
        <row r="348">
          <cell r="D348" t="str">
            <v>Univerzita Mateja Bela v Banskej Bystrici</v>
          </cell>
          <cell r="E348" t="str">
            <v>Fakulta prírodných vied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1</v>
          </cell>
          <cell r="BJ348">
            <v>0</v>
          </cell>
        </row>
        <row r="349">
          <cell r="D349" t="str">
            <v>Univerzita Mateja Bela v Banskej Bystrici</v>
          </cell>
          <cell r="E349" t="str">
            <v>Ekonomická fakulta</v>
          </cell>
          <cell r="AN349">
            <v>3</v>
          </cell>
          <cell r="AO349">
            <v>0</v>
          </cell>
          <cell r="AP349">
            <v>0</v>
          </cell>
          <cell r="AQ349">
            <v>0</v>
          </cell>
          <cell r="AR349">
            <v>3</v>
          </cell>
          <cell r="BF349">
            <v>12</v>
          </cell>
          <cell r="BG349">
            <v>13.200000000000001</v>
          </cell>
          <cell r="BH349">
            <v>13.200000000000001</v>
          </cell>
          <cell r="BI349">
            <v>4</v>
          </cell>
          <cell r="BJ349">
            <v>3</v>
          </cell>
        </row>
        <row r="350">
          <cell r="D350" t="str">
            <v>Univerzita Mateja Bela v Banskej Bystrici</v>
          </cell>
          <cell r="E350" t="str">
            <v>Ekonomická fakulta</v>
          </cell>
          <cell r="AN350">
            <v>277</v>
          </cell>
          <cell r="AO350">
            <v>311</v>
          </cell>
          <cell r="AP350">
            <v>0</v>
          </cell>
          <cell r="AQ350">
            <v>0</v>
          </cell>
          <cell r="AR350">
            <v>277</v>
          </cell>
          <cell r="BF350">
            <v>236.8</v>
          </cell>
          <cell r="BG350">
            <v>246.27200000000002</v>
          </cell>
          <cell r="BH350">
            <v>246.27200000000002</v>
          </cell>
          <cell r="BI350">
            <v>311</v>
          </cell>
          <cell r="BJ350">
            <v>0</v>
          </cell>
        </row>
        <row r="351">
          <cell r="D351" t="str">
            <v>Trnavská univerzita v Trnave</v>
          </cell>
          <cell r="E351" t="str">
            <v>Teologická fakulta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1</v>
          </cell>
          <cell r="BJ351">
            <v>0</v>
          </cell>
        </row>
        <row r="352">
          <cell r="D352" t="str">
            <v>Univerzita Mateja Bela v Banskej Bystrici</v>
          </cell>
          <cell r="E352" t="str">
            <v>Fakulta politických vied a medzinárodných vzťahov</v>
          </cell>
          <cell r="AN352">
            <v>310</v>
          </cell>
          <cell r="AO352">
            <v>327</v>
          </cell>
          <cell r="AP352">
            <v>0</v>
          </cell>
          <cell r="AQ352">
            <v>0</v>
          </cell>
          <cell r="AR352">
            <v>310</v>
          </cell>
          <cell r="BF352">
            <v>268.60000000000002</v>
          </cell>
          <cell r="BG352">
            <v>268.60000000000002</v>
          </cell>
          <cell r="BH352">
            <v>261.62337662337666</v>
          </cell>
          <cell r="BI352">
            <v>327</v>
          </cell>
          <cell r="BJ352">
            <v>0</v>
          </cell>
        </row>
        <row r="353">
          <cell r="D353" t="str">
            <v>Univerzita Pavla Jozefa Šafárika v Košiciach</v>
          </cell>
          <cell r="E353" t="str">
            <v>Prírodovedecká fakulta</v>
          </cell>
          <cell r="AN353">
            <v>8</v>
          </cell>
          <cell r="AO353">
            <v>0</v>
          </cell>
          <cell r="AP353">
            <v>0</v>
          </cell>
          <cell r="AQ353">
            <v>8</v>
          </cell>
          <cell r="AR353">
            <v>8</v>
          </cell>
          <cell r="BF353">
            <v>24</v>
          </cell>
          <cell r="BG353">
            <v>51.12</v>
          </cell>
          <cell r="BH353">
            <v>51.12</v>
          </cell>
          <cell r="BI353">
            <v>8</v>
          </cell>
          <cell r="BJ353">
            <v>8</v>
          </cell>
        </row>
        <row r="354">
          <cell r="D354" t="str">
            <v>Univerzita Mateja Bela v Banskej Bystrici</v>
          </cell>
          <cell r="E354" t="str">
            <v>Pedagogická fakulta</v>
          </cell>
          <cell r="AN354">
            <v>24</v>
          </cell>
          <cell r="AO354">
            <v>27</v>
          </cell>
          <cell r="AP354">
            <v>0</v>
          </cell>
          <cell r="AQ354">
            <v>0</v>
          </cell>
          <cell r="AR354">
            <v>24</v>
          </cell>
          <cell r="BF354">
            <v>21.6</v>
          </cell>
          <cell r="BG354">
            <v>46.44</v>
          </cell>
          <cell r="BH354">
            <v>46.44</v>
          </cell>
          <cell r="BI354">
            <v>27</v>
          </cell>
          <cell r="BJ354">
            <v>0</v>
          </cell>
        </row>
        <row r="355">
          <cell r="D355" t="str">
            <v>Univerzita Pavla Jozefa Šafárika v Košiciach</v>
          </cell>
          <cell r="E355" t="str">
            <v>Filozofická fakulta</v>
          </cell>
          <cell r="AN355">
            <v>57</v>
          </cell>
          <cell r="AO355">
            <v>63</v>
          </cell>
          <cell r="AP355">
            <v>0</v>
          </cell>
          <cell r="AQ355">
            <v>0</v>
          </cell>
          <cell r="AR355">
            <v>57</v>
          </cell>
          <cell r="BF355">
            <v>48.599999999999994</v>
          </cell>
          <cell r="BG355">
            <v>72.899999999999991</v>
          </cell>
          <cell r="BH355">
            <v>72.899999999999991</v>
          </cell>
          <cell r="BI355">
            <v>63</v>
          </cell>
          <cell r="BJ355">
            <v>0</v>
          </cell>
        </row>
        <row r="356">
          <cell r="D356" t="str">
            <v>Univerzita Pavla Jozefa Šafárika v Košiciach</v>
          </cell>
          <cell r="E356" t="str">
            <v>Filozofická fakulta</v>
          </cell>
          <cell r="AN356">
            <v>110</v>
          </cell>
          <cell r="AO356">
            <v>123</v>
          </cell>
          <cell r="AP356">
            <v>0</v>
          </cell>
          <cell r="AQ356">
            <v>0</v>
          </cell>
          <cell r="AR356">
            <v>110</v>
          </cell>
          <cell r="BF356">
            <v>98</v>
          </cell>
          <cell r="BG356">
            <v>98</v>
          </cell>
          <cell r="BH356">
            <v>94.838709677419359</v>
          </cell>
          <cell r="BI356">
            <v>123</v>
          </cell>
          <cell r="BJ356">
            <v>0</v>
          </cell>
        </row>
        <row r="357">
          <cell r="D357" t="str">
            <v>Univerzita Pavla Jozefa Šafárika v Košiciach</v>
          </cell>
          <cell r="E357" t="str">
            <v>Filozofická fakulta</v>
          </cell>
          <cell r="AN357">
            <v>26</v>
          </cell>
          <cell r="AO357">
            <v>32</v>
          </cell>
          <cell r="AP357">
            <v>0</v>
          </cell>
          <cell r="AQ357">
            <v>0</v>
          </cell>
          <cell r="AR357">
            <v>26</v>
          </cell>
          <cell r="BF357">
            <v>23.9</v>
          </cell>
          <cell r="BG357">
            <v>23.9</v>
          </cell>
          <cell r="BH357">
            <v>23.9</v>
          </cell>
          <cell r="BI357">
            <v>32</v>
          </cell>
          <cell r="BJ357">
            <v>0</v>
          </cell>
        </row>
        <row r="358">
          <cell r="D358" t="str">
            <v>Univerzita Pavla Jozefa Šafárika v Košiciach</v>
          </cell>
          <cell r="E358" t="str">
            <v>Filozofická fakulta</v>
          </cell>
          <cell r="AN358">
            <v>2</v>
          </cell>
          <cell r="AO358">
            <v>2</v>
          </cell>
          <cell r="AP358">
            <v>2</v>
          </cell>
          <cell r="AQ358">
            <v>0</v>
          </cell>
          <cell r="AR358">
            <v>2</v>
          </cell>
          <cell r="BF358">
            <v>1.7</v>
          </cell>
          <cell r="BG358">
            <v>2.1419999999999999</v>
          </cell>
          <cell r="BH358">
            <v>2.0335443037974681</v>
          </cell>
          <cell r="BI358">
            <v>2</v>
          </cell>
          <cell r="BJ358">
            <v>0</v>
          </cell>
        </row>
        <row r="359">
          <cell r="D359" t="str">
            <v>Univerzita Pavla Jozefa Šafárika v Košiciach</v>
          </cell>
          <cell r="E359" t="str">
            <v>Filozofická fakulta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</v>
          </cell>
          <cell r="BJ359">
            <v>0</v>
          </cell>
        </row>
        <row r="360">
          <cell r="D360" t="str">
            <v>Univerzita Pavla Jozefa Šafárika v Košiciach</v>
          </cell>
          <cell r="E360" t="str">
            <v>Filozofická fakulta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1</v>
          </cell>
          <cell r="BJ360">
            <v>0</v>
          </cell>
        </row>
        <row r="361">
          <cell r="D361" t="str">
            <v>Technická univerzita v Košiciach</v>
          </cell>
          <cell r="E361" t="str">
            <v>Fakulta výrobných technológií so sídlom v Prešove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3</v>
          </cell>
          <cell r="BJ361">
            <v>0</v>
          </cell>
        </row>
        <row r="362">
          <cell r="D362" t="str">
            <v>Technická univerzita v Košiciach</v>
          </cell>
          <cell r="E362" t="str">
            <v>Fakulta výrobných technológií so sídlom v Prešove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3</v>
          </cell>
          <cell r="BJ362">
            <v>0</v>
          </cell>
        </row>
        <row r="363">
          <cell r="D363" t="str">
            <v>Technická univerzita v Košiciach</v>
          </cell>
          <cell r="E363" t="str">
            <v>Fakulta umení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</v>
          </cell>
          <cell r="BJ363">
            <v>0</v>
          </cell>
        </row>
        <row r="364">
          <cell r="D364" t="str">
            <v>Technická univerzita v Košiciach</v>
          </cell>
          <cell r="E364" t="str">
            <v>Fakulta umení</v>
          </cell>
          <cell r="AN364">
            <v>69</v>
          </cell>
          <cell r="AO364">
            <v>72</v>
          </cell>
          <cell r="AP364">
            <v>0</v>
          </cell>
          <cell r="AQ364">
            <v>0</v>
          </cell>
          <cell r="AR364">
            <v>69</v>
          </cell>
          <cell r="BF364">
            <v>62.4</v>
          </cell>
          <cell r="BG364">
            <v>201.55199999999999</v>
          </cell>
          <cell r="BH364">
            <v>201.55199999999999</v>
          </cell>
          <cell r="BI364">
            <v>72</v>
          </cell>
          <cell r="BJ364">
            <v>0</v>
          </cell>
        </row>
        <row r="365">
          <cell r="D365" t="str">
            <v>Technická univerzita v Košiciach</v>
          </cell>
          <cell r="E365" t="str">
            <v>Fakulta umení</v>
          </cell>
          <cell r="AN365">
            <v>58</v>
          </cell>
          <cell r="AO365">
            <v>66</v>
          </cell>
          <cell r="AP365">
            <v>0</v>
          </cell>
          <cell r="AQ365">
            <v>58</v>
          </cell>
          <cell r="AR365">
            <v>58</v>
          </cell>
          <cell r="BF365">
            <v>54.4</v>
          </cell>
          <cell r="BG365">
            <v>81.599999999999994</v>
          </cell>
          <cell r="BH365">
            <v>81.599999999999994</v>
          </cell>
          <cell r="BI365">
            <v>66</v>
          </cell>
          <cell r="BJ365">
            <v>0</v>
          </cell>
        </row>
        <row r="366">
          <cell r="D366" t="str">
            <v>Univerzita Pavla Jozefa Šafárika v Košiciach</v>
          </cell>
          <cell r="E366" t="str">
            <v>Fakulta verejnej správy</v>
          </cell>
          <cell r="AN366">
            <v>232</v>
          </cell>
          <cell r="AO366">
            <v>263</v>
          </cell>
          <cell r="AP366">
            <v>0</v>
          </cell>
          <cell r="AQ366">
            <v>0</v>
          </cell>
          <cell r="AR366">
            <v>232</v>
          </cell>
          <cell r="BF366">
            <v>193.6</v>
          </cell>
          <cell r="BG366">
            <v>193.6</v>
          </cell>
          <cell r="BH366">
            <v>179.96619718309859</v>
          </cell>
          <cell r="BI366">
            <v>263</v>
          </cell>
          <cell r="BJ366">
            <v>0</v>
          </cell>
        </row>
        <row r="367">
          <cell r="D367" t="str">
            <v>Technická univerzita v Košiciach</v>
          </cell>
          <cell r="E367" t="str">
            <v>Fakulta baníctva, ekológie, riadenia a geotechnológií</v>
          </cell>
          <cell r="AN367">
            <v>61</v>
          </cell>
          <cell r="AO367">
            <v>68</v>
          </cell>
          <cell r="AP367">
            <v>68</v>
          </cell>
          <cell r="AQ367">
            <v>61</v>
          </cell>
          <cell r="AR367">
            <v>61</v>
          </cell>
          <cell r="BF367">
            <v>49.599999999999994</v>
          </cell>
          <cell r="BG367">
            <v>73.407999999999987</v>
          </cell>
          <cell r="BH367">
            <v>73.407999999999987</v>
          </cell>
          <cell r="BI367">
            <v>68</v>
          </cell>
          <cell r="BJ367">
            <v>0</v>
          </cell>
        </row>
        <row r="368">
          <cell r="D368" t="str">
            <v>Technická univerzita v Košiciach</v>
          </cell>
          <cell r="E368" t="str">
            <v>Fakulta baníctva, ekológie, riadenia a geotechnológií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2</v>
          </cell>
          <cell r="BJ368">
            <v>0</v>
          </cell>
        </row>
        <row r="369">
          <cell r="D369" t="str">
            <v>Univerzita Pavla Jozefa Šafárika v Košiciach</v>
          </cell>
          <cell r="E369" t="str">
            <v>Filozofická fakulta</v>
          </cell>
          <cell r="AN369">
            <v>7</v>
          </cell>
          <cell r="AO369">
            <v>0</v>
          </cell>
          <cell r="AP369">
            <v>0</v>
          </cell>
          <cell r="AQ369">
            <v>0</v>
          </cell>
          <cell r="AR369">
            <v>7</v>
          </cell>
          <cell r="BF369">
            <v>28</v>
          </cell>
          <cell r="BG369">
            <v>30.800000000000004</v>
          </cell>
          <cell r="BH369">
            <v>30.800000000000004</v>
          </cell>
          <cell r="BI369">
            <v>8</v>
          </cell>
          <cell r="BJ369">
            <v>7</v>
          </cell>
        </row>
        <row r="370">
          <cell r="D370" t="str">
            <v>Technická univerzita v Košiciach</v>
          </cell>
          <cell r="E370" t="str">
            <v>Letecká fakulta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2</v>
          </cell>
          <cell r="BJ370">
            <v>0</v>
          </cell>
        </row>
        <row r="371">
          <cell r="D371" t="str">
            <v>Univerzita Pavla Jozefa Šafárika v Košiciach</v>
          </cell>
          <cell r="E371" t="str">
            <v>Prírodovedecká fakulta</v>
          </cell>
          <cell r="AN371">
            <v>83</v>
          </cell>
          <cell r="AO371">
            <v>88</v>
          </cell>
          <cell r="AP371">
            <v>88</v>
          </cell>
          <cell r="AQ371">
            <v>83</v>
          </cell>
          <cell r="AR371">
            <v>83</v>
          </cell>
          <cell r="BF371">
            <v>73.7</v>
          </cell>
          <cell r="BG371">
            <v>109.07600000000001</v>
          </cell>
          <cell r="BH371">
            <v>109.07600000000001</v>
          </cell>
          <cell r="BI371">
            <v>88</v>
          </cell>
          <cell r="BJ371">
            <v>0</v>
          </cell>
        </row>
        <row r="372">
          <cell r="D372" t="str">
            <v>Univerzita Pavla Jozefa Šafárika v Košiciach</v>
          </cell>
          <cell r="E372" t="str">
            <v>Prírodovedecká fakulta</v>
          </cell>
          <cell r="AN372">
            <v>13</v>
          </cell>
          <cell r="AO372">
            <v>16</v>
          </cell>
          <cell r="AP372">
            <v>16</v>
          </cell>
          <cell r="AQ372">
            <v>13</v>
          </cell>
          <cell r="AR372">
            <v>13</v>
          </cell>
          <cell r="BF372">
            <v>11.2</v>
          </cell>
          <cell r="BG372">
            <v>13.888</v>
          </cell>
          <cell r="BH372">
            <v>13.888</v>
          </cell>
          <cell r="BI372">
            <v>16</v>
          </cell>
          <cell r="BJ372">
            <v>0</v>
          </cell>
        </row>
        <row r="373">
          <cell r="D373" t="str">
            <v>Technická univerzita v Košiciach</v>
          </cell>
          <cell r="E373" t="str">
            <v>Fakulta elektrotechniky a informatiky</v>
          </cell>
          <cell r="AN373">
            <v>821</v>
          </cell>
          <cell r="AO373">
            <v>879</v>
          </cell>
          <cell r="AP373">
            <v>879</v>
          </cell>
          <cell r="AQ373">
            <v>821</v>
          </cell>
          <cell r="AR373">
            <v>821</v>
          </cell>
          <cell r="BF373">
            <v>677.9</v>
          </cell>
          <cell r="BG373">
            <v>1003.2919999999999</v>
          </cell>
          <cell r="BH373">
            <v>1003.2919999999999</v>
          </cell>
          <cell r="BI373">
            <v>879</v>
          </cell>
          <cell r="BJ373">
            <v>0</v>
          </cell>
        </row>
        <row r="374">
          <cell r="D374" t="str">
            <v>Technická univerzita v Košiciach</v>
          </cell>
          <cell r="E374" t="str">
            <v>Fakulta elektrotechniky a informatiky</v>
          </cell>
          <cell r="AN374">
            <v>160</v>
          </cell>
          <cell r="AO374">
            <v>170</v>
          </cell>
          <cell r="AP374">
            <v>170</v>
          </cell>
          <cell r="AQ374">
            <v>160</v>
          </cell>
          <cell r="AR374">
            <v>160</v>
          </cell>
          <cell r="BF374">
            <v>138.1</v>
          </cell>
          <cell r="BG374">
            <v>204.38799999999998</v>
          </cell>
          <cell r="BH374">
            <v>195.69063829787234</v>
          </cell>
          <cell r="BI374">
            <v>170</v>
          </cell>
          <cell r="BJ374">
            <v>0</v>
          </cell>
        </row>
        <row r="375">
          <cell r="D375" t="str">
            <v>Technická univerzita v Košiciach</v>
          </cell>
          <cell r="E375" t="str">
            <v>Stavebná fakulta</v>
          </cell>
          <cell r="AN375">
            <v>8</v>
          </cell>
          <cell r="AO375">
            <v>0</v>
          </cell>
          <cell r="AP375">
            <v>0</v>
          </cell>
          <cell r="AQ375">
            <v>8</v>
          </cell>
          <cell r="AR375">
            <v>8</v>
          </cell>
          <cell r="BF375">
            <v>24</v>
          </cell>
          <cell r="BG375">
            <v>51.12</v>
          </cell>
          <cell r="BH375">
            <v>51.12</v>
          </cell>
          <cell r="BI375">
            <v>9</v>
          </cell>
          <cell r="BJ375">
            <v>8</v>
          </cell>
        </row>
        <row r="376">
          <cell r="D376" t="str">
            <v>Technická univerzita v Košiciach</v>
          </cell>
          <cell r="E376" t="str">
            <v>Stavebná fakulta</v>
          </cell>
          <cell r="AN376">
            <v>21</v>
          </cell>
          <cell r="AO376">
            <v>25</v>
          </cell>
          <cell r="AP376">
            <v>25</v>
          </cell>
          <cell r="AQ376">
            <v>21</v>
          </cell>
          <cell r="AR376">
            <v>21</v>
          </cell>
          <cell r="BF376">
            <v>18.899999999999999</v>
          </cell>
          <cell r="BG376">
            <v>27.971999999999998</v>
          </cell>
          <cell r="BH376">
            <v>27.971999999999998</v>
          </cell>
          <cell r="BI376">
            <v>25</v>
          </cell>
          <cell r="BJ376">
            <v>0</v>
          </cell>
        </row>
        <row r="377">
          <cell r="D377" t="str">
            <v>Akadémia umení v Banskej Bystrici</v>
          </cell>
          <cell r="E377" t="str">
            <v>Fakulta výtvarných umení</v>
          </cell>
          <cell r="AN377">
            <v>8</v>
          </cell>
          <cell r="AO377">
            <v>0</v>
          </cell>
          <cell r="AP377">
            <v>0</v>
          </cell>
          <cell r="AQ377">
            <v>0</v>
          </cell>
          <cell r="AR377">
            <v>8</v>
          </cell>
          <cell r="BF377">
            <v>32</v>
          </cell>
          <cell r="BG377">
            <v>35.200000000000003</v>
          </cell>
          <cell r="BH377">
            <v>35.200000000000003</v>
          </cell>
          <cell r="BI377">
            <v>8</v>
          </cell>
          <cell r="BJ377">
            <v>8</v>
          </cell>
        </row>
        <row r="378">
          <cell r="D378" t="str">
            <v>Technická univerzita v Košiciach</v>
          </cell>
          <cell r="E378" t="str">
            <v>Strojnícka fakulta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</v>
          </cell>
          <cell r="BJ378">
            <v>0</v>
          </cell>
        </row>
        <row r="379">
          <cell r="D379" t="str">
            <v>Technická univerzita v Košiciach</v>
          </cell>
          <cell r="E379" t="str">
            <v>Strojnícka fakulta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3</v>
          </cell>
          <cell r="BJ379">
            <v>0</v>
          </cell>
        </row>
        <row r="380">
          <cell r="D380" t="str">
            <v>Univerzita Mateja Bela v Banskej Bystrici</v>
          </cell>
          <cell r="E380" t="str">
            <v>Filozofická fakulta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1</v>
          </cell>
          <cell r="BJ380">
            <v>0</v>
          </cell>
        </row>
        <row r="381">
          <cell r="D381" t="str">
            <v>Univerzita Mateja Bela v Banskej Bystrici</v>
          </cell>
          <cell r="E381" t="str">
            <v>Filozofická fakulta</v>
          </cell>
          <cell r="AN381">
            <v>129</v>
          </cell>
          <cell r="AO381">
            <v>154</v>
          </cell>
          <cell r="AP381">
            <v>0</v>
          </cell>
          <cell r="AQ381">
            <v>0</v>
          </cell>
          <cell r="AR381">
            <v>129</v>
          </cell>
          <cell r="BF381">
            <v>109.19999999999999</v>
          </cell>
          <cell r="BG381">
            <v>129.94799999999998</v>
          </cell>
          <cell r="BH381">
            <v>113.70449999999998</v>
          </cell>
          <cell r="BI381">
            <v>154</v>
          </cell>
          <cell r="BJ381">
            <v>0</v>
          </cell>
        </row>
        <row r="382">
          <cell r="D382" t="str">
            <v>Univerzita Mateja Bela v Banskej Bystrici</v>
          </cell>
          <cell r="E382" t="str">
            <v>Filozofická fakulta</v>
          </cell>
          <cell r="AN382">
            <v>51</v>
          </cell>
          <cell r="AO382">
            <v>66</v>
          </cell>
          <cell r="AP382">
            <v>0</v>
          </cell>
          <cell r="AQ382">
            <v>0</v>
          </cell>
          <cell r="AR382">
            <v>51</v>
          </cell>
          <cell r="BF382">
            <v>41.099999999999994</v>
          </cell>
          <cell r="BG382">
            <v>48.908999999999992</v>
          </cell>
          <cell r="BH382">
            <v>45.648399999999995</v>
          </cell>
          <cell r="BI382">
            <v>66</v>
          </cell>
          <cell r="BJ382">
            <v>0</v>
          </cell>
        </row>
        <row r="383">
          <cell r="D383" t="str">
            <v>Univerzita Mateja Bela v Banskej Bystrici</v>
          </cell>
          <cell r="E383" t="str">
            <v>Filozofická fakulta</v>
          </cell>
          <cell r="AN383">
            <v>76</v>
          </cell>
          <cell r="AO383">
            <v>83</v>
          </cell>
          <cell r="AP383">
            <v>0</v>
          </cell>
          <cell r="AQ383">
            <v>0</v>
          </cell>
          <cell r="AR383">
            <v>76</v>
          </cell>
          <cell r="BF383">
            <v>65.95</v>
          </cell>
          <cell r="BG383">
            <v>71.885500000000008</v>
          </cell>
          <cell r="BH383">
            <v>71.885500000000008</v>
          </cell>
          <cell r="BI383">
            <v>83</v>
          </cell>
          <cell r="BJ383">
            <v>0</v>
          </cell>
        </row>
        <row r="384">
          <cell r="D384" t="str">
            <v>Univerzita Mateja Bela v Banskej Bystrici</v>
          </cell>
          <cell r="E384" t="str">
            <v>Filozofická fakulta</v>
          </cell>
          <cell r="AN384">
            <v>12.5</v>
          </cell>
          <cell r="AO384">
            <v>15.5</v>
          </cell>
          <cell r="AP384">
            <v>0</v>
          </cell>
          <cell r="AQ384">
            <v>0</v>
          </cell>
          <cell r="AR384">
            <v>12.5</v>
          </cell>
          <cell r="BF384">
            <v>10.399999999999999</v>
          </cell>
          <cell r="BG384">
            <v>11.335999999999999</v>
          </cell>
          <cell r="BH384">
            <v>9.4466666666666654</v>
          </cell>
          <cell r="BI384">
            <v>15.5</v>
          </cell>
          <cell r="BJ384">
            <v>0</v>
          </cell>
        </row>
        <row r="385">
          <cell r="D385" t="str">
            <v>Univerzita Mateja Bela v Banskej Bystrici</v>
          </cell>
          <cell r="E385" t="str">
            <v>Filozofická fakulta</v>
          </cell>
          <cell r="AN385">
            <v>71</v>
          </cell>
          <cell r="AO385">
            <v>77</v>
          </cell>
          <cell r="AP385">
            <v>0</v>
          </cell>
          <cell r="AQ385">
            <v>0</v>
          </cell>
          <cell r="AR385">
            <v>71</v>
          </cell>
          <cell r="BF385">
            <v>61.55</v>
          </cell>
          <cell r="BG385">
            <v>92.324999999999989</v>
          </cell>
          <cell r="BH385">
            <v>92.324999999999989</v>
          </cell>
          <cell r="BI385">
            <v>77</v>
          </cell>
          <cell r="BJ385">
            <v>0</v>
          </cell>
        </row>
        <row r="386">
          <cell r="D386" t="str">
            <v>Univerzita Mateja Bela v Banskej Bystrici</v>
          </cell>
          <cell r="E386" t="str">
            <v>Filozofická fakulta</v>
          </cell>
          <cell r="AN386">
            <v>15.5</v>
          </cell>
          <cell r="AO386">
            <v>17</v>
          </cell>
          <cell r="AP386">
            <v>0</v>
          </cell>
          <cell r="AQ386">
            <v>0</v>
          </cell>
          <cell r="AR386">
            <v>15.5</v>
          </cell>
          <cell r="BF386">
            <v>13.85</v>
          </cell>
          <cell r="BG386">
            <v>20.774999999999999</v>
          </cell>
          <cell r="BH386">
            <v>20.774999999999999</v>
          </cell>
          <cell r="BI386">
            <v>17</v>
          </cell>
          <cell r="BJ386">
            <v>0</v>
          </cell>
        </row>
        <row r="387">
          <cell r="D387" t="str">
            <v>Univerzita Mateja Bela v Banskej Bystrici</v>
          </cell>
          <cell r="E387" t="str">
            <v>Filozofická fakulta</v>
          </cell>
          <cell r="AN387">
            <v>26.5</v>
          </cell>
          <cell r="AO387">
            <v>28</v>
          </cell>
          <cell r="AP387">
            <v>0</v>
          </cell>
          <cell r="AQ387">
            <v>0</v>
          </cell>
          <cell r="AR387">
            <v>26.5</v>
          </cell>
          <cell r="BF387">
            <v>23.5</v>
          </cell>
          <cell r="BG387">
            <v>35.25</v>
          </cell>
          <cell r="BH387">
            <v>35.25</v>
          </cell>
          <cell r="BI387">
            <v>28</v>
          </cell>
          <cell r="BJ387">
            <v>0</v>
          </cell>
        </row>
        <row r="388">
          <cell r="D388" t="str">
            <v>Univerzita Mateja Bela v Banskej Bystrici</v>
          </cell>
          <cell r="E388" t="str">
            <v>Filozofická fakulta</v>
          </cell>
          <cell r="AN388">
            <v>7</v>
          </cell>
          <cell r="AO388">
            <v>8</v>
          </cell>
          <cell r="AP388">
            <v>0</v>
          </cell>
          <cell r="AQ388">
            <v>0</v>
          </cell>
          <cell r="AR388">
            <v>7</v>
          </cell>
          <cell r="BF388">
            <v>7</v>
          </cell>
          <cell r="BG388">
            <v>7.28</v>
          </cell>
          <cell r="BH388">
            <v>7.28</v>
          </cell>
          <cell r="BI388">
            <v>8</v>
          </cell>
          <cell r="BJ388">
            <v>0</v>
          </cell>
        </row>
        <row r="389">
          <cell r="D389" t="str">
            <v>Univerzita Mateja Bela v Banskej Bystrici</v>
          </cell>
          <cell r="E389" t="str">
            <v>Filozofická fakulta</v>
          </cell>
          <cell r="AN389">
            <v>5</v>
          </cell>
          <cell r="AO389">
            <v>6</v>
          </cell>
          <cell r="AP389">
            <v>0</v>
          </cell>
          <cell r="AQ389">
            <v>0</v>
          </cell>
          <cell r="AR389">
            <v>5</v>
          </cell>
          <cell r="BF389">
            <v>3.8</v>
          </cell>
          <cell r="BG389">
            <v>3.8</v>
          </cell>
          <cell r="BH389">
            <v>2.8499999999999996</v>
          </cell>
          <cell r="BI389">
            <v>6</v>
          </cell>
          <cell r="BJ389">
            <v>0</v>
          </cell>
        </row>
        <row r="390">
          <cell r="D390" t="str">
            <v>Univerzita sv. Cyrila a Metoda v Trnave</v>
          </cell>
          <cell r="E390" t="str">
            <v>Fakulta sociálnych vied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13</v>
          </cell>
          <cell r="BJ390">
            <v>0</v>
          </cell>
        </row>
        <row r="391">
          <cell r="D391" t="str">
            <v>Univerzita sv. Cyrila a Metoda v Trnave</v>
          </cell>
          <cell r="E391" t="str">
            <v>Fakulta sociálnych vied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3</v>
          </cell>
          <cell r="BJ391">
            <v>0</v>
          </cell>
        </row>
        <row r="392">
          <cell r="D392" t="str">
            <v>Univerzita sv. Cyrila a Metoda v Trnave</v>
          </cell>
          <cell r="E392" t="str">
            <v>Fakulta sociálnych vied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56</v>
          </cell>
          <cell r="BJ392">
            <v>0</v>
          </cell>
        </row>
        <row r="393">
          <cell r="D393" t="str">
            <v>Univerzita sv. Cyrila a Metoda v Trnave</v>
          </cell>
          <cell r="E393" t="str">
            <v>Fakulta masmediálnej komunikácie</v>
          </cell>
          <cell r="AN393">
            <v>177</v>
          </cell>
          <cell r="AO393">
            <v>214</v>
          </cell>
          <cell r="AP393">
            <v>0</v>
          </cell>
          <cell r="AQ393">
            <v>0</v>
          </cell>
          <cell r="AR393">
            <v>177</v>
          </cell>
          <cell r="BF393">
            <v>159.6</v>
          </cell>
          <cell r="BG393">
            <v>189.92399999999998</v>
          </cell>
          <cell r="BH393">
            <v>185.40199999999999</v>
          </cell>
          <cell r="BI393">
            <v>214</v>
          </cell>
          <cell r="BJ393">
            <v>0</v>
          </cell>
        </row>
        <row r="394">
          <cell r="D394" t="str">
            <v>Univerzita sv. Cyrila a Metoda v Trnave</v>
          </cell>
          <cell r="E394" t="str">
            <v>Fakulta sociálnych vied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15</v>
          </cell>
          <cell r="BJ394">
            <v>0</v>
          </cell>
        </row>
        <row r="395">
          <cell r="D395" t="str">
            <v>Univerzita sv. Cyrila a Metoda v Trnave</v>
          </cell>
          <cell r="E395" t="str">
            <v>Fakulta sociálnych vied</v>
          </cell>
          <cell r="AN395">
            <v>61</v>
          </cell>
          <cell r="AO395">
            <v>81</v>
          </cell>
          <cell r="AP395">
            <v>0</v>
          </cell>
          <cell r="AQ395">
            <v>0</v>
          </cell>
          <cell r="AR395">
            <v>61</v>
          </cell>
          <cell r="BF395">
            <v>54.099999999999994</v>
          </cell>
          <cell r="BG395">
            <v>54.099999999999994</v>
          </cell>
          <cell r="BH395">
            <v>52.923913043478258</v>
          </cell>
          <cell r="BI395">
            <v>81</v>
          </cell>
          <cell r="BJ395">
            <v>0</v>
          </cell>
        </row>
        <row r="396">
          <cell r="D396" t="str">
            <v>Univerzita sv. Cyrila a Metoda v Trnave</v>
          </cell>
          <cell r="E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1</v>
          </cell>
          <cell r="BJ396">
            <v>0</v>
          </cell>
        </row>
        <row r="397">
          <cell r="D397" t="str">
            <v>Univerzita sv. Cyrila a Metoda v Trnave</v>
          </cell>
          <cell r="E397" t="str">
            <v>Fakulta prírodných vied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6</v>
          </cell>
          <cell r="BJ397">
            <v>0</v>
          </cell>
        </row>
        <row r="398">
          <cell r="D398" t="str">
            <v>Paneurópska vysoká škola</v>
          </cell>
          <cell r="E398" t="str">
            <v>Fakulta psychológie</v>
          </cell>
          <cell r="AN398">
            <v>0</v>
          </cell>
          <cell r="AO398">
            <v>2</v>
          </cell>
          <cell r="AP398">
            <v>0</v>
          </cell>
          <cell r="AQ398">
            <v>0</v>
          </cell>
          <cell r="AR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2</v>
          </cell>
          <cell r="BJ398">
            <v>0</v>
          </cell>
        </row>
        <row r="399">
          <cell r="D399" t="str">
            <v>Technická univerzita vo Zvolene</v>
          </cell>
          <cell r="E399" t="str">
            <v>Drevárska fakulta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1</v>
          </cell>
          <cell r="BJ399">
            <v>0</v>
          </cell>
        </row>
        <row r="400">
          <cell r="D400" t="str">
            <v>Technická univerzita vo Zvolene</v>
          </cell>
          <cell r="E400" t="str">
            <v>Drevárska fakulta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1</v>
          </cell>
          <cell r="BJ400">
            <v>0</v>
          </cell>
        </row>
        <row r="401">
          <cell r="D401" t="str">
            <v>Technická univerzita vo Zvolene</v>
          </cell>
          <cell r="E401" t="str">
            <v>Drevárska fakulta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</v>
          </cell>
          <cell r="BJ401">
            <v>0</v>
          </cell>
        </row>
        <row r="402">
          <cell r="D402" t="str">
            <v>Technická univerzita vo Zvolene</v>
          </cell>
          <cell r="E402" t="str">
            <v>Drevárska fakulta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35</v>
          </cell>
          <cell r="BJ402">
            <v>0</v>
          </cell>
        </row>
        <row r="403">
          <cell r="D403" t="str">
            <v>Akadémia ozbrojených síl generála Milana Rastislava Štefánika</v>
          </cell>
          <cell r="E403">
            <v>0</v>
          </cell>
          <cell r="AN403">
            <v>12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12</v>
          </cell>
          <cell r="BJ403">
            <v>0</v>
          </cell>
        </row>
        <row r="404">
          <cell r="D404" t="str">
            <v>Univerzita Konštantína Filozofa v Nitre</v>
          </cell>
          <cell r="E404" t="str">
            <v>Fakulta stredoeurópskych štúdií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0</v>
          </cell>
        </row>
        <row r="405">
          <cell r="D405" t="str">
            <v>Univerzita Konštantína Filozofa v Nitre</v>
          </cell>
          <cell r="E405" t="str">
            <v>Fakulta stredoeurópskych štúdií</v>
          </cell>
          <cell r="AN405">
            <v>42</v>
          </cell>
          <cell r="AO405">
            <v>46</v>
          </cell>
          <cell r="AP405">
            <v>0</v>
          </cell>
          <cell r="AQ405">
            <v>0</v>
          </cell>
          <cell r="AR405">
            <v>42</v>
          </cell>
          <cell r="BF405">
            <v>39.6</v>
          </cell>
          <cell r="BG405">
            <v>41.184000000000005</v>
          </cell>
          <cell r="BH405">
            <v>41.184000000000005</v>
          </cell>
          <cell r="BI405">
            <v>46</v>
          </cell>
          <cell r="BJ405">
            <v>0</v>
          </cell>
        </row>
        <row r="406">
          <cell r="D406" t="str">
            <v>Ekonomická univerzita v Bratislave</v>
          </cell>
          <cell r="E406" t="str">
            <v>Obchodná fakulta</v>
          </cell>
          <cell r="AN406">
            <v>70</v>
          </cell>
          <cell r="AO406">
            <v>77</v>
          </cell>
          <cell r="AP406">
            <v>0</v>
          </cell>
          <cell r="AQ406">
            <v>0</v>
          </cell>
          <cell r="AR406">
            <v>70</v>
          </cell>
          <cell r="BF406">
            <v>105</v>
          </cell>
          <cell r="BG406">
            <v>109.2</v>
          </cell>
          <cell r="BH406">
            <v>96.352941176470594</v>
          </cell>
          <cell r="BI406">
            <v>77</v>
          </cell>
          <cell r="BJ406">
            <v>0</v>
          </cell>
        </row>
        <row r="407">
          <cell r="D407" t="str">
            <v>Ekonomická univerzita v Bratislave</v>
          </cell>
          <cell r="E407" t="str">
            <v>Fakulta hospodárskej informatiky</v>
          </cell>
          <cell r="AN407">
            <v>336</v>
          </cell>
          <cell r="AO407">
            <v>362</v>
          </cell>
          <cell r="AP407">
            <v>0</v>
          </cell>
          <cell r="AQ407">
            <v>0</v>
          </cell>
          <cell r="AR407">
            <v>336</v>
          </cell>
          <cell r="BF407">
            <v>297.60000000000002</v>
          </cell>
          <cell r="BG407">
            <v>309.50400000000002</v>
          </cell>
          <cell r="BH407">
            <v>305.63520000000005</v>
          </cell>
          <cell r="BI407">
            <v>362</v>
          </cell>
          <cell r="BJ407">
            <v>0</v>
          </cell>
        </row>
        <row r="408">
          <cell r="D408" t="str">
            <v>Ekonomická univerzita v Bratislave</v>
          </cell>
          <cell r="E408" t="str">
            <v>Národohospodárska fakulta</v>
          </cell>
          <cell r="AN408">
            <v>141</v>
          </cell>
          <cell r="AO408">
            <v>164</v>
          </cell>
          <cell r="AP408">
            <v>0</v>
          </cell>
          <cell r="AQ408">
            <v>0</v>
          </cell>
          <cell r="AR408">
            <v>141</v>
          </cell>
          <cell r="BF408">
            <v>126.3</v>
          </cell>
          <cell r="BG408">
            <v>128.82599999999999</v>
          </cell>
          <cell r="BH408">
            <v>128.82599999999999</v>
          </cell>
          <cell r="BI408">
            <v>164</v>
          </cell>
          <cell r="BJ408">
            <v>0</v>
          </cell>
        </row>
        <row r="409">
          <cell r="D409" t="str">
            <v>Vysoká škola múzických umení v Bratislave</v>
          </cell>
          <cell r="E409" t="str">
            <v>Hudobná a tanečná fakulta</v>
          </cell>
          <cell r="AN409">
            <v>15</v>
          </cell>
          <cell r="AO409">
            <v>15</v>
          </cell>
          <cell r="AP409">
            <v>0</v>
          </cell>
          <cell r="AQ409">
            <v>0</v>
          </cell>
          <cell r="AR409">
            <v>15</v>
          </cell>
          <cell r="BF409">
            <v>22.5</v>
          </cell>
          <cell r="BG409">
            <v>22.5</v>
          </cell>
          <cell r="BH409">
            <v>19.5</v>
          </cell>
          <cell r="BI409">
            <v>15</v>
          </cell>
          <cell r="BJ409">
            <v>0</v>
          </cell>
        </row>
        <row r="410">
          <cell r="D410" t="str">
            <v>Vysoká škola múzických umení v Bratislave</v>
          </cell>
          <cell r="E410" t="str">
            <v>Divadelná fakulta</v>
          </cell>
          <cell r="AN410">
            <v>23</v>
          </cell>
          <cell r="AO410">
            <v>26</v>
          </cell>
          <cell r="AP410">
            <v>0</v>
          </cell>
          <cell r="AQ410">
            <v>0</v>
          </cell>
          <cell r="AR410">
            <v>23</v>
          </cell>
          <cell r="BF410">
            <v>20.3</v>
          </cell>
          <cell r="BG410">
            <v>65.569000000000003</v>
          </cell>
          <cell r="BH410">
            <v>65.569000000000003</v>
          </cell>
          <cell r="BI410">
            <v>26</v>
          </cell>
          <cell r="BJ410">
            <v>0</v>
          </cell>
        </row>
        <row r="411">
          <cell r="D411" t="str">
            <v>Vysoká škola múzických umení v Bratislave</v>
          </cell>
          <cell r="E411" t="str">
            <v>Hudobná a tanečná fakulta</v>
          </cell>
          <cell r="AN411">
            <v>56</v>
          </cell>
          <cell r="AO411">
            <v>61</v>
          </cell>
          <cell r="AP411">
            <v>0</v>
          </cell>
          <cell r="AQ411">
            <v>0</v>
          </cell>
          <cell r="AR411">
            <v>56</v>
          </cell>
          <cell r="BF411">
            <v>48.8</v>
          </cell>
          <cell r="BG411">
            <v>157.624</v>
          </cell>
          <cell r="BH411">
            <v>157.624</v>
          </cell>
          <cell r="BI411">
            <v>61</v>
          </cell>
          <cell r="BJ411">
            <v>0</v>
          </cell>
        </row>
        <row r="412">
          <cell r="D412" t="str">
            <v>Vysoká škola ekonómie a manažmentu verejnej správy v Bratislave</v>
          </cell>
          <cell r="E412">
            <v>0</v>
          </cell>
          <cell r="AN412">
            <v>101</v>
          </cell>
          <cell r="AO412">
            <v>101</v>
          </cell>
          <cell r="AP412">
            <v>0</v>
          </cell>
          <cell r="AQ412">
            <v>0</v>
          </cell>
          <cell r="AR412">
            <v>101</v>
          </cell>
          <cell r="BF412">
            <v>151.5</v>
          </cell>
          <cell r="BG412">
            <v>157.56</v>
          </cell>
          <cell r="BH412">
            <v>138.06260869565216</v>
          </cell>
          <cell r="BI412">
            <v>101</v>
          </cell>
          <cell r="BJ412">
            <v>0</v>
          </cell>
        </row>
        <row r="413">
          <cell r="D413" t="str">
            <v>Vysoká škola ekonómie a manažmentu verejnej správy v Bratislave</v>
          </cell>
          <cell r="E413">
            <v>0</v>
          </cell>
          <cell r="AN413">
            <v>463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463</v>
          </cell>
          <cell r="BJ413">
            <v>0</v>
          </cell>
        </row>
        <row r="414">
          <cell r="D414" t="str">
            <v>Univerzita Konštantína Filozofa v Nitre</v>
          </cell>
          <cell r="E414" t="str">
            <v>Pedagogická fakulta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</v>
          </cell>
          <cell r="BJ414">
            <v>0</v>
          </cell>
        </row>
        <row r="415">
          <cell r="D415" t="str">
            <v>Univerzita Konštantína Filozofa v Nitre</v>
          </cell>
          <cell r="E415" t="str">
            <v>Pedagogická fakulta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2</v>
          </cell>
          <cell r="BJ415">
            <v>0</v>
          </cell>
        </row>
        <row r="416">
          <cell r="D416" t="str">
            <v>Univerzita Konštantína Filozofa v Nitre</v>
          </cell>
          <cell r="E416" t="str">
            <v>Pedagogická fakulta</v>
          </cell>
          <cell r="AN416">
            <v>220</v>
          </cell>
          <cell r="AO416">
            <v>242</v>
          </cell>
          <cell r="AP416">
            <v>0</v>
          </cell>
          <cell r="AQ416">
            <v>0</v>
          </cell>
          <cell r="AR416">
            <v>220</v>
          </cell>
          <cell r="BF416">
            <v>196.9</v>
          </cell>
          <cell r="BG416">
            <v>234.31100000000001</v>
          </cell>
          <cell r="BH416">
            <v>231.45354878048781</v>
          </cell>
          <cell r="BI416">
            <v>242</v>
          </cell>
          <cell r="BJ416">
            <v>0</v>
          </cell>
        </row>
        <row r="417">
          <cell r="D417" t="str">
            <v>Univerzita Konštantína Filozofa v Nitre</v>
          </cell>
          <cell r="E417" t="str">
            <v>Pedagogická fakulta</v>
          </cell>
          <cell r="AN417">
            <v>33</v>
          </cell>
          <cell r="AO417">
            <v>38.5</v>
          </cell>
          <cell r="AP417">
            <v>0</v>
          </cell>
          <cell r="AQ417">
            <v>0</v>
          </cell>
          <cell r="AR417">
            <v>33</v>
          </cell>
          <cell r="BF417">
            <v>27.75</v>
          </cell>
          <cell r="BG417">
            <v>33.022500000000001</v>
          </cell>
          <cell r="BH417">
            <v>33.022500000000001</v>
          </cell>
          <cell r="BI417">
            <v>38.5</v>
          </cell>
          <cell r="BJ417">
            <v>0</v>
          </cell>
        </row>
        <row r="418">
          <cell r="D418" t="str">
            <v>Univerzita Konštantína Filozofa v Nitre</v>
          </cell>
          <cell r="E418" t="str">
            <v>Filozofická fakulta</v>
          </cell>
          <cell r="AN418">
            <v>9.5</v>
          </cell>
          <cell r="AO418">
            <v>11.5</v>
          </cell>
          <cell r="AP418">
            <v>0</v>
          </cell>
          <cell r="AQ418">
            <v>0</v>
          </cell>
          <cell r="AR418">
            <v>9.5</v>
          </cell>
          <cell r="BF418">
            <v>8.4499999999999993</v>
          </cell>
          <cell r="BG418">
            <v>9.2104999999999997</v>
          </cell>
          <cell r="BH418">
            <v>9.2104999999999997</v>
          </cell>
          <cell r="BI418">
            <v>11.5</v>
          </cell>
          <cell r="BJ418">
            <v>0</v>
          </cell>
        </row>
        <row r="419">
          <cell r="D419" t="str">
            <v>Univerzita Konštantína Filozofa v Nitre</v>
          </cell>
          <cell r="E419" t="str">
            <v>Pedagogická fakulta</v>
          </cell>
          <cell r="AN419">
            <v>57</v>
          </cell>
          <cell r="AO419">
            <v>63</v>
          </cell>
          <cell r="AP419">
            <v>0</v>
          </cell>
          <cell r="AQ419">
            <v>0</v>
          </cell>
          <cell r="AR419">
            <v>57</v>
          </cell>
          <cell r="BF419">
            <v>48.3</v>
          </cell>
          <cell r="BG419">
            <v>52.646999999999998</v>
          </cell>
          <cell r="BH419">
            <v>52.646999999999998</v>
          </cell>
          <cell r="BI419">
            <v>63</v>
          </cell>
          <cell r="BJ419">
            <v>0</v>
          </cell>
        </row>
        <row r="420">
          <cell r="D420" t="str">
            <v>Univerzita Konštantína Filozofa v Nitre</v>
          </cell>
          <cell r="E420" t="str">
            <v>Pedagogická fakulta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1</v>
          </cell>
          <cell r="BJ420">
            <v>0</v>
          </cell>
        </row>
        <row r="421">
          <cell r="D421" t="str">
            <v>Univerzita Konštantína Filozofa v Nitre</v>
          </cell>
          <cell r="E421" t="str">
            <v>Pedagogická fakulta</v>
          </cell>
          <cell r="AN421">
            <v>8</v>
          </cell>
          <cell r="AO421">
            <v>11</v>
          </cell>
          <cell r="AP421">
            <v>0</v>
          </cell>
          <cell r="AQ421">
            <v>0</v>
          </cell>
          <cell r="AR421">
            <v>8</v>
          </cell>
          <cell r="BF421">
            <v>6.8</v>
          </cell>
          <cell r="BG421">
            <v>14.62</v>
          </cell>
          <cell r="BH421">
            <v>14.157341772151899</v>
          </cell>
          <cell r="BI421">
            <v>11</v>
          </cell>
          <cell r="BJ421">
            <v>0</v>
          </cell>
        </row>
        <row r="422">
          <cell r="D422" t="str">
            <v>Univerzita Konštantína Filozofa v Nitre</v>
          </cell>
          <cell r="E422" t="str">
            <v>Pedagogická fakulta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</v>
          </cell>
          <cell r="BJ422">
            <v>0</v>
          </cell>
        </row>
        <row r="423">
          <cell r="D423" t="str">
            <v>Univerzita Konštantína Filozofa v Nitre</v>
          </cell>
          <cell r="E423" t="str">
            <v>Pedagogická fakulta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1</v>
          </cell>
          <cell r="BJ423">
            <v>0</v>
          </cell>
        </row>
        <row r="424">
          <cell r="D424" t="str">
            <v>Vysoká škola zdravotníctva a sociálnej práce sv. Alžbety v Bratislave, n. o.</v>
          </cell>
          <cell r="E424" t="str">
            <v>Inštitút zdravotníctva a sociálnej práce sv. Ladislava</v>
          </cell>
          <cell r="AN424">
            <v>14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14</v>
          </cell>
          <cell r="BJ424">
            <v>0</v>
          </cell>
        </row>
        <row r="425">
          <cell r="D425" t="str">
            <v>Vysoká škola zdravotníctva a sociálnej práce sv. Alžbety v Bratislave, n. o.</v>
          </cell>
          <cell r="E425">
            <v>0</v>
          </cell>
          <cell r="AN425">
            <v>15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15</v>
          </cell>
          <cell r="BJ425">
            <v>0</v>
          </cell>
        </row>
        <row r="426">
          <cell r="D426" t="str">
            <v>Univerzita Komenského v Bratislave</v>
          </cell>
          <cell r="E426" t="str">
            <v>Fakulta matematiky, fyziky a informatiky</v>
          </cell>
          <cell r="AN426">
            <v>9</v>
          </cell>
          <cell r="AO426">
            <v>0</v>
          </cell>
          <cell r="AP426">
            <v>0</v>
          </cell>
          <cell r="AQ426">
            <v>9</v>
          </cell>
          <cell r="AR426">
            <v>9</v>
          </cell>
          <cell r="BF426">
            <v>27</v>
          </cell>
          <cell r="BG426">
            <v>57.51</v>
          </cell>
          <cell r="BH426">
            <v>57.51</v>
          </cell>
          <cell r="BI426">
            <v>11</v>
          </cell>
          <cell r="BJ426">
            <v>9</v>
          </cell>
        </row>
        <row r="427">
          <cell r="D427" t="str">
            <v>Univerzita Komenského v Bratislave</v>
          </cell>
          <cell r="E427" t="str">
            <v>Fakulta matematiky, fyziky a informatiky</v>
          </cell>
          <cell r="AN427">
            <v>2</v>
          </cell>
          <cell r="AO427">
            <v>0</v>
          </cell>
          <cell r="AP427">
            <v>0</v>
          </cell>
          <cell r="AQ427">
            <v>2</v>
          </cell>
          <cell r="AR427">
            <v>2</v>
          </cell>
          <cell r="BF427">
            <v>6</v>
          </cell>
          <cell r="BG427">
            <v>12.78</v>
          </cell>
          <cell r="BH427">
            <v>12.78</v>
          </cell>
          <cell r="BI427">
            <v>3</v>
          </cell>
          <cell r="BJ427">
            <v>2</v>
          </cell>
        </row>
        <row r="428">
          <cell r="D428" t="str">
            <v>Univerzita Komenského v Bratislave</v>
          </cell>
          <cell r="E428" t="str">
            <v>Fakulta matematiky, fyziky a informatiky</v>
          </cell>
          <cell r="AN428">
            <v>100</v>
          </cell>
          <cell r="AO428">
            <v>110</v>
          </cell>
          <cell r="AP428">
            <v>110</v>
          </cell>
          <cell r="AQ428">
            <v>100</v>
          </cell>
          <cell r="AR428">
            <v>100</v>
          </cell>
          <cell r="BF428">
            <v>81.400000000000006</v>
          </cell>
          <cell r="BG428">
            <v>120.47200000000001</v>
          </cell>
          <cell r="BH428">
            <v>120.47200000000001</v>
          </cell>
          <cell r="BI428">
            <v>110</v>
          </cell>
          <cell r="BJ428">
            <v>0</v>
          </cell>
        </row>
        <row r="429">
          <cell r="D429" t="str">
            <v>Univerzita Komenského v Bratislave</v>
          </cell>
          <cell r="E429" t="str">
            <v>Fakulta matematiky, fyziky a informatiky</v>
          </cell>
          <cell r="AN429">
            <v>29</v>
          </cell>
          <cell r="AO429">
            <v>33</v>
          </cell>
          <cell r="AP429">
            <v>33</v>
          </cell>
          <cell r="AQ429">
            <v>29</v>
          </cell>
          <cell r="AR429">
            <v>29</v>
          </cell>
          <cell r="BF429">
            <v>25.4</v>
          </cell>
          <cell r="BG429">
            <v>58.54699999999999</v>
          </cell>
          <cell r="BH429">
            <v>58.54699999999999</v>
          </cell>
          <cell r="BI429">
            <v>33</v>
          </cell>
          <cell r="BJ429">
            <v>0</v>
          </cell>
        </row>
        <row r="430">
          <cell r="D430" t="str">
            <v>Univerzita Komenského v Bratislave</v>
          </cell>
          <cell r="E430" t="str">
            <v>Fakulta matematiky, fyziky a informatiky</v>
          </cell>
          <cell r="AN430">
            <v>66</v>
          </cell>
          <cell r="AO430">
            <v>92</v>
          </cell>
          <cell r="AP430">
            <v>92</v>
          </cell>
          <cell r="AQ430">
            <v>66</v>
          </cell>
          <cell r="AR430">
            <v>66</v>
          </cell>
          <cell r="BF430">
            <v>53.7</v>
          </cell>
          <cell r="BG430">
            <v>79.475999999999999</v>
          </cell>
          <cell r="BH430">
            <v>79.475999999999999</v>
          </cell>
          <cell r="BI430">
            <v>92</v>
          </cell>
          <cell r="BJ430">
            <v>0</v>
          </cell>
        </row>
        <row r="431">
          <cell r="D431" t="str">
            <v>Univerzita Komenského v Bratislave</v>
          </cell>
          <cell r="E431" t="str">
            <v>Fakulta matematiky, fyziky a informatiky</v>
          </cell>
          <cell r="AN431">
            <v>75</v>
          </cell>
          <cell r="AO431">
            <v>89</v>
          </cell>
          <cell r="AP431">
            <v>89</v>
          </cell>
          <cell r="AQ431">
            <v>75</v>
          </cell>
          <cell r="AR431">
            <v>75</v>
          </cell>
          <cell r="BF431">
            <v>65.7</v>
          </cell>
          <cell r="BG431">
            <v>86.724000000000004</v>
          </cell>
          <cell r="BH431">
            <v>86.724000000000004</v>
          </cell>
          <cell r="BI431">
            <v>89</v>
          </cell>
          <cell r="BJ431">
            <v>0</v>
          </cell>
        </row>
        <row r="432">
          <cell r="D432" t="str">
            <v>Univerzita Komenského v Bratislave</v>
          </cell>
          <cell r="E432" t="str">
            <v>Fakulta matematiky, fyziky a informatiky</v>
          </cell>
          <cell r="AN432">
            <v>14</v>
          </cell>
          <cell r="AO432">
            <v>16</v>
          </cell>
          <cell r="AP432">
            <v>16</v>
          </cell>
          <cell r="AQ432">
            <v>14</v>
          </cell>
          <cell r="AR432">
            <v>14</v>
          </cell>
          <cell r="BF432">
            <v>10.7</v>
          </cell>
          <cell r="BG432">
            <v>14.124000000000001</v>
          </cell>
          <cell r="BH432">
            <v>14.124000000000001</v>
          </cell>
          <cell r="BI432">
            <v>16</v>
          </cell>
          <cell r="BJ432">
            <v>0</v>
          </cell>
        </row>
        <row r="433">
          <cell r="D433" t="str">
            <v>Univerzita Komenského v Bratislave</v>
          </cell>
          <cell r="E433" t="str">
            <v>Fakulta matematiky, fyziky a informatiky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2</v>
          </cell>
          <cell r="BJ433">
            <v>0</v>
          </cell>
        </row>
        <row r="434">
          <cell r="D434" t="str">
            <v>Univerzita Komenského v Bratislave</v>
          </cell>
          <cell r="E434" t="str">
            <v>Fakulta matematiky, fyziky a informatiky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1</v>
          </cell>
          <cell r="BJ434">
            <v>0</v>
          </cell>
        </row>
        <row r="435">
          <cell r="D435" t="str">
            <v>Univerzita Komenského v Bratislave</v>
          </cell>
          <cell r="E435" t="str">
            <v>Fakulta telesnej výchovy a športu</v>
          </cell>
          <cell r="AN435">
            <v>169</v>
          </cell>
          <cell r="AO435">
            <v>183</v>
          </cell>
          <cell r="AP435">
            <v>0</v>
          </cell>
          <cell r="AQ435">
            <v>0</v>
          </cell>
          <cell r="AR435">
            <v>169</v>
          </cell>
          <cell r="BF435">
            <v>148</v>
          </cell>
          <cell r="BG435">
            <v>176.12</v>
          </cell>
          <cell r="BH435">
            <v>171.60410256410256</v>
          </cell>
          <cell r="BI435">
            <v>183</v>
          </cell>
          <cell r="BJ435">
            <v>0</v>
          </cell>
        </row>
        <row r="436">
          <cell r="D436" t="str">
            <v>Univerzita Komenského v Bratislave</v>
          </cell>
          <cell r="E436" t="str">
            <v>Lekárska fakulta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11</v>
          </cell>
          <cell r="BJ436">
            <v>0</v>
          </cell>
        </row>
        <row r="437">
          <cell r="D437" t="str">
            <v>Univerzita Komenského v Bratislave</v>
          </cell>
          <cell r="E437" t="str">
            <v>Lekárska fakulta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12</v>
          </cell>
          <cell r="BJ437">
            <v>0</v>
          </cell>
        </row>
        <row r="438">
          <cell r="D438" t="str">
            <v>Slovenská poľnohospodárska univerzita v Nitre</v>
          </cell>
          <cell r="E438" t="str">
            <v>Fakulta agrobiológie a potravinových zdrojov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</row>
        <row r="439">
          <cell r="D439" t="str">
            <v>Slovenská poľnohospodárska univerzita v Nitre</v>
          </cell>
          <cell r="E439" t="str">
            <v>Fakulta biotechnológie a potravinárstva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4</v>
          </cell>
          <cell r="BJ439">
            <v>0</v>
          </cell>
        </row>
        <row r="440">
          <cell r="D440" t="str">
            <v>Slovenská poľnohospodárska univerzita v Nitre</v>
          </cell>
          <cell r="E440" t="str">
            <v>Fakulta biotechnológie a potravinárstva</v>
          </cell>
          <cell r="AN440">
            <v>58</v>
          </cell>
          <cell r="AO440">
            <v>70</v>
          </cell>
          <cell r="AP440">
            <v>0</v>
          </cell>
          <cell r="AQ440">
            <v>0</v>
          </cell>
          <cell r="AR440">
            <v>58</v>
          </cell>
          <cell r="BF440">
            <v>87</v>
          </cell>
          <cell r="BG440">
            <v>128.76</v>
          </cell>
          <cell r="BH440">
            <v>103.008</v>
          </cell>
          <cell r="BI440">
            <v>70</v>
          </cell>
          <cell r="BJ440">
            <v>0</v>
          </cell>
        </row>
        <row r="441">
          <cell r="D441" t="str">
            <v>Slovenská poľnohospodárska univerzita v Nitre</v>
          </cell>
          <cell r="E441" t="str">
            <v>Technická fakulta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3</v>
          </cell>
          <cell r="BJ441">
            <v>0</v>
          </cell>
        </row>
        <row r="442">
          <cell r="D442" t="str">
            <v>Slovenská poľnohospodárska univerzita v Nitre</v>
          </cell>
          <cell r="E442" t="str">
            <v>Fakulta agrobiológie a potravinových zdrojov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1</v>
          </cell>
          <cell r="BJ442">
            <v>0</v>
          </cell>
        </row>
        <row r="443">
          <cell r="D443" t="str">
            <v>Slovenská poľnohospodárska univerzita v Nitre</v>
          </cell>
          <cell r="E443" t="str">
            <v>Fakulta ekonomiky a manažmentu</v>
          </cell>
          <cell r="AN443">
            <v>195</v>
          </cell>
          <cell r="AO443">
            <v>208</v>
          </cell>
          <cell r="AP443">
            <v>0</v>
          </cell>
          <cell r="AQ443">
            <v>0</v>
          </cell>
          <cell r="AR443">
            <v>195</v>
          </cell>
          <cell r="BF443">
            <v>174.3</v>
          </cell>
          <cell r="BG443">
            <v>181.27200000000002</v>
          </cell>
          <cell r="BH443">
            <v>179.2352359550562</v>
          </cell>
          <cell r="BI443">
            <v>208</v>
          </cell>
          <cell r="BJ443">
            <v>0</v>
          </cell>
        </row>
        <row r="444">
          <cell r="D444" t="str">
            <v>Slovenská poľnohospodárska univerzita v Nitre</v>
          </cell>
          <cell r="E444" t="str">
            <v>Fakulta ekonomiky a manažmentu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1</v>
          </cell>
          <cell r="BJ444">
            <v>0</v>
          </cell>
        </row>
        <row r="445">
          <cell r="D445" t="str">
            <v>Slovenská poľnohospodárska univerzita v Nitre</v>
          </cell>
          <cell r="E445" t="str">
            <v>Fakulta biotechnológie a potravinárstva</v>
          </cell>
          <cell r="AN445">
            <v>0</v>
          </cell>
          <cell r="AO445">
            <v>4</v>
          </cell>
          <cell r="AP445">
            <v>4</v>
          </cell>
          <cell r="AQ445">
            <v>0</v>
          </cell>
          <cell r="AR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4</v>
          </cell>
          <cell r="BJ445">
            <v>0</v>
          </cell>
        </row>
        <row r="446">
          <cell r="D446" t="str">
            <v>Slovenská poľnohospodárska univerzita v Nitre</v>
          </cell>
          <cell r="E446" t="str">
            <v>Fakulta agrobiológie a potravinových zdrojov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</row>
        <row r="447">
          <cell r="D447" t="str">
            <v>Slovenská poľnohospodárska univerzita v Nitre</v>
          </cell>
          <cell r="E447" t="str">
            <v>Fakulta ekonomiky a manažmentu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1</v>
          </cell>
          <cell r="BJ447">
            <v>0</v>
          </cell>
        </row>
        <row r="448">
          <cell r="D448" t="str">
            <v>Slovenská technická univerzita v Bratislave</v>
          </cell>
          <cell r="E448" t="str">
            <v>Fakulta chemickej a potravinárskej technológie</v>
          </cell>
          <cell r="AN448">
            <v>14</v>
          </cell>
          <cell r="AO448">
            <v>0</v>
          </cell>
          <cell r="AP448">
            <v>0</v>
          </cell>
          <cell r="AQ448">
            <v>14</v>
          </cell>
          <cell r="AR448">
            <v>14</v>
          </cell>
          <cell r="BF448">
            <v>42</v>
          </cell>
          <cell r="BG448">
            <v>89.46</v>
          </cell>
          <cell r="BH448">
            <v>89.46</v>
          </cell>
          <cell r="BI448">
            <v>16</v>
          </cell>
          <cell r="BJ448">
            <v>14</v>
          </cell>
        </row>
        <row r="449">
          <cell r="D449" t="str">
            <v>Slovenská technická univerzita v Bratislave</v>
          </cell>
          <cell r="E449" t="str">
            <v>Fakulta architektúry a dizajnu</v>
          </cell>
          <cell r="AN449">
            <v>10</v>
          </cell>
          <cell r="AO449">
            <v>0</v>
          </cell>
          <cell r="AP449">
            <v>0</v>
          </cell>
          <cell r="AQ449">
            <v>0</v>
          </cell>
          <cell r="AR449">
            <v>10</v>
          </cell>
          <cell r="BF449">
            <v>40</v>
          </cell>
          <cell r="BG449">
            <v>44</v>
          </cell>
          <cell r="BH449">
            <v>44</v>
          </cell>
          <cell r="BI449">
            <v>16</v>
          </cell>
          <cell r="BJ449">
            <v>10</v>
          </cell>
        </row>
        <row r="450">
          <cell r="D450" t="str">
            <v>Slovenská technická univerzita v Bratislave</v>
          </cell>
          <cell r="E450" t="str">
            <v>Stavebná fakulta</v>
          </cell>
          <cell r="AN450">
            <v>17</v>
          </cell>
          <cell r="AO450">
            <v>0</v>
          </cell>
          <cell r="AP450">
            <v>0</v>
          </cell>
          <cell r="AQ450">
            <v>17</v>
          </cell>
          <cell r="AR450">
            <v>17</v>
          </cell>
          <cell r="BF450">
            <v>51</v>
          </cell>
          <cell r="BG450">
            <v>108.63</v>
          </cell>
          <cell r="BH450">
            <v>108.63</v>
          </cell>
          <cell r="BI450">
            <v>20</v>
          </cell>
          <cell r="BJ450">
            <v>17</v>
          </cell>
        </row>
        <row r="451">
          <cell r="D451" t="str">
            <v>Slovenská technická univerzita v Bratislave</v>
          </cell>
          <cell r="E451" t="str">
            <v>Stavebná fakulta</v>
          </cell>
          <cell r="AN451">
            <v>11</v>
          </cell>
          <cell r="AO451">
            <v>0</v>
          </cell>
          <cell r="AP451">
            <v>0</v>
          </cell>
          <cell r="AQ451">
            <v>11</v>
          </cell>
          <cell r="AR451">
            <v>11</v>
          </cell>
          <cell r="BF451">
            <v>33</v>
          </cell>
          <cell r="BG451">
            <v>70.289999999999992</v>
          </cell>
          <cell r="BH451">
            <v>70.289999999999992</v>
          </cell>
          <cell r="BI451">
            <v>12</v>
          </cell>
          <cell r="BJ451">
            <v>11</v>
          </cell>
        </row>
        <row r="452">
          <cell r="D452" t="str">
            <v>Slovenská technická univerzita v Bratislave</v>
          </cell>
          <cell r="E452" t="str">
            <v>Fakulta chemickej a potravinárskej technológie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4</v>
          </cell>
          <cell r="BJ452">
            <v>0</v>
          </cell>
        </row>
        <row r="453">
          <cell r="D453" t="str">
            <v>Slovenská technická univerzita v Bratislave</v>
          </cell>
          <cell r="E453" t="str">
            <v>Fakulta elektrotechniky a informatiky</v>
          </cell>
          <cell r="AN453">
            <v>197</v>
          </cell>
          <cell r="AO453">
            <v>230</v>
          </cell>
          <cell r="AP453">
            <v>230</v>
          </cell>
          <cell r="AQ453">
            <v>197</v>
          </cell>
          <cell r="AR453">
            <v>197</v>
          </cell>
          <cell r="BF453">
            <v>165.2</v>
          </cell>
          <cell r="BG453">
            <v>244.49599999999998</v>
          </cell>
          <cell r="BH453">
            <v>244.49599999999998</v>
          </cell>
          <cell r="BI453">
            <v>230</v>
          </cell>
          <cell r="BJ453">
            <v>0</v>
          </cell>
        </row>
        <row r="454">
          <cell r="D454" t="str">
            <v>Slovenská technická univerzita v Bratislave</v>
          </cell>
          <cell r="E454" t="str">
            <v>Fakulta informatiky a informačných technológií</v>
          </cell>
          <cell r="AN454">
            <v>0</v>
          </cell>
          <cell r="AO454">
            <v>3</v>
          </cell>
          <cell r="AP454">
            <v>3</v>
          </cell>
          <cell r="AQ454">
            <v>0</v>
          </cell>
          <cell r="AR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3</v>
          </cell>
          <cell r="BJ454">
            <v>0</v>
          </cell>
        </row>
        <row r="455">
          <cell r="D455" t="str">
            <v>Slovenská technická univerzita v Bratislave</v>
          </cell>
          <cell r="E455" t="str">
            <v>Fakulta informatiky a informačných technológií</v>
          </cell>
          <cell r="AN455">
            <v>440</v>
          </cell>
          <cell r="AO455">
            <v>484</v>
          </cell>
          <cell r="AP455">
            <v>484</v>
          </cell>
          <cell r="AQ455">
            <v>440</v>
          </cell>
          <cell r="AR455">
            <v>440</v>
          </cell>
          <cell r="BF455">
            <v>376.1</v>
          </cell>
          <cell r="BG455">
            <v>556.62800000000004</v>
          </cell>
          <cell r="BH455">
            <v>556.62800000000004</v>
          </cell>
          <cell r="BI455">
            <v>484</v>
          </cell>
          <cell r="BJ455">
            <v>0</v>
          </cell>
        </row>
        <row r="456">
          <cell r="D456" t="str">
            <v>Slovenská technická univerzita v Bratislave</v>
          </cell>
          <cell r="E456" t="str">
            <v>Fakulta informatiky a informačných technológií</v>
          </cell>
          <cell r="AN456">
            <v>291</v>
          </cell>
          <cell r="AO456">
            <v>303</v>
          </cell>
          <cell r="AP456">
            <v>303</v>
          </cell>
          <cell r="AQ456">
            <v>291</v>
          </cell>
          <cell r="AR456">
            <v>291</v>
          </cell>
          <cell r="BF456">
            <v>236.1</v>
          </cell>
          <cell r="BG456">
            <v>349.428</v>
          </cell>
          <cell r="BH456">
            <v>349.428</v>
          </cell>
          <cell r="BI456">
            <v>303</v>
          </cell>
          <cell r="BJ456">
            <v>0</v>
          </cell>
        </row>
        <row r="457">
          <cell r="D457" t="str">
            <v>Slovenská technická univerzita v Bratislave</v>
          </cell>
          <cell r="E457" t="str">
            <v>Fakulta elektrotechniky a informatiky</v>
          </cell>
          <cell r="AN457">
            <v>136</v>
          </cell>
          <cell r="AO457">
            <v>152</v>
          </cell>
          <cell r="AP457">
            <v>152</v>
          </cell>
          <cell r="AQ457">
            <v>136</v>
          </cell>
          <cell r="AR457">
            <v>136</v>
          </cell>
          <cell r="BF457">
            <v>114.1</v>
          </cell>
          <cell r="BG457">
            <v>168.86799999999999</v>
          </cell>
          <cell r="BH457">
            <v>168.86799999999999</v>
          </cell>
          <cell r="BI457">
            <v>152</v>
          </cell>
          <cell r="BJ457">
            <v>0</v>
          </cell>
        </row>
        <row r="458">
          <cell r="D458" t="str">
            <v>Slovenská technická univerzita v Bratislave</v>
          </cell>
          <cell r="E458" t="str">
            <v>Stavebná fakulta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2</v>
          </cell>
          <cell r="BJ458">
            <v>0</v>
          </cell>
        </row>
        <row r="459">
          <cell r="D459" t="str">
            <v>Slovenská technická univerzita v Bratislave</v>
          </cell>
          <cell r="E459" t="str">
            <v>Stavebná fakulta</v>
          </cell>
          <cell r="AN459">
            <v>676</v>
          </cell>
          <cell r="AO459">
            <v>768</v>
          </cell>
          <cell r="AP459">
            <v>768</v>
          </cell>
          <cell r="AQ459">
            <v>676</v>
          </cell>
          <cell r="AR459">
            <v>676</v>
          </cell>
          <cell r="BF459">
            <v>586.9</v>
          </cell>
          <cell r="BG459">
            <v>874.48099999999999</v>
          </cell>
          <cell r="BH459">
            <v>874.48099999999999</v>
          </cell>
          <cell r="BI459">
            <v>768</v>
          </cell>
          <cell r="BJ459">
            <v>0</v>
          </cell>
        </row>
        <row r="460">
          <cell r="D460" t="str">
            <v>Slovenská technická univerzita v Bratislave</v>
          </cell>
          <cell r="E460" t="str">
            <v>Fakulta chemickej a potravinárskej technológie</v>
          </cell>
          <cell r="AN460">
            <v>0</v>
          </cell>
          <cell r="AO460">
            <v>1</v>
          </cell>
          <cell r="AP460">
            <v>1</v>
          </cell>
          <cell r="AQ460">
            <v>0</v>
          </cell>
          <cell r="AR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1</v>
          </cell>
          <cell r="BJ460">
            <v>0</v>
          </cell>
        </row>
        <row r="461">
          <cell r="D461" t="str">
            <v>Slovenská technická univerzita v Bratislave</v>
          </cell>
          <cell r="E461" t="str">
            <v>Stavebná fakulta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1</v>
          </cell>
          <cell r="BJ461">
            <v>0</v>
          </cell>
        </row>
        <row r="462">
          <cell r="D462" t="str">
            <v>Slovenská technická univerzita v Bratislave</v>
          </cell>
          <cell r="E462" t="str">
            <v>Fakulta elektrotechniky a informatiky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1</v>
          </cell>
          <cell r="BJ462">
            <v>0</v>
          </cell>
        </row>
        <row r="463">
          <cell r="D463" t="str">
            <v>Slovenská technická univerzita v Bratislave</v>
          </cell>
          <cell r="E463" t="str">
            <v>Stavebná fakulta</v>
          </cell>
          <cell r="AN463">
            <v>2</v>
          </cell>
          <cell r="AO463">
            <v>4</v>
          </cell>
          <cell r="AP463">
            <v>4</v>
          </cell>
          <cell r="AQ463">
            <v>2</v>
          </cell>
          <cell r="AR463">
            <v>2</v>
          </cell>
          <cell r="BF463">
            <v>2</v>
          </cell>
          <cell r="BG463">
            <v>2.96</v>
          </cell>
          <cell r="BH463">
            <v>2.96</v>
          </cell>
          <cell r="BI463">
            <v>4</v>
          </cell>
          <cell r="BJ463">
            <v>0</v>
          </cell>
        </row>
        <row r="464">
          <cell r="D464" t="str">
            <v>Slovenská technická univerzita v Bratislave</v>
          </cell>
          <cell r="E464" t="str">
            <v>Fakulta chemickej a potravinárskej technológie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3</v>
          </cell>
          <cell r="BJ464">
            <v>0</v>
          </cell>
        </row>
        <row r="465">
          <cell r="D465" t="str">
            <v>Slovenská technická univerzita v Bratislave</v>
          </cell>
          <cell r="E465" t="str">
            <v>Stavebná fakulta</v>
          </cell>
          <cell r="AN465">
            <v>109</v>
          </cell>
          <cell r="AO465">
            <v>121</v>
          </cell>
          <cell r="AP465">
            <v>0</v>
          </cell>
          <cell r="AQ465">
            <v>109</v>
          </cell>
          <cell r="AR465">
            <v>109</v>
          </cell>
          <cell r="BF465">
            <v>91.6</v>
          </cell>
          <cell r="BG465">
            <v>137.39999999999998</v>
          </cell>
          <cell r="BH465">
            <v>137.39999999999998</v>
          </cell>
          <cell r="BI465">
            <v>121</v>
          </cell>
          <cell r="BJ465">
            <v>0</v>
          </cell>
        </row>
        <row r="466">
          <cell r="D466" t="str">
            <v>Žilinská univerzita v Žiline</v>
          </cell>
          <cell r="E466" t="str">
            <v>Fakulta prevádzky a ekonomiky dopravy a spojov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5</v>
          </cell>
          <cell r="BJ466">
            <v>0</v>
          </cell>
        </row>
        <row r="467">
          <cell r="D467" t="str">
            <v>Žilinská univerzita v Žiline</v>
          </cell>
          <cell r="E467" t="str">
            <v>Fakulta riadenia a informatiky</v>
          </cell>
          <cell r="AN467">
            <v>20</v>
          </cell>
          <cell r="AO467">
            <v>0</v>
          </cell>
          <cell r="AP467">
            <v>0</v>
          </cell>
          <cell r="AQ467">
            <v>0</v>
          </cell>
          <cell r="AR467">
            <v>20</v>
          </cell>
          <cell r="BF467">
            <v>80</v>
          </cell>
          <cell r="BG467">
            <v>170.39999999999998</v>
          </cell>
          <cell r="BH467">
            <v>127.79999999999998</v>
          </cell>
          <cell r="BI467">
            <v>21</v>
          </cell>
          <cell r="BJ467">
            <v>20</v>
          </cell>
        </row>
        <row r="468">
          <cell r="D468" t="str">
            <v>Žilinská univerzita v Žiline</v>
          </cell>
          <cell r="E468" t="str">
            <v>Fakulta bezpečnostného inžinierstva</v>
          </cell>
          <cell r="AN468">
            <v>6</v>
          </cell>
          <cell r="AO468">
            <v>0</v>
          </cell>
          <cell r="AP468">
            <v>0</v>
          </cell>
          <cell r="AQ468">
            <v>0</v>
          </cell>
          <cell r="AR468">
            <v>6</v>
          </cell>
          <cell r="BF468">
            <v>24</v>
          </cell>
          <cell r="BG468">
            <v>51.12</v>
          </cell>
          <cell r="BH468">
            <v>51.12</v>
          </cell>
          <cell r="BI468">
            <v>6</v>
          </cell>
          <cell r="BJ468">
            <v>6</v>
          </cell>
        </row>
        <row r="469">
          <cell r="D469" t="str">
            <v>Žilinská univerzita v Žiline</v>
          </cell>
          <cell r="E469" t="str">
            <v>Fakulta bezpečnostného inžinierstva</v>
          </cell>
          <cell r="AN469">
            <v>69</v>
          </cell>
          <cell r="AO469">
            <v>72</v>
          </cell>
          <cell r="AP469">
            <v>0</v>
          </cell>
          <cell r="AQ469">
            <v>0</v>
          </cell>
          <cell r="AR469">
            <v>69</v>
          </cell>
          <cell r="BF469">
            <v>103.5</v>
          </cell>
          <cell r="BG469">
            <v>153.18</v>
          </cell>
          <cell r="BH469">
            <v>125.32909090909091</v>
          </cell>
          <cell r="BI469">
            <v>72</v>
          </cell>
          <cell r="BJ469">
            <v>0</v>
          </cell>
        </row>
        <row r="470">
          <cell r="D470" t="str">
            <v>Žilinská univerzita v Žiline</v>
          </cell>
          <cell r="E470" t="str">
            <v>Fakulta elektrotechniky a informačných technológií</v>
          </cell>
          <cell r="AN470">
            <v>82</v>
          </cell>
          <cell r="AO470">
            <v>98</v>
          </cell>
          <cell r="AP470">
            <v>0</v>
          </cell>
          <cell r="AQ470">
            <v>0</v>
          </cell>
          <cell r="AR470">
            <v>82</v>
          </cell>
          <cell r="BF470">
            <v>64</v>
          </cell>
          <cell r="BG470">
            <v>94.72</v>
          </cell>
          <cell r="BH470">
            <v>87.433846153846162</v>
          </cell>
          <cell r="BI470">
            <v>98</v>
          </cell>
          <cell r="BJ470">
            <v>0</v>
          </cell>
        </row>
        <row r="471">
          <cell r="D471" t="str">
            <v>Žilinská univerzita v Žiline</v>
          </cell>
          <cell r="E471" t="str">
            <v>Fakulta bezpečnostného inžinierstva</v>
          </cell>
          <cell r="AN471">
            <v>173</v>
          </cell>
          <cell r="AO471">
            <v>185</v>
          </cell>
          <cell r="AP471">
            <v>0</v>
          </cell>
          <cell r="AQ471">
            <v>0</v>
          </cell>
          <cell r="AR471">
            <v>173</v>
          </cell>
          <cell r="BF471">
            <v>150.80000000000001</v>
          </cell>
          <cell r="BG471">
            <v>223.18400000000003</v>
          </cell>
          <cell r="BH471">
            <v>223.18400000000003</v>
          </cell>
          <cell r="BI471">
            <v>185</v>
          </cell>
          <cell r="BJ471">
            <v>0</v>
          </cell>
        </row>
        <row r="472">
          <cell r="D472" t="str">
            <v>Žilinská univerzita v Žiline</v>
          </cell>
          <cell r="E472" t="str">
            <v>Strojnícka fakulta</v>
          </cell>
          <cell r="AN472">
            <v>2</v>
          </cell>
          <cell r="AO472">
            <v>2</v>
          </cell>
          <cell r="AP472">
            <v>2</v>
          </cell>
          <cell r="AQ472">
            <v>2</v>
          </cell>
          <cell r="AR472">
            <v>2</v>
          </cell>
          <cell r="BF472">
            <v>2</v>
          </cell>
          <cell r="BG472">
            <v>2.96</v>
          </cell>
          <cell r="BH472">
            <v>2.8335943060498221</v>
          </cell>
          <cell r="BI472">
            <v>2</v>
          </cell>
          <cell r="BJ472">
            <v>0</v>
          </cell>
        </row>
        <row r="473">
          <cell r="D473" t="str">
            <v>Univerzita Konštantína Filozofa v Nitre</v>
          </cell>
          <cell r="E473" t="str">
            <v>Fakulta prírodných vied</v>
          </cell>
          <cell r="AN473">
            <v>199</v>
          </cell>
          <cell r="AO473">
            <v>225</v>
          </cell>
          <cell r="AP473">
            <v>225</v>
          </cell>
          <cell r="AQ473">
            <v>199</v>
          </cell>
          <cell r="AR473">
            <v>199</v>
          </cell>
          <cell r="BF473">
            <v>166.89999999999998</v>
          </cell>
          <cell r="BG473">
            <v>247.01199999999997</v>
          </cell>
          <cell r="BH473">
            <v>247.01199999999997</v>
          </cell>
          <cell r="BI473">
            <v>225</v>
          </cell>
          <cell r="BJ473">
            <v>0</v>
          </cell>
        </row>
        <row r="474">
          <cell r="D474" t="str">
            <v>Katolícka univerzita v Ružomberku</v>
          </cell>
          <cell r="E474" t="str">
            <v>Fakulta zdravotníctva</v>
          </cell>
          <cell r="AN474">
            <v>197</v>
          </cell>
          <cell r="AO474">
            <v>227</v>
          </cell>
          <cell r="AP474">
            <v>227</v>
          </cell>
          <cell r="AQ474">
            <v>0</v>
          </cell>
          <cell r="AR474">
            <v>197</v>
          </cell>
          <cell r="BF474">
            <v>167.89999999999998</v>
          </cell>
          <cell r="BG474">
            <v>360.98499999999996</v>
          </cell>
          <cell r="BH474">
            <v>343.23163934426225</v>
          </cell>
          <cell r="BI474">
            <v>227</v>
          </cell>
          <cell r="BJ474">
            <v>0</v>
          </cell>
        </row>
        <row r="475">
          <cell r="D475" t="str">
            <v>Katolícka univerzita v Ružomberku</v>
          </cell>
          <cell r="E475" t="str">
            <v>Fakulta zdravotníctva</v>
          </cell>
          <cell r="AN475">
            <v>97</v>
          </cell>
          <cell r="AO475">
            <v>109</v>
          </cell>
          <cell r="AP475">
            <v>0</v>
          </cell>
          <cell r="AQ475">
            <v>0</v>
          </cell>
          <cell r="AR475">
            <v>97</v>
          </cell>
          <cell r="BF475">
            <v>86.5</v>
          </cell>
          <cell r="BG475">
            <v>185.97499999999999</v>
          </cell>
          <cell r="BH475">
            <v>178.82211538461539</v>
          </cell>
          <cell r="BI475">
            <v>109</v>
          </cell>
          <cell r="BJ475">
            <v>0</v>
          </cell>
        </row>
        <row r="476">
          <cell r="D476" t="str">
            <v>Univerzita Mateja Bela v Banskej Bystrici</v>
          </cell>
          <cell r="E476" t="str">
            <v>Pedagogická fakulta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1</v>
          </cell>
          <cell r="BJ476">
            <v>0</v>
          </cell>
        </row>
        <row r="477">
          <cell r="D477" t="str">
            <v>Univerzita Konštantína Filozofa v Nitre</v>
          </cell>
          <cell r="E477" t="str">
            <v>Fakulta sociálnych vied a zdravotníctva</v>
          </cell>
          <cell r="AN477">
            <v>129</v>
          </cell>
          <cell r="AO477">
            <v>145</v>
          </cell>
          <cell r="AP477">
            <v>0</v>
          </cell>
          <cell r="AQ477">
            <v>0</v>
          </cell>
          <cell r="AR477">
            <v>129</v>
          </cell>
          <cell r="BF477">
            <v>112.8</v>
          </cell>
          <cell r="BG477">
            <v>112.8</v>
          </cell>
          <cell r="BH477">
            <v>112.8</v>
          </cell>
          <cell r="BI477">
            <v>145</v>
          </cell>
          <cell r="BJ477">
            <v>0</v>
          </cell>
        </row>
        <row r="478">
          <cell r="D478" t="str">
            <v>Univerzita Komenského v Bratislave</v>
          </cell>
          <cell r="E478" t="str">
            <v>Jesseniova lekárska fakulta v Martine</v>
          </cell>
          <cell r="AN478">
            <v>16</v>
          </cell>
          <cell r="AO478">
            <v>0</v>
          </cell>
          <cell r="AP478">
            <v>0</v>
          </cell>
          <cell r="AQ478">
            <v>0</v>
          </cell>
          <cell r="AR478">
            <v>16</v>
          </cell>
          <cell r="BF478">
            <v>48</v>
          </cell>
          <cell r="BG478">
            <v>163.68</v>
          </cell>
          <cell r="BH478">
            <v>163.68</v>
          </cell>
          <cell r="BI478">
            <v>17</v>
          </cell>
          <cell r="BJ478">
            <v>16</v>
          </cell>
        </row>
        <row r="479">
          <cell r="D479" t="str">
            <v>Univerzita Komenského v Bratislave</v>
          </cell>
          <cell r="E479" t="str">
            <v>Jesseniova lekárska fakulta v Martine</v>
          </cell>
          <cell r="AN479">
            <v>9</v>
          </cell>
          <cell r="AO479">
            <v>0</v>
          </cell>
          <cell r="AP479">
            <v>0</v>
          </cell>
          <cell r="AQ479">
            <v>0</v>
          </cell>
          <cell r="AR479">
            <v>9</v>
          </cell>
          <cell r="BF479">
            <v>27</v>
          </cell>
          <cell r="BG479">
            <v>92.070000000000007</v>
          </cell>
          <cell r="BH479">
            <v>92.070000000000007</v>
          </cell>
          <cell r="BI479">
            <v>12</v>
          </cell>
          <cell r="BJ479">
            <v>9</v>
          </cell>
        </row>
        <row r="480">
          <cell r="D480" t="str">
            <v>Univerzita Komenského v Bratislave</v>
          </cell>
          <cell r="E480" t="str">
            <v>Jesseniova lekárska fakulta v Martine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5</v>
          </cell>
          <cell r="BJ480">
            <v>0</v>
          </cell>
        </row>
        <row r="481">
          <cell r="D481" t="str">
            <v>Univerzita Komenského v Bratislave</v>
          </cell>
          <cell r="E481" t="str">
            <v>Jesseniova lekárska fakulta v Martine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5</v>
          </cell>
          <cell r="BJ481">
            <v>0</v>
          </cell>
        </row>
        <row r="482">
          <cell r="D482" t="str">
            <v>Univerzita Komenského v Bratislave</v>
          </cell>
          <cell r="E482" t="str">
            <v>Jesseniova lekárska fakulta v Martine</v>
          </cell>
          <cell r="AN482">
            <v>13</v>
          </cell>
          <cell r="AO482">
            <v>0</v>
          </cell>
          <cell r="AP482">
            <v>0</v>
          </cell>
          <cell r="AQ482">
            <v>0</v>
          </cell>
          <cell r="AR482">
            <v>13</v>
          </cell>
          <cell r="BF482">
            <v>39</v>
          </cell>
          <cell r="BG482">
            <v>132.99</v>
          </cell>
          <cell r="BH482">
            <v>132.99</v>
          </cell>
          <cell r="BI482">
            <v>14</v>
          </cell>
          <cell r="BJ482">
            <v>13</v>
          </cell>
        </row>
        <row r="483">
          <cell r="D483" t="str">
            <v>Univerzita Komenského v Bratislave</v>
          </cell>
          <cell r="E483" t="str">
            <v>Jesseniova lekárska fakulta v Martine</v>
          </cell>
          <cell r="AN483">
            <v>7</v>
          </cell>
          <cell r="AO483">
            <v>0</v>
          </cell>
          <cell r="AP483">
            <v>0</v>
          </cell>
          <cell r="AQ483">
            <v>0</v>
          </cell>
          <cell r="AR483">
            <v>7</v>
          </cell>
          <cell r="BF483">
            <v>21</v>
          </cell>
          <cell r="BG483">
            <v>71.61</v>
          </cell>
          <cell r="BH483">
            <v>71.61</v>
          </cell>
          <cell r="BI483">
            <v>7</v>
          </cell>
          <cell r="BJ483">
            <v>7</v>
          </cell>
        </row>
        <row r="484">
          <cell r="D484" t="str">
            <v>Univerzita Komenského v Bratislave</v>
          </cell>
          <cell r="E484" t="str">
            <v>Jesseniova lekárska fakulta v Martine</v>
          </cell>
          <cell r="AN484">
            <v>33</v>
          </cell>
          <cell r="AO484">
            <v>36</v>
          </cell>
          <cell r="AP484">
            <v>36</v>
          </cell>
          <cell r="AQ484">
            <v>0</v>
          </cell>
          <cell r="AR484">
            <v>33</v>
          </cell>
          <cell r="BF484">
            <v>30.3</v>
          </cell>
          <cell r="BG484">
            <v>65.144999999999996</v>
          </cell>
          <cell r="BH484">
            <v>65.144999999999996</v>
          </cell>
          <cell r="BI484">
            <v>36</v>
          </cell>
          <cell r="BJ484">
            <v>0</v>
          </cell>
        </row>
        <row r="485">
          <cell r="D485" t="str">
            <v>Univerzita Komenského v Bratislave</v>
          </cell>
          <cell r="E485" t="str">
            <v>Jesseniova lekárska fakulta v Martine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</v>
          </cell>
          <cell r="BJ485">
            <v>0</v>
          </cell>
        </row>
        <row r="486">
          <cell r="D486" t="str">
            <v>Univerzita Komenského v Bratislave</v>
          </cell>
          <cell r="E486" t="str">
            <v>Fakulta sociálnych a ekonomických vied</v>
          </cell>
          <cell r="AN486">
            <v>75</v>
          </cell>
          <cell r="AO486">
            <v>84</v>
          </cell>
          <cell r="AP486">
            <v>0</v>
          </cell>
          <cell r="AQ486">
            <v>0</v>
          </cell>
          <cell r="AR486">
            <v>75</v>
          </cell>
          <cell r="BF486">
            <v>61.199999999999996</v>
          </cell>
          <cell r="BG486">
            <v>63.647999999999996</v>
          </cell>
          <cell r="BH486">
            <v>63.647999999999996</v>
          </cell>
          <cell r="BI486">
            <v>84</v>
          </cell>
          <cell r="BJ486">
            <v>0</v>
          </cell>
        </row>
        <row r="487">
          <cell r="D487" t="str">
            <v>Katolícka univerzita v Ružomberku</v>
          </cell>
          <cell r="E487" t="str">
            <v>Teologická fakulta v Košiciach</v>
          </cell>
          <cell r="AN487">
            <v>2</v>
          </cell>
          <cell r="AO487">
            <v>2.5</v>
          </cell>
          <cell r="AP487">
            <v>0</v>
          </cell>
          <cell r="AQ487">
            <v>0</v>
          </cell>
          <cell r="AR487">
            <v>2</v>
          </cell>
          <cell r="BF487">
            <v>1.85</v>
          </cell>
          <cell r="BG487">
            <v>2.0165000000000002</v>
          </cell>
          <cell r="BH487">
            <v>2.0165000000000002</v>
          </cell>
          <cell r="BI487">
            <v>2.5</v>
          </cell>
          <cell r="BJ487">
            <v>0</v>
          </cell>
        </row>
        <row r="488">
          <cell r="D488" t="str">
            <v>Katolícka univerzita v Ružomberku</v>
          </cell>
          <cell r="E488" t="str">
            <v>Teologická fakulta v Košiciach</v>
          </cell>
          <cell r="AN488">
            <v>3.5</v>
          </cell>
          <cell r="AO488">
            <v>4</v>
          </cell>
          <cell r="AP488">
            <v>0</v>
          </cell>
          <cell r="AQ488">
            <v>0</v>
          </cell>
          <cell r="AR488">
            <v>3.5</v>
          </cell>
          <cell r="BF488">
            <v>3.2</v>
          </cell>
          <cell r="BG488">
            <v>3.4880000000000004</v>
          </cell>
          <cell r="BH488">
            <v>3.4880000000000004</v>
          </cell>
          <cell r="BI488">
            <v>4</v>
          </cell>
          <cell r="BJ488">
            <v>0</v>
          </cell>
        </row>
        <row r="489">
          <cell r="D489" t="str">
            <v>Katolícka univerzita v Ružomberku</v>
          </cell>
          <cell r="E489" t="str">
            <v>Teologická fakulta v Košiciach</v>
          </cell>
          <cell r="AN489">
            <v>6</v>
          </cell>
          <cell r="AO489">
            <v>0</v>
          </cell>
          <cell r="AP489">
            <v>0</v>
          </cell>
          <cell r="AQ489">
            <v>0</v>
          </cell>
          <cell r="AR489">
            <v>6</v>
          </cell>
          <cell r="BF489">
            <v>24</v>
          </cell>
          <cell r="BG489">
            <v>26.400000000000002</v>
          </cell>
          <cell r="BH489">
            <v>26.400000000000002</v>
          </cell>
          <cell r="BI489">
            <v>6</v>
          </cell>
          <cell r="BJ489">
            <v>6</v>
          </cell>
        </row>
        <row r="490">
          <cell r="D490" t="str">
            <v>Univerzita Mateja Bela v Banskej Bystrici</v>
          </cell>
          <cell r="E490" t="str">
            <v>Fakulta politických vied a medzinárodných vzťahov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14</v>
          </cell>
          <cell r="BJ490">
            <v>0</v>
          </cell>
        </row>
        <row r="491">
          <cell r="D491" t="str">
            <v>Univerzita Konštantína Filozofa v Nitre</v>
          </cell>
          <cell r="E491" t="str">
            <v>Filozofická fakulta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1</v>
          </cell>
          <cell r="BJ491">
            <v>0</v>
          </cell>
        </row>
        <row r="492">
          <cell r="D492" t="str">
            <v>Univerzita Konštantína Filozofa v Nitre</v>
          </cell>
          <cell r="E492" t="str">
            <v>Filozofická fakulta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1</v>
          </cell>
          <cell r="BJ492">
            <v>0</v>
          </cell>
        </row>
        <row r="493">
          <cell r="D493" t="str">
            <v>Univerzita Konštantína Filozofa v Nitre</v>
          </cell>
          <cell r="E493" t="str">
            <v>Filozofická fakulta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0.5</v>
          </cell>
          <cell r="BJ493">
            <v>0</v>
          </cell>
        </row>
        <row r="494">
          <cell r="D494" t="str">
            <v>Univerzita Konštantína Filozofa v Nitre</v>
          </cell>
          <cell r="E494" t="str">
            <v>Filozofická fakulta</v>
          </cell>
          <cell r="AN494">
            <v>65</v>
          </cell>
          <cell r="AO494">
            <v>71</v>
          </cell>
          <cell r="AP494">
            <v>0</v>
          </cell>
          <cell r="AQ494">
            <v>0</v>
          </cell>
          <cell r="AR494">
            <v>65</v>
          </cell>
          <cell r="BF494">
            <v>55.849999999999994</v>
          </cell>
          <cell r="BG494">
            <v>83.774999999999991</v>
          </cell>
          <cell r="BH494">
            <v>81.570394736842104</v>
          </cell>
          <cell r="BI494">
            <v>71</v>
          </cell>
          <cell r="BJ494">
            <v>0</v>
          </cell>
        </row>
        <row r="495">
          <cell r="D495" t="str">
            <v>Univerzita Konštantína Filozofa v Nitre</v>
          </cell>
          <cell r="E495" t="str">
            <v>Filozofická fakulta</v>
          </cell>
          <cell r="AN495">
            <v>27.5</v>
          </cell>
          <cell r="AO495">
            <v>29</v>
          </cell>
          <cell r="AP495">
            <v>0</v>
          </cell>
          <cell r="AQ495">
            <v>0</v>
          </cell>
          <cell r="AR495">
            <v>27.5</v>
          </cell>
          <cell r="BF495">
            <v>23.45</v>
          </cell>
          <cell r="BG495">
            <v>35.174999999999997</v>
          </cell>
          <cell r="BH495">
            <v>35.174999999999997</v>
          </cell>
          <cell r="BI495">
            <v>29</v>
          </cell>
          <cell r="BJ495">
            <v>0</v>
          </cell>
        </row>
        <row r="496">
          <cell r="D496" t="str">
            <v>Univerzita Konštantína Filozofa v Nitre</v>
          </cell>
          <cell r="E496" t="str">
            <v>Filozofická fakulta</v>
          </cell>
          <cell r="AN496">
            <v>62.5</v>
          </cell>
          <cell r="AO496">
            <v>75.5</v>
          </cell>
          <cell r="AP496">
            <v>0</v>
          </cell>
          <cell r="AQ496">
            <v>0</v>
          </cell>
          <cell r="AR496">
            <v>62.5</v>
          </cell>
          <cell r="BF496">
            <v>53.2</v>
          </cell>
          <cell r="BG496">
            <v>57.988000000000007</v>
          </cell>
          <cell r="BH496">
            <v>57.988000000000007</v>
          </cell>
          <cell r="BI496">
            <v>75.5</v>
          </cell>
          <cell r="BJ496">
            <v>0</v>
          </cell>
        </row>
        <row r="497">
          <cell r="D497" t="str">
            <v>Univerzita Konštantína Filozofa v Nitre</v>
          </cell>
          <cell r="E497" t="str">
            <v>Filozofická fakulta</v>
          </cell>
          <cell r="AN497">
            <v>46</v>
          </cell>
          <cell r="AO497">
            <v>56.5</v>
          </cell>
          <cell r="AP497">
            <v>0</v>
          </cell>
          <cell r="AQ497">
            <v>0</v>
          </cell>
          <cell r="AR497">
            <v>46</v>
          </cell>
          <cell r="BF497">
            <v>39.700000000000003</v>
          </cell>
          <cell r="BG497">
            <v>43.273000000000003</v>
          </cell>
          <cell r="BH497">
            <v>43.273000000000003</v>
          </cell>
          <cell r="BI497">
            <v>56.5</v>
          </cell>
          <cell r="BJ497">
            <v>0</v>
          </cell>
        </row>
        <row r="498">
          <cell r="D498" t="str">
            <v>Univerzita Konštantína Filozofa v Nitre</v>
          </cell>
          <cell r="E498" t="str">
            <v>Filozofická fakulta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1</v>
          </cell>
          <cell r="BJ498">
            <v>0</v>
          </cell>
        </row>
        <row r="499">
          <cell r="D499" t="str">
            <v>Univerzita Konštantína Filozofa v Nitre</v>
          </cell>
          <cell r="E499" t="str">
            <v>Filozofická fakulta</v>
          </cell>
          <cell r="AN499">
            <v>0</v>
          </cell>
          <cell r="AO499">
            <v>2</v>
          </cell>
          <cell r="AP499">
            <v>0</v>
          </cell>
          <cell r="AQ499">
            <v>0</v>
          </cell>
          <cell r="AR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2</v>
          </cell>
          <cell r="BJ499">
            <v>0</v>
          </cell>
        </row>
        <row r="500">
          <cell r="D500" t="str">
            <v>Univerzita Konštantína Filozofa v Nitre</v>
          </cell>
          <cell r="E500" t="str">
            <v>Filozofická fakulta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1</v>
          </cell>
          <cell r="BJ500">
            <v>0</v>
          </cell>
        </row>
        <row r="501">
          <cell r="D501" t="str">
            <v>Univerzita Komenského v Bratislave</v>
          </cell>
          <cell r="E501" t="str">
            <v>Prírodovedecká fakulta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1</v>
          </cell>
          <cell r="BJ501">
            <v>0</v>
          </cell>
        </row>
        <row r="502">
          <cell r="D502" t="str">
            <v>Univerzita Komenského v Bratislave</v>
          </cell>
          <cell r="E502" t="str">
            <v>Prírodovedecká fakulta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2</v>
          </cell>
          <cell r="BJ502">
            <v>0</v>
          </cell>
        </row>
        <row r="503">
          <cell r="D503" t="str">
            <v>Univerzita Komenského v Bratislave</v>
          </cell>
          <cell r="E503" t="str">
            <v>Prírodovedecká fakulta</v>
          </cell>
          <cell r="AN503">
            <v>4</v>
          </cell>
          <cell r="AO503">
            <v>0</v>
          </cell>
          <cell r="AP503">
            <v>0</v>
          </cell>
          <cell r="AQ503">
            <v>4</v>
          </cell>
          <cell r="AR503">
            <v>4</v>
          </cell>
          <cell r="BF503">
            <v>12</v>
          </cell>
          <cell r="BG503">
            <v>25.56</v>
          </cell>
          <cell r="BH503">
            <v>25.56</v>
          </cell>
          <cell r="BI503">
            <v>5</v>
          </cell>
          <cell r="BJ503">
            <v>4</v>
          </cell>
        </row>
        <row r="504">
          <cell r="D504" t="str">
            <v>Univerzita Komenského v Bratislave</v>
          </cell>
          <cell r="E504" t="str">
            <v>Prírodovedecká fakulta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5</v>
          </cell>
          <cell r="BJ504">
            <v>0</v>
          </cell>
        </row>
        <row r="505">
          <cell r="D505" t="str">
            <v>Univerzita Komenského v Bratislave</v>
          </cell>
          <cell r="E505" t="str">
            <v>Prírodovedecká fakulta</v>
          </cell>
          <cell r="AN505">
            <v>5</v>
          </cell>
          <cell r="AO505">
            <v>0</v>
          </cell>
          <cell r="AP505">
            <v>0</v>
          </cell>
          <cell r="AQ505">
            <v>5</v>
          </cell>
          <cell r="AR505">
            <v>5</v>
          </cell>
          <cell r="BF505">
            <v>15</v>
          </cell>
          <cell r="BG505">
            <v>31.95</v>
          </cell>
          <cell r="BH505">
            <v>31.95</v>
          </cell>
          <cell r="BI505">
            <v>6</v>
          </cell>
          <cell r="BJ505">
            <v>5</v>
          </cell>
        </row>
        <row r="506">
          <cell r="D506" t="str">
            <v>Univerzita Komenského v Bratislave</v>
          </cell>
          <cell r="E506" t="str">
            <v>Prírodovedecká fakulta</v>
          </cell>
          <cell r="AN506">
            <v>13</v>
          </cell>
          <cell r="AO506">
            <v>0</v>
          </cell>
          <cell r="AP506">
            <v>0</v>
          </cell>
          <cell r="AQ506">
            <v>13</v>
          </cell>
          <cell r="AR506">
            <v>13</v>
          </cell>
          <cell r="BF506">
            <v>39</v>
          </cell>
          <cell r="BG506">
            <v>83.07</v>
          </cell>
          <cell r="BH506">
            <v>83.07</v>
          </cell>
          <cell r="BI506">
            <v>14</v>
          </cell>
          <cell r="BJ506">
            <v>13</v>
          </cell>
        </row>
        <row r="507">
          <cell r="D507" t="str">
            <v>Univerzita Komenského v Bratislave</v>
          </cell>
          <cell r="E507" t="str">
            <v>Prírodovedecká fakulta</v>
          </cell>
          <cell r="AN507">
            <v>36</v>
          </cell>
          <cell r="AO507">
            <v>0</v>
          </cell>
          <cell r="AP507">
            <v>0</v>
          </cell>
          <cell r="AQ507">
            <v>36</v>
          </cell>
          <cell r="AR507">
            <v>36</v>
          </cell>
          <cell r="BF507">
            <v>108</v>
          </cell>
          <cell r="BG507">
            <v>230.04</v>
          </cell>
          <cell r="BH507">
            <v>230.04</v>
          </cell>
          <cell r="BI507">
            <v>38</v>
          </cell>
          <cell r="BJ507">
            <v>36</v>
          </cell>
        </row>
        <row r="508">
          <cell r="D508" t="str">
            <v>Univerzita Komenského v Bratislave</v>
          </cell>
          <cell r="E508" t="str">
            <v>Prírodovedecká fakulta</v>
          </cell>
          <cell r="AN508">
            <v>14</v>
          </cell>
          <cell r="AO508">
            <v>0</v>
          </cell>
          <cell r="AP508">
            <v>0</v>
          </cell>
          <cell r="AQ508">
            <v>14</v>
          </cell>
          <cell r="AR508">
            <v>14</v>
          </cell>
          <cell r="BF508">
            <v>42</v>
          </cell>
          <cell r="BG508">
            <v>89.46</v>
          </cell>
          <cell r="BH508">
            <v>89.46</v>
          </cell>
          <cell r="BI508">
            <v>16</v>
          </cell>
          <cell r="BJ508">
            <v>14</v>
          </cell>
        </row>
        <row r="509">
          <cell r="D509" t="str">
            <v>Univerzita Komenského v Bratislave</v>
          </cell>
          <cell r="E509" t="str">
            <v>Prírodovedecká fakulta</v>
          </cell>
          <cell r="AN509">
            <v>9</v>
          </cell>
          <cell r="AO509">
            <v>0</v>
          </cell>
          <cell r="AP509">
            <v>0</v>
          </cell>
          <cell r="AQ509">
            <v>9</v>
          </cell>
          <cell r="AR509">
            <v>9</v>
          </cell>
          <cell r="BF509">
            <v>27</v>
          </cell>
          <cell r="BG509">
            <v>57.51</v>
          </cell>
          <cell r="BH509">
            <v>57.51</v>
          </cell>
          <cell r="BI509">
            <v>9</v>
          </cell>
          <cell r="BJ509">
            <v>9</v>
          </cell>
        </row>
        <row r="510">
          <cell r="D510" t="str">
            <v>Univerzita Komenského v Bratislave</v>
          </cell>
          <cell r="E510" t="str">
            <v>Prírodovedecká fakulta</v>
          </cell>
          <cell r="AN510">
            <v>1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3</v>
          </cell>
          <cell r="BJ510">
            <v>0</v>
          </cell>
        </row>
        <row r="511">
          <cell r="D511" t="str">
            <v>Univerzita Komenského v Bratislave</v>
          </cell>
          <cell r="E511" t="str">
            <v>Prírodovedecká fakulta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1</v>
          </cell>
          <cell r="BJ511">
            <v>0</v>
          </cell>
        </row>
        <row r="512">
          <cell r="D512" t="str">
            <v>Univerzita Komenského v Bratislave</v>
          </cell>
          <cell r="E512" t="str">
            <v>Filozofická fakulta</v>
          </cell>
          <cell r="AN512">
            <v>9</v>
          </cell>
          <cell r="AO512">
            <v>0</v>
          </cell>
          <cell r="AP512">
            <v>0</v>
          </cell>
          <cell r="AQ512">
            <v>0</v>
          </cell>
          <cell r="AR512">
            <v>9</v>
          </cell>
          <cell r="BF512">
            <v>27</v>
          </cell>
          <cell r="BG512">
            <v>29.700000000000003</v>
          </cell>
          <cell r="BH512">
            <v>29.700000000000003</v>
          </cell>
          <cell r="BI512">
            <v>9</v>
          </cell>
          <cell r="BJ512">
            <v>9</v>
          </cell>
        </row>
        <row r="513">
          <cell r="D513" t="str">
            <v>Univerzita Komenského v Bratislave</v>
          </cell>
          <cell r="E513" t="str">
            <v>Filozofická fakulta</v>
          </cell>
          <cell r="AN513">
            <v>30</v>
          </cell>
          <cell r="AO513">
            <v>35</v>
          </cell>
          <cell r="AP513">
            <v>0</v>
          </cell>
          <cell r="AQ513">
            <v>0</v>
          </cell>
          <cell r="AR513">
            <v>30</v>
          </cell>
          <cell r="BF513">
            <v>26.1</v>
          </cell>
          <cell r="BG513">
            <v>26.1</v>
          </cell>
          <cell r="BH513">
            <v>26.1</v>
          </cell>
          <cell r="BI513">
            <v>35</v>
          </cell>
          <cell r="BJ513">
            <v>0</v>
          </cell>
        </row>
        <row r="514">
          <cell r="D514" t="str">
            <v>Univerzita Komenského v Bratislave</v>
          </cell>
          <cell r="E514" t="str">
            <v>Filozofická fakulta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5</v>
          </cell>
          <cell r="BJ514">
            <v>0</v>
          </cell>
        </row>
        <row r="515">
          <cell r="D515" t="str">
            <v>Univerzita Komenského v Bratislave</v>
          </cell>
          <cell r="E515" t="str">
            <v>Filozofická fakulta</v>
          </cell>
          <cell r="AN515">
            <v>59</v>
          </cell>
          <cell r="AO515">
            <v>62</v>
          </cell>
          <cell r="AP515">
            <v>0</v>
          </cell>
          <cell r="AQ515">
            <v>0</v>
          </cell>
          <cell r="AR515">
            <v>59</v>
          </cell>
          <cell r="BF515">
            <v>88.5</v>
          </cell>
          <cell r="BG515">
            <v>132.75</v>
          </cell>
          <cell r="BH515">
            <v>121.20652173913044</v>
          </cell>
          <cell r="BI515">
            <v>62</v>
          </cell>
          <cell r="BJ515">
            <v>0</v>
          </cell>
        </row>
        <row r="516">
          <cell r="D516" t="str">
            <v>Univerzita Komenského v Bratislave</v>
          </cell>
          <cell r="E516" t="str">
            <v>Filozofická fakulta</v>
          </cell>
          <cell r="AN516">
            <v>11</v>
          </cell>
          <cell r="AO516">
            <v>13.5</v>
          </cell>
          <cell r="AP516">
            <v>0</v>
          </cell>
          <cell r="AQ516">
            <v>0</v>
          </cell>
          <cell r="AR516">
            <v>11</v>
          </cell>
          <cell r="BF516">
            <v>16.5</v>
          </cell>
          <cell r="BG516">
            <v>24.75</v>
          </cell>
          <cell r="BH516">
            <v>22</v>
          </cell>
          <cell r="BI516">
            <v>13.5</v>
          </cell>
          <cell r="BJ516">
            <v>0</v>
          </cell>
        </row>
        <row r="517">
          <cell r="D517" t="str">
            <v>Univerzita Komenského v Bratislave</v>
          </cell>
          <cell r="E517" t="str">
            <v>Filozofická fakulta</v>
          </cell>
          <cell r="AN517">
            <v>6</v>
          </cell>
          <cell r="AO517">
            <v>0</v>
          </cell>
          <cell r="AP517">
            <v>0</v>
          </cell>
          <cell r="AQ517">
            <v>0</v>
          </cell>
          <cell r="AR517">
            <v>6</v>
          </cell>
          <cell r="BF517">
            <v>18</v>
          </cell>
          <cell r="BG517">
            <v>19.8</v>
          </cell>
          <cell r="BH517">
            <v>19.8</v>
          </cell>
          <cell r="BI517">
            <v>6</v>
          </cell>
          <cell r="BJ517">
            <v>6</v>
          </cell>
        </row>
        <row r="518">
          <cell r="D518" t="str">
            <v>Univerzita Komenského v Bratislave</v>
          </cell>
          <cell r="E518" t="str">
            <v>Filozofická fakulta</v>
          </cell>
          <cell r="AN518">
            <v>166</v>
          </cell>
          <cell r="AO518">
            <v>184</v>
          </cell>
          <cell r="AP518">
            <v>0</v>
          </cell>
          <cell r="AQ518">
            <v>0</v>
          </cell>
          <cell r="AR518">
            <v>166</v>
          </cell>
          <cell r="BF518">
            <v>249</v>
          </cell>
          <cell r="BG518">
            <v>249</v>
          </cell>
          <cell r="BH518">
            <v>231.21428571428572</v>
          </cell>
          <cell r="BI518">
            <v>184</v>
          </cell>
          <cell r="BJ518">
            <v>0</v>
          </cell>
        </row>
        <row r="519">
          <cell r="D519" t="str">
            <v>Univerzita Komenského v Bratislave</v>
          </cell>
          <cell r="E519" t="str">
            <v>Filozofická fakulta</v>
          </cell>
          <cell r="AN519">
            <v>5</v>
          </cell>
          <cell r="AO519">
            <v>5</v>
          </cell>
          <cell r="AP519">
            <v>0</v>
          </cell>
          <cell r="AQ519">
            <v>0</v>
          </cell>
          <cell r="AR519">
            <v>5</v>
          </cell>
          <cell r="BF519">
            <v>5</v>
          </cell>
          <cell r="BG519">
            <v>5.2</v>
          </cell>
          <cell r="BH519">
            <v>5.2</v>
          </cell>
          <cell r="BI519">
            <v>5</v>
          </cell>
          <cell r="BJ519">
            <v>0</v>
          </cell>
        </row>
        <row r="520">
          <cell r="D520" t="str">
            <v>Univerzita Komenského v Bratislave</v>
          </cell>
          <cell r="E520" t="str">
            <v>Filozofická fakulta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4</v>
          </cell>
          <cell r="BJ520">
            <v>0</v>
          </cell>
        </row>
        <row r="521">
          <cell r="D521" t="str">
            <v>Univerzita Komenského v Bratislave</v>
          </cell>
          <cell r="E521" t="str">
            <v>Filozofická fakulta</v>
          </cell>
          <cell r="AN521">
            <v>32</v>
          </cell>
          <cell r="AO521">
            <v>37</v>
          </cell>
          <cell r="AP521">
            <v>0</v>
          </cell>
          <cell r="AQ521">
            <v>0</v>
          </cell>
          <cell r="AR521">
            <v>32</v>
          </cell>
          <cell r="BF521">
            <v>28.4</v>
          </cell>
          <cell r="BG521">
            <v>29.535999999999998</v>
          </cell>
          <cell r="BH521">
            <v>28.059199999999997</v>
          </cell>
          <cell r="BI521">
            <v>37</v>
          </cell>
          <cell r="BJ521">
            <v>0</v>
          </cell>
        </row>
        <row r="522">
          <cell r="D522" t="str">
            <v>Univerzita Komenského v Bratislave</v>
          </cell>
          <cell r="E522" t="str">
            <v>Filozofická fakulta</v>
          </cell>
          <cell r="AN522">
            <v>85.5</v>
          </cell>
          <cell r="AO522">
            <v>94.5</v>
          </cell>
          <cell r="AP522">
            <v>0</v>
          </cell>
          <cell r="AQ522">
            <v>0</v>
          </cell>
          <cell r="AR522">
            <v>85.5</v>
          </cell>
          <cell r="BF522">
            <v>73.650000000000006</v>
          </cell>
          <cell r="BG522">
            <v>110.47500000000001</v>
          </cell>
          <cell r="BH522">
            <v>110.47500000000001</v>
          </cell>
          <cell r="BI522">
            <v>94.5</v>
          </cell>
          <cell r="BJ522">
            <v>0</v>
          </cell>
        </row>
        <row r="523">
          <cell r="D523" t="str">
            <v>Univerzita Komenského v Bratislave</v>
          </cell>
          <cell r="E523" t="str">
            <v>Filozofická fakulta</v>
          </cell>
          <cell r="AN523">
            <v>7</v>
          </cell>
          <cell r="AO523">
            <v>9</v>
          </cell>
          <cell r="AP523">
            <v>0</v>
          </cell>
          <cell r="AQ523">
            <v>0</v>
          </cell>
          <cell r="AR523">
            <v>7</v>
          </cell>
          <cell r="BF523">
            <v>5.5</v>
          </cell>
          <cell r="BG523">
            <v>8.25</v>
          </cell>
          <cell r="BH523">
            <v>8.25</v>
          </cell>
          <cell r="BI523">
            <v>9</v>
          </cell>
          <cell r="BJ523">
            <v>0</v>
          </cell>
        </row>
        <row r="524">
          <cell r="D524" t="str">
            <v>Univerzita Komenského v Bratislave</v>
          </cell>
          <cell r="E524" t="str">
            <v>Filozofická fakulta</v>
          </cell>
          <cell r="AN524">
            <v>25</v>
          </cell>
          <cell r="AO524">
            <v>29</v>
          </cell>
          <cell r="AP524">
            <v>0</v>
          </cell>
          <cell r="AQ524">
            <v>0</v>
          </cell>
          <cell r="AR524">
            <v>25</v>
          </cell>
          <cell r="BF524">
            <v>23.2</v>
          </cell>
          <cell r="BG524">
            <v>24.128</v>
          </cell>
          <cell r="BH524">
            <v>24.128</v>
          </cell>
          <cell r="BI524">
            <v>29</v>
          </cell>
          <cell r="BJ524">
            <v>0</v>
          </cell>
        </row>
        <row r="525">
          <cell r="D525" t="str">
            <v>Univerzita Komenského v Bratislave</v>
          </cell>
          <cell r="E525" t="str">
            <v>Filozofická fakulta</v>
          </cell>
          <cell r="AN525">
            <v>14</v>
          </cell>
          <cell r="AO525">
            <v>17</v>
          </cell>
          <cell r="AP525">
            <v>0</v>
          </cell>
          <cell r="AQ525">
            <v>0</v>
          </cell>
          <cell r="AR525">
            <v>14</v>
          </cell>
          <cell r="BF525">
            <v>13.1</v>
          </cell>
          <cell r="BG525">
            <v>13.1</v>
          </cell>
          <cell r="BH525">
            <v>13.1</v>
          </cell>
          <cell r="BI525">
            <v>17</v>
          </cell>
          <cell r="BJ525">
            <v>0</v>
          </cell>
        </row>
        <row r="526">
          <cell r="D526" t="str">
            <v>Univerzita Komenského v Bratislave</v>
          </cell>
          <cell r="E526" t="str">
            <v>Filozofická fakulta</v>
          </cell>
          <cell r="AN526">
            <v>35</v>
          </cell>
          <cell r="AO526">
            <v>41</v>
          </cell>
          <cell r="AP526">
            <v>0</v>
          </cell>
          <cell r="AQ526">
            <v>0</v>
          </cell>
          <cell r="AR526">
            <v>35</v>
          </cell>
          <cell r="BF526">
            <v>31.1</v>
          </cell>
          <cell r="BG526">
            <v>37.009</v>
          </cell>
          <cell r="BH526">
            <v>37.009</v>
          </cell>
          <cell r="BI526">
            <v>41</v>
          </cell>
          <cell r="BJ526">
            <v>0</v>
          </cell>
        </row>
        <row r="527">
          <cell r="D527" t="str">
            <v>Univerzita Komenského v Bratislave</v>
          </cell>
          <cell r="E527" t="str">
            <v>Filozofická fakulta</v>
          </cell>
          <cell r="AN527">
            <v>23</v>
          </cell>
          <cell r="AO527">
            <v>25</v>
          </cell>
          <cell r="AP527">
            <v>0</v>
          </cell>
          <cell r="AQ527">
            <v>0</v>
          </cell>
          <cell r="AR527">
            <v>23</v>
          </cell>
          <cell r="BF527">
            <v>20.3</v>
          </cell>
          <cell r="BG527">
            <v>24.157</v>
          </cell>
          <cell r="BH527">
            <v>24.157</v>
          </cell>
          <cell r="BI527">
            <v>25</v>
          </cell>
          <cell r="BJ527">
            <v>0</v>
          </cell>
        </row>
        <row r="528">
          <cell r="D528" t="str">
            <v>Univerzita Komenského v Bratislave</v>
          </cell>
          <cell r="E528" t="str">
            <v>Filozofická fakulta</v>
          </cell>
          <cell r="AN528">
            <v>23</v>
          </cell>
          <cell r="AO528">
            <v>26</v>
          </cell>
          <cell r="AP528">
            <v>0</v>
          </cell>
          <cell r="AQ528">
            <v>0</v>
          </cell>
          <cell r="AR528">
            <v>23</v>
          </cell>
          <cell r="BF528">
            <v>21.2</v>
          </cell>
          <cell r="BG528">
            <v>21.2</v>
          </cell>
          <cell r="BH528">
            <v>21.2</v>
          </cell>
          <cell r="BI528">
            <v>26</v>
          </cell>
          <cell r="BJ528">
            <v>0</v>
          </cell>
        </row>
        <row r="529">
          <cell r="D529" t="str">
            <v>Univerzita Komenského v Bratislave</v>
          </cell>
          <cell r="E529" t="str">
            <v>Filozofická fakulta</v>
          </cell>
          <cell r="AN529">
            <v>13.5</v>
          </cell>
          <cell r="AO529">
            <v>15</v>
          </cell>
          <cell r="AP529">
            <v>0</v>
          </cell>
          <cell r="AQ529">
            <v>0</v>
          </cell>
          <cell r="AR529">
            <v>13.5</v>
          </cell>
          <cell r="BF529">
            <v>12</v>
          </cell>
          <cell r="BG529">
            <v>18</v>
          </cell>
          <cell r="BH529">
            <v>18</v>
          </cell>
          <cell r="BI529">
            <v>15</v>
          </cell>
          <cell r="BJ529">
            <v>0</v>
          </cell>
        </row>
        <row r="530">
          <cell r="D530" t="str">
            <v>Univerzita Komenského v Bratislave</v>
          </cell>
          <cell r="E530" t="str">
            <v>Filozofická fakulta</v>
          </cell>
          <cell r="AN530">
            <v>59</v>
          </cell>
          <cell r="AO530">
            <v>78</v>
          </cell>
          <cell r="AP530">
            <v>0</v>
          </cell>
          <cell r="AQ530">
            <v>0</v>
          </cell>
          <cell r="AR530">
            <v>59</v>
          </cell>
          <cell r="BF530">
            <v>51.5</v>
          </cell>
          <cell r="BG530">
            <v>51.5</v>
          </cell>
          <cell r="BH530">
            <v>51.5</v>
          </cell>
          <cell r="BI530">
            <v>78</v>
          </cell>
          <cell r="BJ530">
            <v>0</v>
          </cell>
        </row>
        <row r="531">
          <cell r="D531" t="str">
            <v>Univerzita Komenského v Bratislave</v>
          </cell>
          <cell r="E531" t="str">
            <v>Filozofická fakulta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7</v>
          </cell>
          <cell r="BJ531">
            <v>0</v>
          </cell>
        </row>
        <row r="532">
          <cell r="D532" t="str">
            <v>Prešovská univerzita v Prešove</v>
          </cell>
          <cell r="E532" t="str">
            <v>Filozofická fakulta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3</v>
          </cell>
          <cell r="BJ532">
            <v>0</v>
          </cell>
        </row>
        <row r="533">
          <cell r="D533" t="str">
            <v>Prešovská univerzita v Prešove</v>
          </cell>
          <cell r="E533" t="str">
            <v>Filozofická fakulta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1</v>
          </cell>
          <cell r="BJ533">
            <v>0</v>
          </cell>
        </row>
        <row r="534">
          <cell r="D534" t="str">
            <v>Prešovská univerzita v Prešove</v>
          </cell>
          <cell r="E534" t="str">
            <v>Pravoslávna bohoslovecká fakulta</v>
          </cell>
          <cell r="AN534">
            <v>100</v>
          </cell>
          <cell r="AO534">
            <v>114</v>
          </cell>
          <cell r="AP534">
            <v>0</v>
          </cell>
          <cell r="AQ534">
            <v>0</v>
          </cell>
          <cell r="AR534">
            <v>100</v>
          </cell>
          <cell r="BF534">
            <v>88.1</v>
          </cell>
          <cell r="BG534">
            <v>88.1</v>
          </cell>
          <cell r="BH534">
            <v>88.1</v>
          </cell>
          <cell r="BI534">
            <v>114</v>
          </cell>
          <cell r="BJ534">
            <v>0</v>
          </cell>
        </row>
        <row r="535">
          <cell r="D535" t="str">
            <v>Prešovská univerzita v Prešove</v>
          </cell>
          <cell r="E535" t="str">
            <v>Filozofická fakulta</v>
          </cell>
          <cell r="AN535">
            <v>1</v>
          </cell>
          <cell r="AO535">
            <v>0</v>
          </cell>
          <cell r="AP535">
            <v>0</v>
          </cell>
          <cell r="AQ535">
            <v>0</v>
          </cell>
          <cell r="AR535">
            <v>1</v>
          </cell>
          <cell r="BF535">
            <v>3</v>
          </cell>
          <cell r="BG535">
            <v>3.3000000000000003</v>
          </cell>
          <cell r="BH535">
            <v>3.3000000000000003</v>
          </cell>
          <cell r="BI535">
            <v>2</v>
          </cell>
          <cell r="BJ535">
            <v>1</v>
          </cell>
        </row>
        <row r="536">
          <cell r="D536" t="str">
            <v>Prešovská univerzita v Prešove</v>
          </cell>
          <cell r="E536" t="str">
            <v>Fakulta humanitných a prírodných vied</v>
          </cell>
          <cell r="AN536">
            <v>7</v>
          </cell>
          <cell r="AO536">
            <v>0</v>
          </cell>
          <cell r="AP536">
            <v>0</v>
          </cell>
          <cell r="AQ536">
            <v>7</v>
          </cell>
          <cell r="AR536">
            <v>7</v>
          </cell>
          <cell r="BF536">
            <v>21</v>
          </cell>
          <cell r="BG536">
            <v>44.73</v>
          </cell>
          <cell r="BH536">
            <v>44.73</v>
          </cell>
          <cell r="BI536">
            <v>7</v>
          </cell>
          <cell r="BJ536">
            <v>7</v>
          </cell>
        </row>
        <row r="537">
          <cell r="D537" t="str">
            <v>Prešovská univerzita v Prešove</v>
          </cell>
          <cell r="E537" t="str">
            <v>Filozofická fakulta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5</v>
          </cell>
          <cell r="BJ537">
            <v>0</v>
          </cell>
        </row>
        <row r="538">
          <cell r="D538" t="str">
            <v>Prešovská univerzita v Prešove</v>
          </cell>
          <cell r="E538" t="str">
            <v>Filozofická fakulta</v>
          </cell>
          <cell r="AN538">
            <v>3</v>
          </cell>
          <cell r="AO538">
            <v>0</v>
          </cell>
          <cell r="AP538">
            <v>0</v>
          </cell>
          <cell r="AQ538">
            <v>0</v>
          </cell>
          <cell r="AR538">
            <v>3</v>
          </cell>
          <cell r="BF538">
            <v>9</v>
          </cell>
          <cell r="BG538">
            <v>9.9</v>
          </cell>
          <cell r="BH538">
            <v>9.9</v>
          </cell>
          <cell r="BI538">
            <v>3</v>
          </cell>
          <cell r="BJ538">
            <v>3</v>
          </cell>
        </row>
        <row r="539">
          <cell r="D539" t="str">
            <v>Prešovská univerzita v Prešove</v>
          </cell>
          <cell r="E539" t="str">
            <v>Fakulta manažmentu</v>
          </cell>
          <cell r="AN539">
            <v>386</v>
          </cell>
          <cell r="AO539">
            <v>394</v>
          </cell>
          <cell r="AP539">
            <v>0</v>
          </cell>
          <cell r="AQ539">
            <v>0</v>
          </cell>
          <cell r="AR539">
            <v>386</v>
          </cell>
          <cell r="BF539">
            <v>579</v>
          </cell>
          <cell r="BG539">
            <v>602.16</v>
          </cell>
          <cell r="BH539">
            <v>458.7885714285714</v>
          </cell>
          <cell r="BI539">
            <v>394</v>
          </cell>
          <cell r="BJ539">
            <v>0</v>
          </cell>
        </row>
        <row r="540">
          <cell r="D540" t="str">
            <v>Prešovská univerzita v Prešove</v>
          </cell>
          <cell r="E540" t="str">
            <v>Pedagogická fakulta</v>
          </cell>
          <cell r="AN540">
            <v>177</v>
          </cell>
          <cell r="AO540">
            <v>178</v>
          </cell>
          <cell r="AP540">
            <v>0</v>
          </cell>
          <cell r="AQ540">
            <v>0</v>
          </cell>
          <cell r="AR540">
            <v>177</v>
          </cell>
          <cell r="BF540">
            <v>265.5</v>
          </cell>
          <cell r="BG540">
            <v>315.94499999999999</v>
          </cell>
          <cell r="BH540">
            <v>306.27321428571429</v>
          </cell>
          <cell r="BI540">
            <v>178</v>
          </cell>
          <cell r="BJ540">
            <v>0</v>
          </cell>
        </row>
        <row r="541">
          <cell r="D541" t="str">
            <v>Prešovská univerzita v Prešove</v>
          </cell>
          <cell r="E541" t="str">
            <v>Filozofická fakulta</v>
          </cell>
          <cell r="AN541">
            <v>102.5</v>
          </cell>
          <cell r="AO541">
            <v>124.5</v>
          </cell>
          <cell r="AP541">
            <v>0</v>
          </cell>
          <cell r="AQ541">
            <v>0</v>
          </cell>
          <cell r="AR541">
            <v>102.5</v>
          </cell>
          <cell r="BF541">
            <v>87.949999999999989</v>
          </cell>
          <cell r="BG541">
            <v>95.865499999999997</v>
          </cell>
          <cell r="BH541">
            <v>95.865499999999997</v>
          </cell>
          <cell r="BI541">
            <v>124.5</v>
          </cell>
          <cell r="BJ541">
            <v>0</v>
          </cell>
        </row>
        <row r="542">
          <cell r="D542" t="str">
            <v>Prešovská univerzita v Prešove</v>
          </cell>
          <cell r="E542" t="str">
            <v>Filozofická fakulta</v>
          </cell>
          <cell r="AN542">
            <v>30</v>
          </cell>
          <cell r="AO542">
            <v>37</v>
          </cell>
          <cell r="AP542">
            <v>0</v>
          </cell>
          <cell r="AQ542">
            <v>0</v>
          </cell>
          <cell r="AR542">
            <v>30</v>
          </cell>
          <cell r="BF542">
            <v>25.049999999999997</v>
          </cell>
          <cell r="BG542">
            <v>27.304499999999997</v>
          </cell>
          <cell r="BH542">
            <v>27.304499999999997</v>
          </cell>
          <cell r="BI542">
            <v>37</v>
          </cell>
          <cell r="BJ542">
            <v>0</v>
          </cell>
        </row>
        <row r="543">
          <cell r="D543" t="str">
            <v>Prešovská univerzita v Prešove</v>
          </cell>
          <cell r="E543" t="str">
            <v>Filozofická fakulta</v>
          </cell>
          <cell r="AN543">
            <v>51</v>
          </cell>
          <cell r="AO543">
            <v>61</v>
          </cell>
          <cell r="AP543">
            <v>0</v>
          </cell>
          <cell r="AQ543">
            <v>0</v>
          </cell>
          <cell r="AR543">
            <v>51</v>
          </cell>
          <cell r="BF543">
            <v>44.85</v>
          </cell>
          <cell r="BG543">
            <v>48.886500000000005</v>
          </cell>
          <cell r="BH543">
            <v>48.886500000000005</v>
          </cell>
          <cell r="BI543">
            <v>61</v>
          </cell>
          <cell r="BJ543">
            <v>0</v>
          </cell>
        </row>
        <row r="544">
          <cell r="D544" t="str">
            <v>Prešovská univerzita v Prešove</v>
          </cell>
          <cell r="E544" t="str">
            <v>Filozofická fakulta</v>
          </cell>
          <cell r="AN544">
            <v>71</v>
          </cell>
          <cell r="AO544">
            <v>90.5</v>
          </cell>
          <cell r="AP544">
            <v>0</v>
          </cell>
          <cell r="AQ544">
            <v>0</v>
          </cell>
          <cell r="AR544">
            <v>71</v>
          </cell>
          <cell r="BF544">
            <v>60.95</v>
          </cell>
          <cell r="BG544">
            <v>66.435500000000005</v>
          </cell>
          <cell r="BH544">
            <v>66.435500000000005</v>
          </cell>
          <cell r="BI544">
            <v>90.5</v>
          </cell>
          <cell r="BJ544">
            <v>0</v>
          </cell>
        </row>
        <row r="545">
          <cell r="D545" t="str">
            <v>Prešovská univerzita v Prešove</v>
          </cell>
          <cell r="E545" t="str">
            <v>Filozofická fakulta</v>
          </cell>
          <cell r="AN545">
            <v>71</v>
          </cell>
          <cell r="AO545">
            <v>89.5</v>
          </cell>
          <cell r="AP545">
            <v>0</v>
          </cell>
          <cell r="AQ545">
            <v>0</v>
          </cell>
          <cell r="AR545">
            <v>71</v>
          </cell>
          <cell r="BF545">
            <v>61.849999999999994</v>
          </cell>
          <cell r="BG545">
            <v>67.416499999999999</v>
          </cell>
          <cell r="BH545">
            <v>67.416499999999999</v>
          </cell>
          <cell r="BI545">
            <v>89.5</v>
          </cell>
          <cell r="BJ545">
            <v>0</v>
          </cell>
        </row>
        <row r="546">
          <cell r="D546" t="str">
            <v>Prešovská univerzita v Prešove</v>
          </cell>
          <cell r="E546" t="str">
            <v>Fakulta manažmentu</v>
          </cell>
          <cell r="AN546">
            <v>585</v>
          </cell>
          <cell r="AO546">
            <v>676</v>
          </cell>
          <cell r="AP546">
            <v>0</v>
          </cell>
          <cell r="AQ546">
            <v>0</v>
          </cell>
          <cell r="AR546">
            <v>585</v>
          </cell>
          <cell r="BF546">
            <v>504.29999999999995</v>
          </cell>
          <cell r="BG546">
            <v>524.47199999999998</v>
          </cell>
          <cell r="BH546">
            <v>512.73008955223884</v>
          </cell>
          <cell r="BI546">
            <v>676</v>
          </cell>
          <cell r="BJ546">
            <v>0</v>
          </cell>
        </row>
        <row r="547">
          <cell r="D547" t="str">
            <v>Prešovská univerzita v Prešove</v>
          </cell>
          <cell r="E547" t="str">
            <v>Pravoslávna bohoslovecká fakulta</v>
          </cell>
          <cell r="AN547">
            <v>58</v>
          </cell>
          <cell r="AO547">
            <v>63</v>
          </cell>
          <cell r="AP547">
            <v>0</v>
          </cell>
          <cell r="AQ547">
            <v>0</v>
          </cell>
          <cell r="AR547">
            <v>58</v>
          </cell>
          <cell r="BF547">
            <v>49</v>
          </cell>
          <cell r="BG547">
            <v>49</v>
          </cell>
          <cell r="BH547">
            <v>49</v>
          </cell>
          <cell r="BI547">
            <v>63</v>
          </cell>
          <cell r="BJ547">
            <v>0</v>
          </cell>
        </row>
        <row r="548">
          <cell r="D548" t="str">
            <v>Prešovská univerzita v Prešove</v>
          </cell>
          <cell r="E548" t="str">
            <v>Fakulta humanitných a prírodných vied</v>
          </cell>
          <cell r="AN548">
            <v>4</v>
          </cell>
          <cell r="AO548">
            <v>0</v>
          </cell>
          <cell r="AP548">
            <v>0</v>
          </cell>
          <cell r="AQ548">
            <v>0</v>
          </cell>
          <cell r="AR548">
            <v>4</v>
          </cell>
          <cell r="BF548">
            <v>12</v>
          </cell>
          <cell r="BG548">
            <v>25.56</v>
          </cell>
          <cell r="BH548">
            <v>22.492799999999999</v>
          </cell>
          <cell r="BI548">
            <v>4</v>
          </cell>
          <cell r="BJ548">
            <v>4</v>
          </cell>
        </row>
        <row r="549">
          <cell r="D549" t="str">
            <v>Prešovská univerzita v Prešove</v>
          </cell>
          <cell r="E549" t="str">
            <v>Fakulta humanitných a prírodných vied</v>
          </cell>
          <cell r="AN549">
            <v>6</v>
          </cell>
          <cell r="AO549">
            <v>0</v>
          </cell>
          <cell r="AP549">
            <v>0</v>
          </cell>
          <cell r="AQ549">
            <v>6</v>
          </cell>
          <cell r="AR549">
            <v>6</v>
          </cell>
          <cell r="BF549">
            <v>18</v>
          </cell>
          <cell r="BG549">
            <v>38.339999999999996</v>
          </cell>
          <cell r="BH549">
            <v>38.339999999999996</v>
          </cell>
          <cell r="BI549">
            <v>6</v>
          </cell>
          <cell r="BJ549">
            <v>6</v>
          </cell>
        </row>
        <row r="550">
          <cell r="D550" t="str">
            <v>Prešovská univerzita v Prešove</v>
          </cell>
          <cell r="E550" t="str">
            <v>Fakulta zdravotníckych odborov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73</v>
          </cell>
          <cell r="BJ550">
            <v>0</v>
          </cell>
        </row>
        <row r="551">
          <cell r="D551" t="str">
            <v>Prešovská univerzita v Prešove</v>
          </cell>
          <cell r="E551" t="str">
            <v>Pravoslávna bohoslovecká fakulta</v>
          </cell>
          <cell r="AN551">
            <v>3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8</v>
          </cell>
          <cell r="BJ551">
            <v>0</v>
          </cell>
        </row>
        <row r="552">
          <cell r="D552" t="str">
            <v>Prešovská univerzita v Prešove</v>
          </cell>
          <cell r="E552" t="str">
            <v>Fakulta športu</v>
          </cell>
          <cell r="AN552">
            <v>85</v>
          </cell>
          <cell r="AO552">
            <v>112</v>
          </cell>
          <cell r="AP552">
            <v>0</v>
          </cell>
          <cell r="AQ552">
            <v>0</v>
          </cell>
          <cell r="AR552">
            <v>85</v>
          </cell>
          <cell r="BF552">
            <v>70</v>
          </cell>
          <cell r="BG552">
            <v>83.3</v>
          </cell>
          <cell r="BH552">
            <v>81.107894736842098</v>
          </cell>
          <cell r="BI552">
            <v>112</v>
          </cell>
          <cell r="BJ552">
            <v>0</v>
          </cell>
        </row>
        <row r="553">
          <cell r="D553" t="str">
            <v>Univerzita J. Selyeho</v>
          </cell>
          <cell r="E553" t="str">
            <v>Fakulta ekonómie a informatiky</v>
          </cell>
          <cell r="AN553">
            <v>134</v>
          </cell>
          <cell r="AO553">
            <v>138</v>
          </cell>
          <cell r="AP553">
            <v>0</v>
          </cell>
          <cell r="AQ553">
            <v>0</v>
          </cell>
          <cell r="AR553">
            <v>134</v>
          </cell>
          <cell r="BF553">
            <v>201</v>
          </cell>
          <cell r="BG553">
            <v>209.04000000000002</v>
          </cell>
          <cell r="BH553">
            <v>185.37509433962268</v>
          </cell>
          <cell r="BI553">
            <v>138</v>
          </cell>
          <cell r="BJ553">
            <v>0</v>
          </cell>
        </row>
        <row r="554">
          <cell r="D554" t="str">
            <v>Univerzita Komenského v Bratislave</v>
          </cell>
          <cell r="E554" t="str">
            <v>Právnická fakulta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</v>
          </cell>
          <cell r="BJ554">
            <v>0</v>
          </cell>
        </row>
        <row r="555">
          <cell r="D555" t="str">
            <v>Univerzita Komenského v Bratislave</v>
          </cell>
          <cell r="E555" t="str">
            <v>Právnická fakulta</v>
          </cell>
          <cell r="AN555">
            <v>518</v>
          </cell>
          <cell r="AO555">
            <v>578</v>
          </cell>
          <cell r="AP555">
            <v>0</v>
          </cell>
          <cell r="AQ555">
            <v>0</v>
          </cell>
          <cell r="AR555">
            <v>518</v>
          </cell>
          <cell r="BF555">
            <v>777</v>
          </cell>
          <cell r="BG555">
            <v>777</v>
          </cell>
          <cell r="BH555">
            <v>708.44117647058818</v>
          </cell>
          <cell r="BI555">
            <v>578</v>
          </cell>
          <cell r="BJ555">
            <v>0</v>
          </cell>
        </row>
        <row r="556">
          <cell r="D556" t="str">
            <v>Univerzita Komenského v Bratislave</v>
          </cell>
          <cell r="E556" t="str">
            <v>Fakulta managementu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28</v>
          </cell>
          <cell r="BJ556">
            <v>0</v>
          </cell>
        </row>
        <row r="557">
          <cell r="D557" t="str">
            <v>Univerzita Komenského v Bratislave</v>
          </cell>
          <cell r="E557" t="str">
            <v>Fakulta managementu</v>
          </cell>
          <cell r="AN557">
            <v>1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11</v>
          </cell>
          <cell r="BJ557">
            <v>0</v>
          </cell>
        </row>
        <row r="558">
          <cell r="D558" t="str">
            <v>Univerzita Komenského v Bratislave</v>
          </cell>
          <cell r="E558" t="str">
            <v>Fakulta managementu</v>
          </cell>
          <cell r="AN558">
            <v>631</v>
          </cell>
          <cell r="AO558">
            <v>674</v>
          </cell>
          <cell r="AP558">
            <v>0</v>
          </cell>
          <cell r="AQ558">
            <v>0</v>
          </cell>
          <cell r="AR558">
            <v>631</v>
          </cell>
          <cell r="BF558">
            <v>540.70000000000005</v>
          </cell>
          <cell r="BG558">
            <v>562.32800000000009</v>
          </cell>
          <cell r="BH558">
            <v>556.28146236559144</v>
          </cell>
          <cell r="BI558">
            <v>674</v>
          </cell>
          <cell r="BJ558">
            <v>0</v>
          </cell>
        </row>
        <row r="559">
          <cell r="D559" t="str">
            <v>Katolícka univerzita v Ružomberku</v>
          </cell>
          <cell r="E559" t="str">
            <v>Filozofická fakulta</v>
          </cell>
          <cell r="AN559">
            <v>65</v>
          </cell>
          <cell r="AO559">
            <v>77</v>
          </cell>
          <cell r="AP559">
            <v>0</v>
          </cell>
          <cell r="AQ559">
            <v>0</v>
          </cell>
          <cell r="AR559">
            <v>65</v>
          </cell>
          <cell r="BF559">
            <v>56.599999999999994</v>
          </cell>
          <cell r="BG559">
            <v>56.599999999999994</v>
          </cell>
          <cell r="BH559">
            <v>50.311111111111103</v>
          </cell>
          <cell r="BI559">
            <v>77</v>
          </cell>
          <cell r="BJ559">
            <v>0</v>
          </cell>
        </row>
        <row r="560">
          <cell r="D560" t="str">
            <v>Katolícka univerzita v Ružomberku</v>
          </cell>
          <cell r="E560" t="str">
            <v>Filozofická fakulta</v>
          </cell>
          <cell r="AN560">
            <v>3</v>
          </cell>
          <cell r="AO560">
            <v>0</v>
          </cell>
          <cell r="AP560">
            <v>0</v>
          </cell>
          <cell r="AQ560">
            <v>0</v>
          </cell>
          <cell r="AR560">
            <v>3</v>
          </cell>
          <cell r="BF560">
            <v>12</v>
          </cell>
          <cell r="BG560">
            <v>13.200000000000001</v>
          </cell>
          <cell r="BH560">
            <v>12.774193548387098</v>
          </cell>
          <cell r="BI560">
            <v>4</v>
          </cell>
          <cell r="BJ560">
            <v>3</v>
          </cell>
        </row>
        <row r="561">
          <cell r="D561" t="str">
            <v>Univerzita Komenského v Bratislave</v>
          </cell>
          <cell r="E561" t="str">
            <v>Lekárska fakulta</v>
          </cell>
          <cell r="AN561">
            <v>7</v>
          </cell>
          <cell r="AO561">
            <v>0</v>
          </cell>
          <cell r="AP561">
            <v>0</v>
          </cell>
          <cell r="AQ561">
            <v>0</v>
          </cell>
          <cell r="AR561">
            <v>7</v>
          </cell>
          <cell r="BF561">
            <v>21</v>
          </cell>
          <cell r="BG561">
            <v>71.61</v>
          </cell>
          <cell r="BH561">
            <v>71.61</v>
          </cell>
          <cell r="BI561">
            <v>8</v>
          </cell>
          <cell r="BJ561">
            <v>7</v>
          </cell>
        </row>
        <row r="562">
          <cell r="D562" t="str">
            <v>Univerzita Komenského v Bratislave</v>
          </cell>
          <cell r="E562" t="str">
            <v>Lekárska fakulta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3</v>
          </cell>
          <cell r="BJ562">
            <v>0</v>
          </cell>
        </row>
        <row r="563">
          <cell r="D563" t="str">
            <v>Univerzita Komenského v Bratislave</v>
          </cell>
          <cell r="E563" t="str">
            <v>Lekárska fakulta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6</v>
          </cell>
          <cell r="BJ563">
            <v>0</v>
          </cell>
        </row>
        <row r="564">
          <cell r="D564" t="str">
            <v>Univerzita Komenského v Bratislave</v>
          </cell>
          <cell r="E564" t="str">
            <v>Lekárska fakulta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2</v>
          </cell>
          <cell r="BJ564">
            <v>0</v>
          </cell>
        </row>
        <row r="565">
          <cell r="D565" t="str">
            <v>Katolícka univerzita v Ružomberku</v>
          </cell>
          <cell r="E565" t="str">
            <v>Pedagogická fakulta</v>
          </cell>
          <cell r="AN565">
            <v>233</v>
          </cell>
          <cell r="AO565">
            <v>246</v>
          </cell>
          <cell r="AP565">
            <v>0</v>
          </cell>
          <cell r="AQ565">
            <v>0</v>
          </cell>
          <cell r="AR565">
            <v>233</v>
          </cell>
          <cell r="BF565">
            <v>204.8</v>
          </cell>
          <cell r="BG565">
            <v>243.71199999999999</v>
          </cell>
          <cell r="BH565">
            <v>228.23822222222222</v>
          </cell>
          <cell r="BI565">
            <v>246</v>
          </cell>
          <cell r="BJ565">
            <v>0</v>
          </cell>
        </row>
        <row r="566">
          <cell r="D566" t="str">
            <v>Katolícka univerzita v Ružomberku</v>
          </cell>
          <cell r="E566" t="str">
            <v>Pedagogická fakulta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1</v>
          </cell>
          <cell r="BJ566">
            <v>0</v>
          </cell>
        </row>
        <row r="567">
          <cell r="D567" t="str">
            <v>Katolícka univerzita v Ružomberku</v>
          </cell>
          <cell r="E567" t="str">
            <v>Pedagogická fakulta</v>
          </cell>
          <cell r="AN567">
            <v>33.5</v>
          </cell>
          <cell r="AO567">
            <v>36</v>
          </cell>
          <cell r="AP567">
            <v>0</v>
          </cell>
          <cell r="AQ567">
            <v>0</v>
          </cell>
          <cell r="AR567">
            <v>33.5</v>
          </cell>
          <cell r="BF567">
            <v>28.7</v>
          </cell>
          <cell r="BG567">
            <v>31.283000000000001</v>
          </cell>
          <cell r="BH567">
            <v>0</v>
          </cell>
          <cell r="BI567">
            <v>36</v>
          </cell>
          <cell r="BJ567">
            <v>0</v>
          </cell>
        </row>
        <row r="568">
          <cell r="D568" t="str">
            <v>Katolícka univerzita v Ružomberku</v>
          </cell>
          <cell r="E568" t="str">
            <v>Filozofická fakulta</v>
          </cell>
          <cell r="AN568">
            <v>56.5</v>
          </cell>
          <cell r="AO568">
            <v>59</v>
          </cell>
          <cell r="AP568">
            <v>0</v>
          </cell>
          <cell r="AQ568">
            <v>0</v>
          </cell>
          <cell r="AR568">
            <v>56.5</v>
          </cell>
          <cell r="BF568">
            <v>47.5</v>
          </cell>
          <cell r="BG568">
            <v>51.775000000000006</v>
          </cell>
          <cell r="BH568">
            <v>51.775000000000006</v>
          </cell>
          <cell r="BI568">
            <v>59</v>
          </cell>
          <cell r="BJ568">
            <v>0</v>
          </cell>
        </row>
        <row r="569">
          <cell r="D569" t="str">
            <v>Univerzita Komenského v Bratislave</v>
          </cell>
          <cell r="E569" t="str">
            <v>Právnická fakulta</v>
          </cell>
          <cell r="AN569">
            <v>5</v>
          </cell>
          <cell r="AO569">
            <v>0</v>
          </cell>
          <cell r="AP569">
            <v>0</v>
          </cell>
          <cell r="AQ569">
            <v>0</v>
          </cell>
          <cell r="AR569">
            <v>5</v>
          </cell>
          <cell r="BF569">
            <v>20</v>
          </cell>
          <cell r="BG569">
            <v>22</v>
          </cell>
          <cell r="BH569">
            <v>22</v>
          </cell>
          <cell r="BI569">
            <v>6</v>
          </cell>
          <cell r="BJ569">
            <v>5</v>
          </cell>
        </row>
        <row r="570">
          <cell r="D570" t="str">
            <v>Univerzita Komenského v Bratislave</v>
          </cell>
          <cell r="E570" t="str">
            <v>Právnická fakulta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2</v>
          </cell>
          <cell r="BJ570">
            <v>0</v>
          </cell>
        </row>
        <row r="571">
          <cell r="D571" t="str">
            <v>Univerzita Komenského v Bratislave</v>
          </cell>
          <cell r="E571" t="str">
            <v>Právnická fakulta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1</v>
          </cell>
          <cell r="BJ571">
            <v>0</v>
          </cell>
        </row>
        <row r="572">
          <cell r="D572" t="str">
            <v>Univerzita Mateja Bela v Banskej Bystrici</v>
          </cell>
          <cell r="E572" t="str">
            <v>Fakulta prírodných vied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1</v>
          </cell>
          <cell r="BJ572">
            <v>0</v>
          </cell>
        </row>
        <row r="573">
          <cell r="D573" t="str">
            <v>Univerzita Konštantína Filozofa v Nitre</v>
          </cell>
          <cell r="E573" t="str">
            <v>Filozofická fakulta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1</v>
          </cell>
          <cell r="BJ573">
            <v>0</v>
          </cell>
        </row>
        <row r="574">
          <cell r="D574" t="str">
            <v>Univerzita veterinárskeho lekárstva a farmácie v Košiciach</v>
          </cell>
          <cell r="E574">
            <v>0</v>
          </cell>
          <cell r="AN574">
            <v>2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5</v>
          </cell>
          <cell r="BJ574">
            <v>0</v>
          </cell>
        </row>
        <row r="575">
          <cell r="D575" t="str">
            <v>Univerzita veterinárskeho lekárstva a farmácie v Košiciach</v>
          </cell>
          <cell r="E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</v>
          </cell>
          <cell r="BJ575">
            <v>0</v>
          </cell>
        </row>
        <row r="576">
          <cell r="D576" t="str">
            <v>Univerzita veterinárskeho lekárstva a farmácie v Košiciach</v>
          </cell>
          <cell r="E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8</v>
          </cell>
          <cell r="BJ576">
            <v>0</v>
          </cell>
        </row>
        <row r="577">
          <cell r="D577" t="str">
            <v>Univerzita veterinárskeho lekárstva a farmácie v Košiciach</v>
          </cell>
          <cell r="E577">
            <v>0</v>
          </cell>
          <cell r="AN577">
            <v>1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</v>
          </cell>
          <cell r="BJ577">
            <v>0</v>
          </cell>
        </row>
        <row r="578">
          <cell r="D578" t="str">
            <v>Univerzita veterinárskeho lekárstva a farmácie v Košiciach</v>
          </cell>
          <cell r="E578">
            <v>0</v>
          </cell>
          <cell r="AN578">
            <v>79</v>
          </cell>
          <cell r="AO578">
            <v>88</v>
          </cell>
          <cell r="AP578">
            <v>0</v>
          </cell>
          <cell r="AQ578">
            <v>0</v>
          </cell>
          <cell r="AR578">
            <v>79</v>
          </cell>
          <cell r="BF578">
            <v>67.599999999999994</v>
          </cell>
          <cell r="BG578">
            <v>298.11599999999999</v>
          </cell>
          <cell r="BH578">
            <v>263.04352941176467</v>
          </cell>
          <cell r="BI578">
            <v>88</v>
          </cell>
          <cell r="BJ578">
            <v>0</v>
          </cell>
        </row>
        <row r="579">
          <cell r="D579" t="str">
            <v>Trnavská univerzita v Trnave</v>
          </cell>
          <cell r="E579" t="str">
            <v>Pedagogická fakulta</v>
          </cell>
          <cell r="AN579">
            <v>77</v>
          </cell>
          <cell r="AO579">
            <v>87</v>
          </cell>
          <cell r="AP579">
            <v>0</v>
          </cell>
          <cell r="AQ579">
            <v>0</v>
          </cell>
          <cell r="AR579">
            <v>77</v>
          </cell>
          <cell r="BF579">
            <v>66.5</v>
          </cell>
          <cell r="BG579">
            <v>79.134999999999991</v>
          </cell>
          <cell r="BH579">
            <v>79.134999999999991</v>
          </cell>
          <cell r="BI579">
            <v>87</v>
          </cell>
          <cell r="BJ579">
            <v>0</v>
          </cell>
        </row>
        <row r="580">
          <cell r="D580" t="str">
            <v>Trnavská univerzita v Trnave</v>
          </cell>
          <cell r="E580" t="str">
            <v>Pedagogická fakulta</v>
          </cell>
          <cell r="AN580">
            <v>7.5</v>
          </cell>
          <cell r="AO580">
            <v>9.5</v>
          </cell>
          <cell r="AP580">
            <v>0</v>
          </cell>
          <cell r="AQ580">
            <v>0</v>
          </cell>
          <cell r="AR580">
            <v>7.5</v>
          </cell>
          <cell r="BF580">
            <v>6.4499999999999993</v>
          </cell>
          <cell r="BG580">
            <v>7.0305</v>
          </cell>
          <cell r="BH580">
            <v>7.0305</v>
          </cell>
          <cell r="BI580">
            <v>9.5</v>
          </cell>
          <cell r="BJ580">
            <v>0</v>
          </cell>
        </row>
        <row r="581">
          <cell r="D581" t="str">
            <v>Trnavská univerzita v Trnave</v>
          </cell>
          <cell r="E581" t="str">
            <v>Pedagogická fakulta</v>
          </cell>
          <cell r="AN581">
            <v>40</v>
          </cell>
          <cell r="AO581">
            <v>54</v>
          </cell>
          <cell r="AP581">
            <v>54</v>
          </cell>
          <cell r="AQ581">
            <v>40</v>
          </cell>
          <cell r="AR581">
            <v>40</v>
          </cell>
          <cell r="BF581">
            <v>34.15</v>
          </cell>
          <cell r="BG581">
            <v>49.175999999999995</v>
          </cell>
          <cell r="BH581">
            <v>47.770971428571421</v>
          </cell>
          <cell r="BI581">
            <v>54</v>
          </cell>
          <cell r="BJ581">
            <v>0</v>
          </cell>
        </row>
        <row r="582">
          <cell r="D582" t="str">
            <v>Trnavská univerzita v Trnave</v>
          </cell>
          <cell r="E582" t="str">
            <v>Pedagogická fakulta</v>
          </cell>
          <cell r="AN582">
            <v>53.5</v>
          </cell>
          <cell r="AO582">
            <v>60.5</v>
          </cell>
          <cell r="AP582">
            <v>0</v>
          </cell>
          <cell r="AQ582">
            <v>0</v>
          </cell>
          <cell r="AR582">
            <v>53.5</v>
          </cell>
          <cell r="BF582">
            <v>45.7</v>
          </cell>
          <cell r="BG582">
            <v>49.813000000000009</v>
          </cell>
          <cell r="BH582">
            <v>48.256343750000006</v>
          </cell>
          <cell r="BI582">
            <v>60.5</v>
          </cell>
          <cell r="BJ582">
            <v>0</v>
          </cell>
        </row>
        <row r="583">
          <cell r="D583" t="str">
            <v>Trnavská univerzita v Trnave</v>
          </cell>
          <cell r="E583" t="str">
            <v>Pedagogická fakulta</v>
          </cell>
          <cell r="AN583">
            <v>61</v>
          </cell>
          <cell r="AO583">
            <v>74</v>
          </cell>
          <cell r="AP583">
            <v>0</v>
          </cell>
          <cell r="AQ583">
            <v>0</v>
          </cell>
          <cell r="AR583">
            <v>61</v>
          </cell>
          <cell r="BF583">
            <v>51.099999999999994</v>
          </cell>
          <cell r="BG583">
            <v>109.86499999999998</v>
          </cell>
          <cell r="BH583">
            <v>101.41384615384614</v>
          </cell>
          <cell r="BI583">
            <v>74</v>
          </cell>
          <cell r="BJ583">
            <v>0</v>
          </cell>
        </row>
        <row r="584">
          <cell r="D584" t="str">
            <v>Trnavská univerzita v Trnave</v>
          </cell>
          <cell r="E584" t="str">
            <v>Pedagogická fakulta</v>
          </cell>
          <cell r="AN584">
            <v>315</v>
          </cell>
          <cell r="AO584">
            <v>343</v>
          </cell>
          <cell r="AP584">
            <v>0</v>
          </cell>
          <cell r="AQ584">
            <v>0</v>
          </cell>
          <cell r="AR584">
            <v>315</v>
          </cell>
          <cell r="BF584">
            <v>275.10000000000002</v>
          </cell>
          <cell r="BG584">
            <v>327.36900000000003</v>
          </cell>
          <cell r="BH584">
            <v>315.67725000000002</v>
          </cell>
          <cell r="BI584">
            <v>343</v>
          </cell>
          <cell r="BJ584">
            <v>0</v>
          </cell>
        </row>
        <row r="585">
          <cell r="D585" t="str">
            <v>Trnavská univerzita v Trnave</v>
          </cell>
          <cell r="E585" t="str">
            <v>Právnická fakulta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1</v>
          </cell>
          <cell r="BJ585">
            <v>0</v>
          </cell>
        </row>
        <row r="586">
          <cell r="D586" t="str">
            <v>Trnavská univerzita v Trnave</v>
          </cell>
          <cell r="E586" t="str">
            <v>Právnická fakulta</v>
          </cell>
          <cell r="AN586">
            <v>383</v>
          </cell>
          <cell r="AO586">
            <v>440</v>
          </cell>
          <cell r="AP586">
            <v>0</v>
          </cell>
          <cell r="AQ586">
            <v>0</v>
          </cell>
          <cell r="AR586">
            <v>383</v>
          </cell>
          <cell r="BF586">
            <v>329</v>
          </cell>
          <cell r="BG586">
            <v>329</v>
          </cell>
          <cell r="BH586">
            <v>326.21186440677968</v>
          </cell>
          <cell r="BI586">
            <v>440</v>
          </cell>
          <cell r="BJ586">
            <v>0</v>
          </cell>
        </row>
        <row r="587">
          <cell r="D587" t="str">
            <v>Trnavská univerzita v Trnave</v>
          </cell>
          <cell r="E587" t="str">
            <v>Právnická fakulta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1</v>
          </cell>
          <cell r="BJ587">
            <v>0</v>
          </cell>
        </row>
        <row r="588">
          <cell r="D588" t="str">
            <v>Trnavská univerzita v Trnave</v>
          </cell>
          <cell r="E588" t="str">
            <v>Filozofická fakulta</v>
          </cell>
          <cell r="AN588">
            <v>16</v>
          </cell>
          <cell r="AO588">
            <v>23</v>
          </cell>
          <cell r="AP588">
            <v>0</v>
          </cell>
          <cell r="AQ588">
            <v>0</v>
          </cell>
          <cell r="AR588">
            <v>16</v>
          </cell>
          <cell r="BF588">
            <v>13.899999999999999</v>
          </cell>
          <cell r="BG588">
            <v>13.899999999999999</v>
          </cell>
          <cell r="BH588">
            <v>13.899999999999999</v>
          </cell>
          <cell r="BI588">
            <v>23</v>
          </cell>
          <cell r="BJ588">
            <v>0</v>
          </cell>
        </row>
        <row r="589">
          <cell r="D589" t="str">
            <v>Trnavská univerzita v Trnave</v>
          </cell>
          <cell r="E589" t="str">
            <v>Fakulta zdravotníctva a sociálnej práce</v>
          </cell>
          <cell r="AN589">
            <v>195</v>
          </cell>
          <cell r="AO589">
            <v>214</v>
          </cell>
          <cell r="AP589">
            <v>0</v>
          </cell>
          <cell r="AQ589">
            <v>0</v>
          </cell>
          <cell r="AR589">
            <v>195</v>
          </cell>
          <cell r="BF589">
            <v>172.2</v>
          </cell>
          <cell r="BG589">
            <v>254.85599999999997</v>
          </cell>
          <cell r="BH589">
            <v>238.41367741935483</v>
          </cell>
          <cell r="BI589">
            <v>214</v>
          </cell>
          <cell r="BJ589">
            <v>0</v>
          </cell>
        </row>
        <row r="590">
          <cell r="D590" t="str">
            <v>Trnavská univerzita v Trnave</v>
          </cell>
          <cell r="E590" t="str">
            <v>Fakulta zdravotníctva a sociálnej práce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</v>
          </cell>
          <cell r="BJ590">
            <v>0</v>
          </cell>
        </row>
        <row r="591">
          <cell r="D591" t="str">
            <v>Paneurópska vysoká škola</v>
          </cell>
          <cell r="E591" t="str">
            <v>Fakulta práva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5</v>
          </cell>
          <cell r="BJ591">
            <v>0</v>
          </cell>
        </row>
        <row r="592">
          <cell r="D592" t="str">
            <v>Paneurópska vysoká škola</v>
          </cell>
          <cell r="E592" t="str">
            <v>Fakulta psychológie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1</v>
          </cell>
          <cell r="BJ592">
            <v>0</v>
          </cell>
        </row>
        <row r="593">
          <cell r="D593" t="str">
            <v>Paneurópska vysoká škola</v>
          </cell>
          <cell r="E593" t="str">
            <v>Fakulta masmédií</v>
          </cell>
          <cell r="AN593">
            <v>1</v>
          </cell>
          <cell r="AO593">
            <v>168</v>
          </cell>
          <cell r="AP593">
            <v>0</v>
          </cell>
          <cell r="AQ593">
            <v>0</v>
          </cell>
          <cell r="AR593">
            <v>1</v>
          </cell>
          <cell r="BF593">
            <v>0.7</v>
          </cell>
          <cell r="BG593">
            <v>0.83299999999999996</v>
          </cell>
          <cell r="BH593">
            <v>0.83299999999999996</v>
          </cell>
          <cell r="BI593">
            <v>168</v>
          </cell>
          <cell r="BJ593">
            <v>0</v>
          </cell>
        </row>
        <row r="594">
          <cell r="D594" t="str">
            <v>Univerzita Pavla Jozefa Šafárika v Košiciach</v>
          </cell>
          <cell r="E594" t="str">
            <v>Lekárska fakulta</v>
          </cell>
          <cell r="AN594">
            <v>9</v>
          </cell>
          <cell r="AO594">
            <v>0</v>
          </cell>
          <cell r="AP594">
            <v>0</v>
          </cell>
          <cell r="AQ594">
            <v>0</v>
          </cell>
          <cell r="AR594">
            <v>9</v>
          </cell>
          <cell r="BF594">
            <v>27</v>
          </cell>
          <cell r="BG594">
            <v>92.070000000000007</v>
          </cell>
          <cell r="BH594">
            <v>92.070000000000007</v>
          </cell>
          <cell r="BI594">
            <v>9</v>
          </cell>
          <cell r="BJ594">
            <v>9</v>
          </cell>
        </row>
        <row r="595">
          <cell r="D595" t="str">
            <v>Univerzita Komenského v Bratislave</v>
          </cell>
          <cell r="E595" t="str">
            <v>Pedagogická fakulta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113</v>
          </cell>
          <cell r="BJ595">
            <v>0</v>
          </cell>
        </row>
        <row r="596">
          <cell r="D596" t="str">
            <v>Univerzita Komenského v Bratislave</v>
          </cell>
          <cell r="E596" t="str">
            <v>Pedagogická fakulta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6</v>
          </cell>
          <cell r="BJ596">
            <v>0</v>
          </cell>
        </row>
        <row r="597">
          <cell r="D597" t="str">
            <v>Univerzita Komenského v Bratislave</v>
          </cell>
          <cell r="E597" t="str">
            <v>Pedagogická fakulta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3.5</v>
          </cell>
          <cell r="BJ597">
            <v>0</v>
          </cell>
        </row>
        <row r="598">
          <cell r="D598" t="str">
            <v>Univerzita Komenského v Bratislave</v>
          </cell>
          <cell r="E598" t="str">
            <v>Pedagogická fakulta</v>
          </cell>
          <cell r="AN598">
            <v>39</v>
          </cell>
          <cell r="AO598">
            <v>43</v>
          </cell>
          <cell r="AP598">
            <v>0</v>
          </cell>
          <cell r="AQ598">
            <v>0</v>
          </cell>
          <cell r="AR598">
            <v>39</v>
          </cell>
          <cell r="BF598">
            <v>33.9</v>
          </cell>
          <cell r="BG598">
            <v>33.9</v>
          </cell>
          <cell r="BH598">
            <v>33.9</v>
          </cell>
          <cell r="BI598">
            <v>43</v>
          </cell>
          <cell r="BJ598">
            <v>0</v>
          </cell>
        </row>
        <row r="599">
          <cell r="D599" t="str">
            <v>Univerzita Komenského v Bratislave</v>
          </cell>
          <cell r="E599" t="str">
            <v>Pedagogická fakulta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6.5</v>
          </cell>
          <cell r="BJ599">
            <v>0</v>
          </cell>
        </row>
        <row r="600">
          <cell r="D600" t="str">
            <v>Univerzita Komenského v Bratislave</v>
          </cell>
          <cell r="E600" t="str">
            <v>Pedagogická fakulta</v>
          </cell>
          <cell r="AN600">
            <v>39</v>
          </cell>
          <cell r="AO600">
            <v>44.5</v>
          </cell>
          <cell r="AP600">
            <v>0</v>
          </cell>
          <cell r="AQ600">
            <v>0</v>
          </cell>
          <cell r="AR600">
            <v>39</v>
          </cell>
          <cell r="BF600">
            <v>33.6</v>
          </cell>
          <cell r="BG600">
            <v>36.624000000000002</v>
          </cell>
          <cell r="BH600">
            <v>34.644324324324323</v>
          </cell>
          <cell r="BI600">
            <v>44.5</v>
          </cell>
          <cell r="BJ600">
            <v>0</v>
          </cell>
        </row>
        <row r="601">
          <cell r="D601" t="str">
            <v>Univerzita Komenského v Bratislave</v>
          </cell>
          <cell r="E601" t="str">
            <v>Prírodovedecká fakulta</v>
          </cell>
          <cell r="AN601">
            <v>80</v>
          </cell>
          <cell r="AO601">
            <v>93.5</v>
          </cell>
          <cell r="AP601">
            <v>93.5</v>
          </cell>
          <cell r="AQ601">
            <v>80</v>
          </cell>
          <cell r="AR601">
            <v>80</v>
          </cell>
          <cell r="BF601">
            <v>68.150000000000006</v>
          </cell>
          <cell r="BG601">
            <v>98.13600000000001</v>
          </cell>
          <cell r="BH601">
            <v>98.13600000000001</v>
          </cell>
          <cell r="BI601">
            <v>93.5</v>
          </cell>
          <cell r="BJ601">
            <v>0</v>
          </cell>
        </row>
        <row r="602">
          <cell r="D602" t="str">
            <v>Univerzita Komenského v Bratislave</v>
          </cell>
          <cell r="E602" t="str">
            <v>Pedagogická fakulta</v>
          </cell>
          <cell r="AN602">
            <v>39</v>
          </cell>
          <cell r="AO602">
            <v>54</v>
          </cell>
          <cell r="AP602">
            <v>0</v>
          </cell>
          <cell r="AQ602">
            <v>0</v>
          </cell>
          <cell r="AR602">
            <v>39</v>
          </cell>
          <cell r="BF602">
            <v>32.4</v>
          </cell>
          <cell r="BG602">
            <v>35.316000000000003</v>
          </cell>
          <cell r="BH602">
            <v>32.105454545454549</v>
          </cell>
          <cell r="BI602">
            <v>54</v>
          </cell>
          <cell r="BJ602">
            <v>0</v>
          </cell>
        </row>
        <row r="603">
          <cell r="D603" t="str">
            <v>Vysoká škola Danubius</v>
          </cell>
          <cell r="E603" t="str">
            <v>Fakulta práva Janka Jesenského</v>
          </cell>
          <cell r="AN603">
            <v>9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9</v>
          </cell>
          <cell r="BJ603">
            <v>0</v>
          </cell>
        </row>
        <row r="604">
          <cell r="D604" t="str">
            <v>Univerzita Komenského v Bratislave</v>
          </cell>
          <cell r="E604" t="str">
            <v>Fakulta sociálnych a ekonomických vied</v>
          </cell>
          <cell r="AN604">
            <v>3</v>
          </cell>
          <cell r="AO604">
            <v>0</v>
          </cell>
          <cell r="AP604">
            <v>0</v>
          </cell>
          <cell r="AQ604">
            <v>0</v>
          </cell>
          <cell r="AR604">
            <v>3</v>
          </cell>
          <cell r="BF604">
            <v>12</v>
          </cell>
          <cell r="BG604">
            <v>13.200000000000001</v>
          </cell>
          <cell r="BH604">
            <v>13.200000000000001</v>
          </cell>
          <cell r="BI604">
            <v>4</v>
          </cell>
          <cell r="BJ604">
            <v>3</v>
          </cell>
        </row>
        <row r="605">
          <cell r="D605" t="str">
            <v>Hudobná a umelecká akadémia Jána Albrechta - Banská Štiavnica, s. r. o., odborná vysoká škola</v>
          </cell>
          <cell r="E605">
            <v>0</v>
          </cell>
          <cell r="AN605">
            <v>2</v>
          </cell>
          <cell r="AO605">
            <v>2</v>
          </cell>
          <cell r="AP605">
            <v>0</v>
          </cell>
          <cell r="AQ605">
            <v>0</v>
          </cell>
          <cell r="AR605">
            <v>2</v>
          </cell>
          <cell r="BF605">
            <v>3</v>
          </cell>
          <cell r="BG605">
            <v>9.69</v>
          </cell>
          <cell r="BH605">
            <v>9.69</v>
          </cell>
          <cell r="BI605">
            <v>2</v>
          </cell>
          <cell r="BJ605">
            <v>0</v>
          </cell>
        </row>
        <row r="606">
          <cell r="D606" t="str">
            <v>Vysoká škola výtvarných umení v Bratislave</v>
          </cell>
          <cell r="E606">
            <v>0</v>
          </cell>
          <cell r="AN606">
            <v>15</v>
          </cell>
          <cell r="AO606">
            <v>0</v>
          </cell>
          <cell r="AP606">
            <v>0</v>
          </cell>
          <cell r="AQ606">
            <v>0</v>
          </cell>
          <cell r="AR606">
            <v>15</v>
          </cell>
          <cell r="BF606">
            <v>60</v>
          </cell>
          <cell r="BG606">
            <v>66</v>
          </cell>
          <cell r="BH606">
            <v>66</v>
          </cell>
          <cell r="BI606">
            <v>17</v>
          </cell>
          <cell r="BJ606">
            <v>15</v>
          </cell>
        </row>
        <row r="607">
          <cell r="D607" t="str">
            <v>Vysoká škola výtvarných umení v Bratislave</v>
          </cell>
          <cell r="E607">
            <v>0</v>
          </cell>
          <cell r="AN607">
            <v>37</v>
          </cell>
          <cell r="AO607">
            <v>43</v>
          </cell>
          <cell r="AP607">
            <v>0</v>
          </cell>
          <cell r="AQ607">
            <v>0</v>
          </cell>
          <cell r="AR607">
            <v>37</v>
          </cell>
          <cell r="BF607">
            <v>34.299999999999997</v>
          </cell>
          <cell r="BG607">
            <v>110.78899999999999</v>
          </cell>
          <cell r="BH607">
            <v>110.78899999999999</v>
          </cell>
          <cell r="BI607">
            <v>43</v>
          </cell>
          <cell r="BJ607">
            <v>0</v>
          </cell>
        </row>
        <row r="608">
          <cell r="D608" t="str">
            <v>Vysoká škola výtvarných umení v Bratislave</v>
          </cell>
          <cell r="E608">
            <v>0</v>
          </cell>
          <cell r="AN608">
            <v>36</v>
          </cell>
          <cell r="AO608">
            <v>39</v>
          </cell>
          <cell r="AP608">
            <v>0</v>
          </cell>
          <cell r="AQ608">
            <v>0</v>
          </cell>
          <cell r="AR608">
            <v>36</v>
          </cell>
          <cell r="BF608">
            <v>33</v>
          </cell>
          <cell r="BG608">
            <v>106.59</v>
          </cell>
          <cell r="BH608">
            <v>106.59</v>
          </cell>
          <cell r="BI608">
            <v>39</v>
          </cell>
          <cell r="BJ608">
            <v>0</v>
          </cell>
        </row>
        <row r="609">
          <cell r="D609" t="str">
            <v>Vysoká škola výtvarných umení v Bratislave</v>
          </cell>
          <cell r="E609">
            <v>0</v>
          </cell>
          <cell r="AN609">
            <v>35</v>
          </cell>
          <cell r="AO609">
            <v>39</v>
          </cell>
          <cell r="AP609">
            <v>0</v>
          </cell>
          <cell r="AQ609">
            <v>0</v>
          </cell>
          <cell r="AR609">
            <v>35</v>
          </cell>
          <cell r="BF609">
            <v>32</v>
          </cell>
          <cell r="BG609">
            <v>103.36</v>
          </cell>
          <cell r="BH609">
            <v>103.36</v>
          </cell>
          <cell r="BI609">
            <v>39</v>
          </cell>
          <cell r="BJ609">
            <v>0</v>
          </cell>
        </row>
        <row r="610">
          <cell r="D610" t="str">
            <v>Vysoká škola výtvarných umení v Bratislave</v>
          </cell>
          <cell r="E610">
            <v>0</v>
          </cell>
          <cell r="AN610">
            <v>53</v>
          </cell>
          <cell r="AO610">
            <v>55</v>
          </cell>
          <cell r="AP610">
            <v>0</v>
          </cell>
          <cell r="AQ610">
            <v>0</v>
          </cell>
          <cell r="AR610">
            <v>53</v>
          </cell>
          <cell r="BF610">
            <v>49.1</v>
          </cell>
          <cell r="BG610">
            <v>158.59300000000002</v>
          </cell>
          <cell r="BH610">
            <v>138.76887500000001</v>
          </cell>
          <cell r="BI610">
            <v>55</v>
          </cell>
          <cell r="BJ610">
            <v>0</v>
          </cell>
        </row>
        <row r="611">
          <cell r="D611" t="str">
            <v>Technická univerzita v Košiciach</v>
          </cell>
          <cell r="E611" t="str">
            <v>Fakulta baníctva, ekológie, riadenia a geotechnológií</v>
          </cell>
          <cell r="AN611">
            <v>4</v>
          </cell>
          <cell r="AO611">
            <v>0</v>
          </cell>
          <cell r="AP611">
            <v>0</v>
          </cell>
          <cell r="AQ611">
            <v>4</v>
          </cell>
          <cell r="AR611">
            <v>4</v>
          </cell>
          <cell r="BF611">
            <v>16</v>
          </cell>
          <cell r="BG611">
            <v>34.08</v>
          </cell>
          <cell r="BH611">
            <v>34.08</v>
          </cell>
          <cell r="BI611">
            <v>5</v>
          </cell>
          <cell r="BJ611">
            <v>4</v>
          </cell>
        </row>
        <row r="612">
          <cell r="D612" t="str">
            <v>Technická univerzita v Košiciach</v>
          </cell>
          <cell r="E612" t="str">
            <v>Strojnícka fakulta</v>
          </cell>
          <cell r="AN612">
            <v>3</v>
          </cell>
          <cell r="AO612">
            <v>0</v>
          </cell>
          <cell r="AP612">
            <v>0</v>
          </cell>
          <cell r="AQ612">
            <v>3</v>
          </cell>
          <cell r="AR612">
            <v>3</v>
          </cell>
          <cell r="BF612">
            <v>9</v>
          </cell>
          <cell r="BG612">
            <v>19.169999999999998</v>
          </cell>
          <cell r="BH612">
            <v>19.169999999999998</v>
          </cell>
          <cell r="BI612">
            <v>4</v>
          </cell>
          <cell r="BJ612">
            <v>3</v>
          </cell>
        </row>
        <row r="613">
          <cell r="D613" t="str">
            <v>Technická univerzita v Košiciach</v>
          </cell>
          <cell r="E613" t="str">
            <v>Strojnícka fakulta</v>
          </cell>
          <cell r="AN613">
            <v>9</v>
          </cell>
          <cell r="AO613">
            <v>0</v>
          </cell>
          <cell r="AP613">
            <v>0</v>
          </cell>
          <cell r="AQ613">
            <v>9</v>
          </cell>
          <cell r="AR613">
            <v>9</v>
          </cell>
          <cell r="BF613">
            <v>27</v>
          </cell>
          <cell r="BG613">
            <v>57.51</v>
          </cell>
          <cell r="BH613">
            <v>57.51</v>
          </cell>
          <cell r="BI613">
            <v>10</v>
          </cell>
          <cell r="BJ613">
            <v>9</v>
          </cell>
        </row>
        <row r="614">
          <cell r="D614" t="str">
            <v>Technická univerzita v Košiciach</v>
          </cell>
          <cell r="E614" t="str">
            <v>Strojnícka fakulta</v>
          </cell>
          <cell r="AN614">
            <v>9</v>
          </cell>
          <cell r="AO614">
            <v>0</v>
          </cell>
          <cell r="AP614">
            <v>0</v>
          </cell>
          <cell r="AQ614">
            <v>9</v>
          </cell>
          <cell r="AR614">
            <v>9</v>
          </cell>
          <cell r="BF614">
            <v>27</v>
          </cell>
          <cell r="BG614">
            <v>57.51</v>
          </cell>
          <cell r="BH614">
            <v>57.51</v>
          </cell>
          <cell r="BI614">
            <v>10</v>
          </cell>
          <cell r="BJ614">
            <v>9</v>
          </cell>
        </row>
        <row r="615">
          <cell r="D615" t="str">
            <v>Technická univerzita v Košiciach</v>
          </cell>
          <cell r="E615" t="str">
            <v>Strojnícka fakulta</v>
          </cell>
          <cell r="AN615">
            <v>3</v>
          </cell>
          <cell r="AO615">
            <v>0</v>
          </cell>
          <cell r="AP615">
            <v>0</v>
          </cell>
          <cell r="AQ615">
            <v>3</v>
          </cell>
          <cell r="AR615">
            <v>3</v>
          </cell>
          <cell r="BF615">
            <v>9</v>
          </cell>
          <cell r="BG615">
            <v>19.169999999999998</v>
          </cell>
          <cell r="BH615">
            <v>19.169999999999998</v>
          </cell>
          <cell r="BI615">
            <v>3</v>
          </cell>
          <cell r="BJ615">
            <v>3</v>
          </cell>
        </row>
        <row r="616">
          <cell r="D616" t="str">
            <v>Technická univerzita v Košiciach</v>
          </cell>
          <cell r="E616" t="str">
            <v>Stavebná fakulta</v>
          </cell>
          <cell r="AN616">
            <v>273</v>
          </cell>
          <cell r="AO616">
            <v>290</v>
          </cell>
          <cell r="AP616">
            <v>290</v>
          </cell>
          <cell r="AQ616">
            <v>273</v>
          </cell>
          <cell r="AR616">
            <v>273</v>
          </cell>
          <cell r="BF616">
            <v>231.6</v>
          </cell>
          <cell r="BG616">
            <v>342.76799999999997</v>
          </cell>
          <cell r="BH616">
            <v>342.76799999999997</v>
          </cell>
          <cell r="BI616">
            <v>290</v>
          </cell>
          <cell r="BJ616">
            <v>0</v>
          </cell>
        </row>
        <row r="617">
          <cell r="D617" t="str">
            <v>Technická univerzita v Košiciach</v>
          </cell>
          <cell r="E617" t="str">
            <v>Fakulta materiálov, metalurgie a recyklácie</v>
          </cell>
          <cell r="AN617">
            <v>12</v>
          </cell>
          <cell r="AO617">
            <v>0</v>
          </cell>
          <cell r="AP617">
            <v>0</v>
          </cell>
          <cell r="AQ617">
            <v>12</v>
          </cell>
          <cell r="AR617">
            <v>12</v>
          </cell>
          <cell r="BF617">
            <v>36</v>
          </cell>
          <cell r="BG617">
            <v>76.679999999999993</v>
          </cell>
          <cell r="BH617">
            <v>76.679999999999993</v>
          </cell>
          <cell r="BI617">
            <v>13</v>
          </cell>
          <cell r="BJ617">
            <v>12</v>
          </cell>
        </row>
        <row r="618">
          <cell r="D618" t="str">
            <v>Technická univerzita v Košiciach</v>
          </cell>
          <cell r="E618" t="str">
            <v>Fakulta materiálov, metalurgie a recyklácie</v>
          </cell>
          <cell r="AN618">
            <v>12</v>
          </cell>
          <cell r="AO618">
            <v>0</v>
          </cell>
          <cell r="AP618">
            <v>0</v>
          </cell>
          <cell r="AQ618">
            <v>12</v>
          </cell>
          <cell r="AR618">
            <v>12</v>
          </cell>
          <cell r="BF618">
            <v>36</v>
          </cell>
          <cell r="BG618">
            <v>76.679999999999993</v>
          </cell>
          <cell r="BH618">
            <v>76.679999999999993</v>
          </cell>
          <cell r="BI618">
            <v>12</v>
          </cell>
          <cell r="BJ618">
            <v>12</v>
          </cell>
        </row>
        <row r="619">
          <cell r="D619" t="str">
            <v>Technická univerzita v Košiciach</v>
          </cell>
          <cell r="E619" t="str">
            <v>Fakulta elektrotechniky a informatiky</v>
          </cell>
          <cell r="AN619">
            <v>14</v>
          </cell>
          <cell r="AO619">
            <v>0</v>
          </cell>
          <cell r="AP619">
            <v>0</v>
          </cell>
          <cell r="AQ619">
            <v>14</v>
          </cell>
          <cell r="AR619">
            <v>14</v>
          </cell>
          <cell r="BF619">
            <v>42</v>
          </cell>
          <cell r="BG619">
            <v>89.46</v>
          </cell>
          <cell r="BH619">
            <v>89.46</v>
          </cell>
          <cell r="BI619">
            <v>15</v>
          </cell>
          <cell r="BJ619">
            <v>14</v>
          </cell>
        </row>
        <row r="620">
          <cell r="D620" t="str">
            <v>Technická univerzita v Košiciach</v>
          </cell>
          <cell r="E620" t="str">
            <v>Fakulta elektrotechniky a informatiky</v>
          </cell>
          <cell r="AN620">
            <v>0</v>
          </cell>
          <cell r="AO620">
            <v>1</v>
          </cell>
          <cell r="AP620">
            <v>1</v>
          </cell>
          <cell r="AQ620">
            <v>0</v>
          </cell>
          <cell r="AR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1</v>
          </cell>
          <cell r="BJ620">
            <v>0</v>
          </cell>
        </row>
        <row r="621">
          <cell r="D621" t="str">
            <v>Technická univerzita v Košiciach</v>
          </cell>
          <cell r="E621" t="str">
            <v>Fakulta elektrotechniky a informatiky</v>
          </cell>
          <cell r="AN621">
            <v>153</v>
          </cell>
          <cell r="AO621">
            <v>177</v>
          </cell>
          <cell r="AP621">
            <v>177</v>
          </cell>
          <cell r="AQ621">
            <v>153</v>
          </cell>
          <cell r="AR621">
            <v>153</v>
          </cell>
          <cell r="BF621">
            <v>133.80000000000001</v>
          </cell>
          <cell r="BG621">
            <v>198.024</v>
          </cell>
          <cell r="BH621">
            <v>198.024</v>
          </cell>
          <cell r="BI621">
            <v>177</v>
          </cell>
          <cell r="BJ621">
            <v>0</v>
          </cell>
        </row>
        <row r="622">
          <cell r="D622" t="str">
            <v>Univerzita Konštantína Filozofa v Nitre</v>
          </cell>
          <cell r="E622" t="str">
            <v>Pedagogická fakulta</v>
          </cell>
          <cell r="AN622">
            <v>35</v>
          </cell>
          <cell r="AO622">
            <v>49</v>
          </cell>
          <cell r="AP622">
            <v>0</v>
          </cell>
          <cell r="AQ622">
            <v>0</v>
          </cell>
          <cell r="AR622">
            <v>35</v>
          </cell>
          <cell r="BF622">
            <v>29.299999999999997</v>
          </cell>
          <cell r="BG622">
            <v>30.471999999999998</v>
          </cell>
          <cell r="BH622">
            <v>26.662999999999997</v>
          </cell>
          <cell r="BI622">
            <v>49</v>
          </cell>
          <cell r="BJ622">
            <v>0</v>
          </cell>
        </row>
        <row r="623">
          <cell r="D623" t="str">
            <v>Ekonomická univerzita v Bratislave</v>
          </cell>
          <cell r="E623" t="str">
            <v>Fakulta podnikového manažmentu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15</v>
          </cell>
          <cell r="BJ623">
            <v>0</v>
          </cell>
        </row>
        <row r="624">
          <cell r="D624" t="str">
            <v>Ekonomická univerzita v Bratislave</v>
          </cell>
          <cell r="E624" t="str">
            <v>Národohospodárska fakulta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22</v>
          </cell>
          <cell r="BJ624">
            <v>0</v>
          </cell>
        </row>
        <row r="625">
          <cell r="D625" t="str">
            <v>Ekonomická univerzita v Bratislave</v>
          </cell>
          <cell r="E625" t="str">
            <v>Obchodná fakulta</v>
          </cell>
          <cell r="AN625">
            <v>186</v>
          </cell>
          <cell r="AO625">
            <v>203</v>
          </cell>
          <cell r="AP625">
            <v>0</v>
          </cell>
          <cell r="AQ625">
            <v>0</v>
          </cell>
          <cell r="AR625">
            <v>186</v>
          </cell>
          <cell r="BF625">
            <v>163.19999999999999</v>
          </cell>
          <cell r="BG625">
            <v>169.72799999999998</v>
          </cell>
          <cell r="BH625">
            <v>169.72799999999998</v>
          </cell>
          <cell r="BI625">
            <v>203</v>
          </cell>
          <cell r="BJ625">
            <v>0</v>
          </cell>
        </row>
        <row r="626">
          <cell r="D626" t="str">
            <v>Ekonomická univerzita v Bratislave</v>
          </cell>
          <cell r="E626" t="str">
            <v>Obchodná fakulta</v>
          </cell>
          <cell r="AN626">
            <v>272</v>
          </cell>
          <cell r="AO626">
            <v>287</v>
          </cell>
          <cell r="AP626">
            <v>0</v>
          </cell>
          <cell r="AQ626">
            <v>0</v>
          </cell>
          <cell r="AR626">
            <v>272</v>
          </cell>
          <cell r="BF626">
            <v>228.8</v>
          </cell>
          <cell r="BG626">
            <v>237.95200000000003</v>
          </cell>
          <cell r="BH626">
            <v>237.95200000000003</v>
          </cell>
          <cell r="BI626">
            <v>287</v>
          </cell>
          <cell r="BJ626">
            <v>0</v>
          </cell>
        </row>
        <row r="627">
          <cell r="D627" t="str">
            <v>Ekonomická univerzita v Bratislave</v>
          </cell>
          <cell r="E627" t="str">
            <v>Národohospodárska fakulta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6</v>
          </cell>
          <cell r="BJ627">
            <v>0</v>
          </cell>
        </row>
        <row r="628">
          <cell r="D628" t="str">
            <v>Slovenská poľnohospodárska univerzita v Nitre</v>
          </cell>
          <cell r="E628" t="str">
            <v>Fakulta biotechnológie a potravinárstva</v>
          </cell>
          <cell r="AN628">
            <v>7</v>
          </cell>
          <cell r="AO628">
            <v>0</v>
          </cell>
          <cell r="AP628">
            <v>0</v>
          </cell>
          <cell r="AQ628">
            <v>7</v>
          </cell>
          <cell r="AR628">
            <v>7</v>
          </cell>
          <cell r="BF628">
            <v>21</v>
          </cell>
          <cell r="BG628">
            <v>44.73</v>
          </cell>
          <cell r="BH628">
            <v>44.73</v>
          </cell>
          <cell r="BI628">
            <v>7</v>
          </cell>
          <cell r="BJ628">
            <v>7</v>
          </cell>
        </row>
        <row r="629">
          <cell r="D629" t="str">
            <v>Slovenská poľnohospodárska univerzita v Nitre</v>
          </cell>
          <cell r="E629" t="str">
            <v>Fakulta biotechnológie a potravinárstva</v>
          </cell>
          <cell r="AN629">
            <v>26</v>
          </cell>
          <cell r="AO629">
            <v>38</v>
          </cell>
          <cell r="AP629">
            <v>38</v>
          </cell>
          <cell r="AQ629">
            <v>26</v>
          </cell>
          <cell r="AR629">
            <v>26</v>
          </cell>
          <cell r="BF629">
            <v>24.5</v>
          </cell>
          <cell r="BG629">
            <v>36.26</v>
          </cell>
          <cell r="BH629">
            <v>36.26</v>
          </cell>
          <cell r="BI629">
            <v>38</v>
          </cell>
          <cell r="BJ629">
            <v>0</v>
          </cell>
        </row>
        <row r="630">
          <cell r="D630" t="str">
            <v>Slovenská technická univerzita v Bratislave</v>
          </cell>
          <cell r="E630" t="str">
            <v>Fakulta informatiky a informačných technológií</v>
          </cell>
          <cell r="AN630">
            <v>11</v>
          </cell>
          <cell r="AO630">
            <v>22</v>
          </cell>
          <cell r="AP630">
            <v>22</v>
          </cell>
          <cell r="AQ630">
            <v>11</v>
          </cell>
          <cell r="AR630">
            <v>11</v>
          </cell>
          <cell r="BF630">
            <v>11</v>
          </cell>
          <cell r="BG630">
            <v>16.28</v>
          </cell>
          <cell r="BH630">
            <v>16.28</v>
          </cell>
          <cell r="BI630">
            <v>22</v>
          </cell>
          <cell r="BJ630">
            <v>0</v>
          </cell>
        </row>
        <row r="631">
          <cell r="D631" t="str">
            <v>Slovenská technická univerzita v Bratislave</v>
          </cell>
          <cell r="E631" t="str">
            <v>Fakulta informatiky a informačných technológií</v>
          </cell>
          <cell r="AN631">
            <v>19</v>
          </cell>
          <cell r="AO631">
            <v>21</v>
          </cell>
          <cell r="AP631">
            <v>21</v>
          </cell>
          <cell r="AQ631">
            <v>19</v>
          </cell>
          <cell r="AR631">
            <v>19</v>
          </cell>
          <cell r="BF631">
            <v>19</v>
          </cell>
          <cell r="BG631">
            <v>28.12</v>
          </cell>
          <cell r="BH631">
            <v>28.12</v>
          </cell>
          <cell r="BI631">
            <v>21</v>
          </cell>
          <cell r="BJ631">
            <v>0</v>
          </cell>
        </row>
        <row r="632">
          <cell r="D632" t="str">
            <v>Univerzita Mateja Bela v Banskej Bystrici</v>
          </cell>
          <cell r="E632" t="str">
            <v>Fakulta politických vied a medzinárodných vzťahov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12</v>
          </cell>
          <cell r="BJ632">
            <v>0</v>
          </cell>
        </row>
        <row r="633">
          <cell r="D633" t="str">
            <v>Univerzita Mateja Bela v Banskej Bystrici</v>
          </cell>
          <cell r="E633" t="str">
            <v>Pedagogická fakulta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16</v>
          </cell>
          <cell r="BJ633">
            <v>0</v>
          </cell>
        </row>
        <row r="634">
          <cell r="D634" t="str">
            <v>Univerzita Mateja Bela v Banskej Bystrici</v>
          </cell>
          <cell r="E634" t="str">
            <v>Fakulta prírodných vied</v>
          </cell>
          <cell r="AN634">
            <v>54</v>
          </cell>
          <cell r="AO634">
            <v>65</v>
          </cell>
          <cell r="AP634">
            <v>65</v>
          </cell>
          <cell r="AQ634">
            <v>54</v>
          </cell>
          <cell r="AR634">
            <v>54</v>
          </cell>
          <cell r="BF634">
            <v>44.4</v>
          </cell>
          <cell r="BG634">
            <v>65.712000000000003</v>
          </cell>
          <cell r="BH634">
            <v>65.712000000000003</v>
          </cell>
          <cell r="BI634">
            <v>65</v>
          </cell>
          <cell r="BJ634">
            <v>0</v>
          </cell>
        </row>
        <row r="635">
          <cell r="D635" t="str">
            <v>Univerzita Mateja Bela v Banskej Bystrici</v>
          </cell>
          <cell r="E635" t="str">
            <v>Fakulta prírodných vied</v>
          </cell>
          <cell r="AN635">
            <v>0</v>
          </cell>
          <cell r="AO635">
            <v>1</v>
          </cell>
          <cell r="AP635">
            <v>1</v>
          </cell>
          <cell r="AQ635">
            <v>0</v>
          </cell>
          <cell r="AR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1</v>
          </cell>
          <cell r="BJ635">
            <v>0</v>
          </cell>
        </row>
        <row r="636">
          <cell r="D636" t="str">
            <v>Univerzita Mateja Bela v Banskej Bystrici</v>
          </cell>
          <cell r="E636" t="str">
            <v>Ekonomická fakulta</v>
          </cell>
          <cell r="AN636">
            <v>5</v>
          </cell>
          <cell r="AO636">
            <v>0</v>
          </cell>
          <cell r="AP636">
            <v>0</v>
          </cell>
          <cell r="AQ636">
            <v>0</v>
          </cell>
          <cell r="AR636">
            <v>5</v>
          </cell>
          <cell r="BF636">
            <v>20</v>
          </cell>
          <cell r="BG636">
            <v>22</v>
          </cell>
          <cell r="BH636">
            <v>22</v>
          </cell>
          <cell r="BI636">
            <v>7</v>
          </cell>
          <cell r="BJ636">
            <v>5</v>
          </cell>
        </row>
        <row r="637">
          <cell r="D637" t="str">
            <v>Univerzita Mateja Bela v Banskej Bystrici</v>
          </cell>
          <cell r="E637" t="str">
            <v>Ekonomická fakulta</v>
          </cell>
          <cell r="AN637">
            <v>28</v>
          </cell>
          <cell r="AO637">
            <v>29</v>
          </cell>
          <cell r="AP637">
            <v>0</v>
          </cell>
          <cell r="AQ637">
            <v>0</v>
          </cell>
          <cell r="AR637">
            <v>28</v>
          </cell>
          <cell r="BF637">
            <v>23.799999999999997</v>
          </cell>
          <cell r="BG637">
            <v>24.751999999999999</v>
          </cell>
          <cell r="BH637">
            <v>24.751999999999999</v>
          </cell>
          <cell r="BI637">
            <v>29</v>
          </cell>
          <cell r="BJ637">
            <v>0</v>
          </cell>
        </row>
        <row r="638">
          <cell r="D638" t="str">
            <v>Univerzita Konštantína Filozofa v Nitre</v>
          </cell>
          <cell r="E638" t="str">
            <v>Fakulta prírodných vied</v>
          </cell>
          <cell r="AN638">
            <v>11</v>
          </cell>
          <cell r="AO638">
            <v>13</v>
          </cell>
          <cell r="AP638">
            <v>13</v>
          </cell>
          <cell r="AQ638">
            <v>11</v>
          </cell>
          <cell r="AR638">
            <v>11</v>
          </cell>
          <cell r="BF638">
            <v>8.8999999999999986</v>
          </cell>
          <cell r="BG638">
            <v>11.747999999999999</v>
          </cell>
          <cell r="BH638">
            <v>11.543686956521737</v>
          </cell>
          <cell r="BI638">
            <v>13</v>
          </cell>
          <cell r="BJ638">
            <v>0</v>
          </cell>
        </row>
        <row r="639">
          <cell r="D639" t="str">
            <v>Vysoká škola manažmentu</v>
          </cell>
          <cell r="E639">
            <v>0</v>
          </cell>
          <cell r="AN639">
            <v>182</v>
          </cell>
          <cell r="AO639">
            <v>182</v>
          </cell>
          <cell r="AP639">
            <v>0</v>
          </cell>
          <cell r="AQ639">
            <v>0</v>
          </cell>
          <cell r="AR639">
            <v>182</v>
          </cell>
          <cell r="BF639">
            <v>170.9</v>
          </cell>
          <cell r="BG639">
            <v>177.73600000000002</v>
          </cell>
          <cell r="BH639">
            <v>177.73600000000002</v>
          </cell>
          <cell r="BI639">
            <v>182</v>
          </cell>
          <cell r="BJ639">
            <v>0</v>
          </cell>
        </row>
        <row r="640">
          <cell r="D640" t="str">
            <v>Univerzita Pavla Jozefa Šafárika v Košiciach</v>
          </cell>
          <cell r="E640" t="str">
            <v>Filozofická fakulta</v>
          </cell>
          <cell r="AN640">
            <v>7</v>
          </cell>
          <cell r="AO640">
            <v>0</v>
          </cell>
          <cell r="AP640">
            <v>0</v>
          </cell>
          <cell r="AQ640">
            <v>0</v>
          </cell>
          <cell r="AR640">
            <v>7</v>
          </cell>
          <cell r="BF640">
            <v>21</v>
          </cell>
          <cell r="BG640">
            <v>23.1</v>
          </cell>
          <cell r="BH640">
            <v>23.1</v>
          </cell>
          <cell r="BI640">
            <v>7</v>
          </cell>
          <cell r="BJ640">
            <v>7</v>
          </cell>
        </row>
        <row r="641">
          <cell r="D641" t="str">
            <v>Vysoká škola múzických umení v Bratislave</v>
          </cell>
          <cell r="E641" t="str">
            <v>Divadelná fakulta</v>
          </cell>
          <cell r="AN641">
            <v>9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9</v>
          </cell>
          <cell r="BJ641">
            <v>0</v>
          </cell>
        </row>
        <row r="642">
          <cell r="D642" t="str">
            <v>Vysoká škola múzických umení v Bratislave</v>
          </cell>
          <cell r="E642" t="str">
            <v>Divadelná fakulta</v>
          </cell>
          <cell r="AN642">
            <v>1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5</v>
          </cell>
          <cell r="BJ642">
            <v>0</v>
          </cell>
        </row>
        <row r="643">
          <cell r="D643" t="str">
            <v>Vysoká škola múzických umení v Bratislave</v>
          </cell>
          <cell r="E643" t="str">
            <v>Hudobná a tanečná fakulta</v>
          </cell>
          <cell r="AN643">
            <v>1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2</v>
          </cell>
          <cell r="BJ643">
            <v>0</v>
          </cell>
        </row>
        <row r="644">
          <cell r="D644" t="str">
            <v>Vysoká škola múzických umení v Bratislave</v>
          </cell>
          <cell r="E644" t="str">
            <v>Filmová a televízna fakulta</v>
          </cell>
          <cell r="AN644">
            <v>34</v>
          </cell>
          <cell r="AO644">
            <v>40</v>
          </cell>
          <cell r="AP644">
            <v>0</v>
          </cell>
          <cell r="AQ644">
            <v>0</v>
          </cell>
          <cell r="AR644">
            <v>34</v>
          </cell>
          <cell r="BF644">
            <v>51</v>
          </cell>
          <cell r="BG644">
            <v>164.73</v>
          </cell>
          <cell r="BH644">
            <v>164.73</v>
          </cell>
          <cell r="BI644">
            <v>40</v>
          </cell>
          <cell r="BJ644">
            <v>0</v>
          </cell>
        </row>
        <row r="645">
          <cell r="D645" t="str">
            <v>Vysoká škola múzických umení v Bratislave</v>
          </cell>
          <cell r="E645" t="str">
            <v>Filmová a televízna fakulta</v>
          </cell>
          <cell r="AN645">
            <v>19</v>
          </cell>
          <cell r="AO645">
            <v>22</v>
          </cell>
          <cell r="AP645">
            <v>0</v>
          </cell>
          <cell r="AQ645">
            <v>0</v>
          </cell>
          <cell r="AR645">
            <v>19</v>
          </cell>
          <cell r="BF645">
            <v>17.2</v>
          </cell>
          <cell r="BG645">
            <v>55.555999999999997</v>
          </cell>
          <cell r="BH645">
            <v>55.555999999999997</v>
          </cell>
          <cell r="BI645">
            <v>22</v>
          </cell>
          <cell r="BJ645">
            <v>0</v>
          </cell>
        </row>
        <row r="646">
          <cell r="D646" t="str">
            <v>Vysoká škola múzických umení v Bratislave</v>
          </cell>
          <cell r="E646" t="str">
            <v>Filmová a televízna fakulta</v>
          </cell>
          <cell r="AN646">
            <v>42</v>
          </cell>
          <cell r="AO646">
            <v>46</v>
          </cell>
          <cell r="AP646">
            <v>0</v>
          </cell>
          <cell r="AQ646">
            <v>0</v>
          </cell>
          <cell r="AR646">
            <v>42</v>
          </cell>
          <cell r="BF646">
            <v>38.1</v>
          </cell>
          <cell r="BG646">
            <v>123.063</v>
          </cell>
          <cell r="BH646">
            <v>123.063</v>
          </cell>
          <cell r="BI646">
            <v>46</v>
          </cell>
          <cell r="BJ646">
            <v>0</v>
          </cell>
        </row>
        <row r="647">
          <cell r="D647" t="str">
            <v>Univerzita Pavla Jozefa Šafárika v Košiciach</v>
          </cell>
          <cell r="E647" t="str">
            <v>Filozofická fakulta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5</v>
          </cell>
          <cell r="BJ647">
            <v>0</v>
          </cell>
        </row>
        <row r="648">
          <cell r="D648" t="str">
            <v>Univerzita sv. Cyrila a Metoda v Trnave</v>
          </cell>
          <cell r="E648" t="str">
            <v>Fakulta prírodných vied</v>
          </cell>
          <cell r="AN648">
            <v>8</v>
          </cell>
          <cell r="AO648">
            <v>0</v>
          </cell>
          <cell r="AP648">
            <v>0</v>
          </cell>
          <cell r="AQ648">
            <v>8</v>
          </cell>
          <cell r="AR648">
            <v>8</v>
          </cell>
          <cell r="BF648">
            <v>24</v>
          </cell>
          <cell r="BG648">
            <v>51.12</v>
          </cell>
          <cell r="BH648">
            <v>51.12</v>
          </cell>
          <cell r="BI648">
            <v>9</v>
          </cell>
          <cell r="BJ648">
            <v>8</v>
          </cell>
        </row>
        <row r="649">
          <cell r="D649" t="str">
            <v>Univerzita sv. Cyrila a Metoda v Trnave</v>
          </cell>
          <cell r="E649" t="str">
            <v>Filozofická fakulta</v>
          </cell>
          <cell r="AN649">
            <v>29</v>
          </cell>
          <cell r="AO649">
            <v>35</v>
          </cell>
          <cell r="AP649">
            <v>0</v>
          </cell>
          <cell r="AQ649">
            <v>0</v>
          </cell>
          <cell r="AR649">
            <v>29</v>
          </cell>
          <cell r="BF649">
            <v>24.799999999999997</v>
          </cell>
          <cell r="BG649">
            <v>25.791999999999998</v>
          </cell>
          <cell r="BH649">
            <v>25.791999999999998</v>
          </cell>
          <cell r="BI649">
            <v>35</v>
          </cell>
          <cell r="BJ649">
            <v>0</v>
          </cell>
        </row>
        <row r="650">
          <cell r="D650" t="str">
            <v>Univerzita sv. Cyrila a Metoda v Trnave</v>
          </cell>
          <cell r="E650" t="str">
            <v>Filozofická fakulta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38</v>
          </cell>
          <cell r="BJ650">
            <v>0</v>
          </cell>
        </row>
        <row r="651">
          <cell r="D651" t="str">
            <v>Univerzita sv. Cyrila a Metoda v Trnave</v>
          </cell>
          <cell r="E651" t="str">
            <v>Filozofická fakulta</v>
          </cell>
          <cell r="AN651">
            <v>12</v>
          </cell>
          <cell r="AO651">
            <v>17</v>
          </cell>
          <cell r="AP651">
            <v>0</v>
          </cell>
          <cell r="AQ651">
            <v>0</v>
          </cell>
          <cell r="AR651">
            <v>12</v>
          </cell>
          <cell r="BF651">
            <v>10.050000000000001</v>
          </cell>
          <cell r="BG651">
            <v>10.954500000000001</v>
          </cell>
          <cell r="BH651">
            <v>10.954500000000001</v>
          </cell>
          <cell r="BI651">
            <v>17</v>
          </cell>
          <cell r="BJ651">
            <v>0</v>
          </cell>
        </row>
        <row r="652">
          <cell r="D652" t="str">
            <v>Univerzita sv. Cyrila a Metoda v Trnave</v>
          </cell>
          <cell r="E652" t="str">
            <v>Filozofická fakulta</v>
          </cell>
          <cell r="AN652">
            <v>0</v>
          </cell>
          <cell r="AO652">
            <v>0.5</v>
          </cell>
          <cell r="AP652">
            <v>0</v>
          </cell>
          <cell r="AQ652">
            <v>0</v>
          </cell>
          <cell r="AR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0.5</v>
          </cell>
          <cell r="BJ652">
            <v>0</v>
          </cell>
        </row>
        <row r="653">
          <cell r="D653" t="str">
            <v>Univerzita sv. Cyrila a Metoda v Trnave</v>
          </cell>
          <cell r="E653" t="str">
            <v>Filozofická fakulta</v>
          </cell>
          <cell r="AN653">
            <v>116</v>
          </cell>
          <cell r="AO653">
            <v>149</v>
          </cell>
          <cell r="AP653">
            <v>0</v>
          </cell>
          <cell r="AQ653">
            <v>0</v>
          </cell>
          <cell r="AR653">
            <v>116</v>
          </cell>
          <cell r="BF653">
            <v>101</v>
          </cell>
          <cell r="BG653">
            <v>105.04</v>
          </cell>
          <cell r="BH653">
            <v>101.95058823529412</v>
          </cell>
          <cell r="BI653">
            <v>149</v>
          </cell>
          <cell r="BJ653">
            <v>0</v>
          </cell>
        </row>
        <row r="654">
          <cell r="D654" t="str">
            <v>Univerzita sv. Cyrila a Metoda v Trnave</v>
          </cell>
          <cell r="E654" t="str">
            <v>Filozofická fakulta</v>
          </cell>
          <cell r="AN654">
            <v>159</v>
          </cell>
          <cell r="AO654">
            <v>183</v>
          </cell>
          <cell r="AP654">
            <v>0</v>
          </cell>
          <cell r="AQ654">
            <v>0</v>
          </cell>
          <cell r="AR654">
            <v>159</v>
          </cell>
          <cell r="BF654">
            <v>134.4</v>
          </cell>
          <cell r="BG654">
            <v>134.4</v>
          </cell>
          <cell r="BH654">
            <v>131.04</v>
          </cell>
          <cell r="BI654">
            <v>183</v>
          </cell>
          <cell r="BJ654">
            <v>0</v>
          </cell>
        </row>
        <row r="655">
          <cell r="D655" t="str">
            <v>Univerzita sv. Cyrila a Metoda v Trnave</v>
          </cell>
          <cell r="E655" t="str">
            <v>Fakulta masmediálnej komunikácie</v>
          </cell>
          <cell r="AN655">
            <v>423</v>
          </cell>
          <cell r="AO655">
            <v>476</v>
          </cell>
          <cell r="AP655">
            <v>0</v>
          </cell>
          <cell r="AQ655">
            <v>0</v>
          </cell>
          <cell r="AR655">
            <v>423</v>
          </cell>
          <cell r="BF655">
            <v>370.5</v>
          </cell>
          <cell r="BG655">
            <v>440.89499999999998</v>
          </cell>
          <cell r="BH655">
            <v>416.97046511627906</v>
          </cell>
          <cell r="BI655">
            <v>476</v>
          </cell>
          <cell r="BJ655">
            <v>0</v>
          </cell>
        </row>
        <row r="656">
          <cell r="D656" t="str">
            <v>Univerzita sv. Cyrila a Metoda v Trnave</v>
          </cell>
          <cell r="E656" t="str">
            <v>Fakulta masmediálnej komunikácie</v>
          </cell>
          <cell r="AN656">
            <v>519</v>
          </cell>
          <cell r="AO656">
            <v>577</v>
          </cell>
          <cell r="AP656">
            <v>0</v>
          </cell>
          <cell r="AQ656">
            <v>0</v>
          </cell>
          <cell r="AR656">
            <v>519</v>
          </cell>
          <cell r="BF656">
            <v>468.9</v>
          </cell>
          <cell r="BG656">
            <v>557.99099999999999</v>
          </cell>
          <cell r="BH656">
            <v>544.54543373493982</v>
          </cell>
          <cell r="BI656">
            <v>577</v>
          </cell>
          <cell r="BJ656">
            <v>0</v>
          </cell>
        </row>
        <row r="657">
          <cell r="D657" t="str">
            <v>Univerzita sv. Cyrila a Metoda v Trnave</v>
          </cell>
          <cell r="E657" t="str">
            <v>Fakulta sociálnych vied</v>
          </cell>
          <cell r="AN657">
            <v>90</v>
          </cell>
          <cell r="AO657">
            <v>108</v>
          </cell>
          <cell r="AP657">
            <v>0</v>
          </cell>
          <cell r="AQ657">
            <v>0</v>
          </cell>
          <cell r="AR657">
            <v>90</v>
          </cell>
          <cell r="BF657">
            <v>78.599999999999994</v>
          </cell>
          <cell r="BG657">
            <v>78.599999999999994</v>
          </cell>
          <cell r="BH657">
            <v>78.599999999999994</v>
          </cell>
          <cell r="BI657">
            <v>108</v>
          </cell>
          <cell r="BJ657">
            <v>0</v>
          </cell>
        </row>
        <row r="658">
          <cell r="D658" t="str">
            <v>Univerzita sv. Cyrila a Metoda v Trnave</v>
          </cell>
          <cell r="E658" t="str">
            <v>Fakulta prírodných vied</v>
          </cell>
          <cell r="AN658">
            <v>85</v>
          </cell>
          <cell r="AO658">
            <v>93</v>
          </cell>
          <cell r="AP658">
            <v>93</v>
          </cell>
          <cell r="AQ658">
            <v>85</v>
          </cell>
          <cell r="AR658">
            <v>85</v>
          </cell>
          <cell r="BF658">
            <v>66.400000000000006</v>
          </cell>
          <cell r="BG658">
            <v>98.272000000000006</v>
          </cell>
          <cell r="BH658">
            <v>98.272000000000006</v>
          </cell>
          <cell r="BI658">
            <v>93</v>
          </cell>
          <cell r="BJ658">
            <v>0</v>
          </cell>
        </row>
        <row r="659">
          <cell r="D659" t="str">
            <v>Technická univerzita v Košiciach</v>
          </cell>
          <cell r="E659" t="str">
            <v>Fakulta elektrotechniky a informatiky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3</v>
          </cell>
          <cell r="BJ659">
            <v>0</v>
          </cell>
        </row>
        <row r="660">
          <cell r="D660" t="str">
            <v>Technická univerzita v Košiciach</v>
          </cell>
          <cell r="E660" t="str">
            <v>Ekonomická fakulta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1</v>
          </cell>
          <cell r="BJ660">
            <v>0</v>
          </cell>
        </row>
        <row r="661">
          <cell r="D661" t="str">
            <v>Univerzita Konštantína Filozofa v Nitre</v>
          </cell>
          <cell r="E661" t="str">
            <v>Fakulta stredoeurópskych štúdií</v>
          </cell>
          <cell r="AN661">
            <v>90</v>
          </cell>
          <cell r="AO661">
            <v>98</v>
          </cell>
          <cell r="AP661">
            <v>0</v>
          </cell>
          <cell r="AQ661">
            <v>0</v>
          </cell>
          <cell r="AR661">
            <v>90</v>
          </cell>
          <cell r="BF661">
            <v>80.400000000000006</v>
          </cell>
          <cell r="BG661">
            <v>83.616000000000014</v>
          </cell>
          <cell r="BH661">
            <v>81.415578947368431</v>
          </cell>
          <cell r="BI661">
            <v>98</v>
          </cell>
          <cell r="BJ661">
            <v>0</v>
          </cell>
        </row>
        <row r="662">
          <cell r="D662" t="str">
            <v>Ekonomická univerzita v Bratislave</v>
          </cell>
          <cell r="E662" t="str">
            <v>Podnikovohospodárska fakulta v Košiciach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4</v>
          </cell>
          <cell r="BJ662">
            <v>0</v>
          </cell>
        </row>
        <row r="663">
          <cell r="D663" t="str">
            <v>Žilinská univerzita v Žiline</v>
          </cell>
          <cell r="E663" t="str">
            <v>Fakulta prevádzky a ekonomiky dopravy a spojov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1</v>
          </cell>
          <cell r="BJ663">
            <v>0</v>
          </cell>
        </row>
        <row r="664">
          <cell r="D664" t="str">
            <v>Žilinská univerzita v Žiline</v>
          </cell>
          <cell r="E664" t="str">
            <v>Fakulta riadenia a informatiky</v>
          </cell>
          <cell r="AN664">
            <v>168</v>
          </cell>
          <cell r="AO664">
            <v>200</v>
          </cell>
          <cell r="AP664">
            <v>0</v>
          </cell>
          <cell r="AQ664">
            <v>0</v>
          </cell>
          <cell r="AR664">
            <v>168</v>
          </cell>
          <cell r="BF664">
            <v>150.30000000000001</v>
          </cell>
          <cell r="BG664">
            <v>156.31200000000001</v>
          </cell>
          <cell r="BH664">
            <v>154.17073972602739</v>
          </cell>
          <cell r="BI664">
            <v>200</v>
          </cell>
          <cell r="BJ664">
            <v>0</v>
          </cell>
        </row>
        <row r="665">
          <cell r="D665" t="str">
            <v>Žilinská univerzita v Žiline</v>
          </cell>
          <cell r="E665">
            <v>0</v>
          </cell>
          <cell r="AN665">
            <v>23</v>
          </cell>
          <cell r="AO665">
            <v>25</v>
          </cell>
          <cell r="AP665">
            <v>25</v>
          </cell>
          <cell r="AQ665">
            <v>23</v>
          </cell>
          <cell r="AR665">
            <v>23</v>
          </cell>
          <cell r="BF665">
            <v>18.5</v>
          </cell>
          <cell r="BG665">
            <v>27.38</v>
          </cell>
          <cell r="BH665">
            <v>27.38</v>
          </cell>
          <cell r="BI665">
            <v>25</v>
          </cell>
          <cell r="BJ665">
            <v>0</v>
          </cell>
        </row>
        <row r="666">
          <cell r="D666" t="str">
            <v>Žilinská univerzita v Žiline</v>
          </cell>
          <cell r="E666" t="str">
            <v>Fakulta prevádzky a ekonomiky dopravy a spojov</v>
          </cell>
          <cell r="AN666">
            <v>148</v>
          </cell>
          <cell r="AO666">
            <v>162</v>
          </cell>
          <cell r="AP666">
            <v>0</v>
          </cell>
          <cell r="AQ666">
            <v>0</v>
          </cell>
          <cell r="AR666">
            <v>148</v>
          </cell>
          <cell r="BF666">
            <v>127.3</v>
          </cell>
          <cell r="BG666">
            <v>132.392</v>
          </cell>
          <cell r="BH666">
            <v>132.392</v>
          </cell>
          <cell r="BI666">
            <v>162</v>
          </cell>
          <cell r="BJ666">
            <v>0</v>
          </cell>
        </row>
        <row r="667">
          <cell r="D667" t="str">
            <v>Žilinská univerzita v Žiline</v>
          </cell>
          <cell r="E667" t="str">
            <v>Fakulta riadenia a informatiky</v>
          </cell>
          <cell r="AN667">
            <v>67</v>
          </cell>
          <cell r="AO667">
            <v>96</v>
          </cell>
          <cell r="AP667">
            <v>96</v>
          </cell>
          <cell r="AQ667">
            <v>67</v>
          </cell>
          <cell r="AR667">
            <v>67</v>
          </cell>
          <cell r="BF667">
            <v>55.599999999999994</v>
          </cell>
          <cell r="BG667">
            <v>82.287999999999997</v>
          </cell>
          <cell r="BH667">
            <v>82.287999999999997</v>
          </cell>
          <cell r="BI667">
            <v>96</v>
          </cell>
          <cell r="BJ667">
            <v>0</v>
          </cell>
        </row>
        <row r="668">
          <cell r="D668" t="str">
            <v>Žilinská univerzita v Žiline</v>
          </cell>
          <cell r="E668" t="str">
            <v>Fakulta humanitných vied</v>
          </cell>
          <cell r="AN668">
            <v>48.5</v>
          </cell>
          <cell r="AO668">
            <v>53</v>
          </cell>
          <cell r="AP668">
            <v>0</v>
          </cell>
          <cell r="AQ668">
            <v>0</v>
          </cell>
          <cell r="AR668">
            <v>48.5</v>
          </cell>
          <cell r="BF668">
            <v>35.299999999999997</v>
          </cell>
          <cell r="BG668">
            <v>38.476999999999997</v>
          </cell>
          <cell r="BH668">
            <v>38.476999999999997</v>
          </cell>
          <cell r="BI668">
            <v>53</v>
          </cell>
          <cell r="BJ668">
            <v>0</v>
          </cell>
        </row>
        <row r="669">
          <cell r="D669" t="str">
            <v>Žilinská univerzita v Žiline</v>
          </cell>
          <cell r="E669" t="str">
            <v>Fakulta humanitných vied</v>
          </cell>
          <cell r="AN669">
            <v>48.5</v>
          </cell>
          <cell r="AO669">
            <v>53</v>
          </cell>
          <cell r="AP669">
            <v>0</v>
          </cell>
          <cell r="AQ669">
            <v>0</v>
          </cell>
          <cell r="AR669">
            <v>48.5</v>
          </cell>
          <cell r="BF669">
            <v>35.299999999999997</v>
          </cell>
          <cell r="BG669">
            <v>38.476999999999997</v>
          </cell>
          <cell r="BH669">
            <v>38.476999999999997</v>
          </cell>
          <cell r="BI669">
            <v>53</v>
          </cell>
          <cell r="BJ669">
            <v>0</v>
          </cell>
        </row>
        <row r="670">
          <cell r="D670" t="str">
            <v>Žilinská univerzita v Žiline</v>
          </cell>
          <cell r="E670" t="str">
            <v>Stavebná fakulta</v>
          </cell>
          <cell r="AN670">
            <v>146</v>
          </cell>
          <cell r="AO670">
            <v>153</v>
          </cell>
          <cell r="AP670">
            <v>153</v>
          </cell>
          <cell r="AQ670">
            <v>146</v>
          </cell>
          <cell r="AR670">
            <v>146</v>
          </cell>
          <cell r="BF670">
            <v>125.6</v>
          </cell>
          <cell r="BG670">
            <v>185.88799999999998</v>
          </cell>
          <cell r="BH670">
            <v>185.88799999999998</v>
          </cell>
          <cell r="BI670">
            <v>153</v>
          </cell>
          <cell r="BJ670">
            <v>0</v>
          </cell>
        </row>
        <row r="671">
          <cell r="D671" t="str">
            <v>Žilinská univerzita v Žiline</v>
          </cell>
          <cell r="E671" t="str">
            <v>Stavebná fakulta</v>
          </cell>
          <cell r="AN671">
            <v>54</v>
          </cell>
          <cell r="AO671">
            <v>59</v>
          </cell>
          <cell r="AP671">
            <v>59</v>
          </cell>
          <cell r="AQ671">
            <v>54</v>
          </cell>
          <cell r="AR671">
            <v>54</v>
          </cell>
          <cell r="BF671">
            <v>44.7</v>
          </cell>
          <cell r="BG671">
            <v>66.156000000000006</v>
          </cell>
          <cell r="BH671">
            <v>66.156000000000006</v>
          </cell>
          <cell r="BI671">
            <v>59</v>
          </cell>
          <cell r="BJ671">
            <v>0</v>
          </cell>
        </row>
        <row r="672">
          <cell r="D672" t="str">
            <v>Žilinská univerzita v Žiline</v>
          </cell>
          <cell r="E672" t="str">
            <v>Strojnícka fakulta</v>
          </cell>
          <cell r="AN672">
            <v>160</v>
          </cell>
          <cell r="AO672">
            <v>166</v>
          </cell>
          <cell r="AP672">
            <v>166</v>
          </cell>
          <cell r="AQ672">
            <v>160</v>
          </cell>
          <cell r="AR672">
            <v>160</v>
          </cell>
          <cell r="BF672">
            <v>139.30000000000001</v>
          </cell>
          <cell r="BG672">
            <v>206.16400000000002</v>
          </cell>
          <cell r="BH672">
            <v>206.16400000000002</v>
          </cell>
          <cell r="BI672">
            <v>166</v>
          </cell>
          <cell r="BJ672">
            <v>0</v>
          </cell>
        </row>
        <row r="673">
          <cell r="D673" t="str">
            <v>Vysoká škola manažmentu</v>
          </cell>
          <cell r="E673">
            <v>0</v>
          </cell>
          <cell r="AN673">
            <v>151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151</v>
          </cell>
          <cell r="BJ673">
            <v>0</v>
          </cell>
        </row>
        <row r="674">
          <cell r="D674" t="str">
            <v>Vysoká škola manažmentu</v>
          </cell>
          <cell r="E674">
            <v>0</v>
          </cell>
          <cell r="AN674">
            <v>39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39</v>
          </cell>
          <cell r="BJ674">
            <v>0</v>
          </cell>
        </row>
        <row r="675">
          <cell r="D675" t="str">
            <v>Slovenská poľnohospodárska univerzita v Nitre</v>
          </cell>
          <cell r="E675" t="str">
            <v>Fakulta biotechnológie a potravinárstva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3</v>
          </cell>
          <cell r="BJ675">
            <v>0</v>
          </cell>
        </row>
        <row r="676">
          <cell r="D676" t="str">
            <v>Univerzita Komenského v Bratislave</v>
          </cell>
          <cell r="E676" t="str">
            <v>Pedagogická fakulta</v>
          </cell>
          <cell r="AN676">
            <v>14</v>
          </cell>
          <cell r="AO676">
            <v>16.5</v>
          </cell>
          <cell r="AP676">
            <v>0</v>
          </cell>
          <cell r="AQ676">
            <v>0</v>
          </cell>
          <cell r="AR676">
            <v>14</v>
          </cell>
          <cell r="BF676">
            <v>11.45</v>
          </cell>
          <cell r="BG676">
            <v>24.617499999999996</v>
          </cell>
          <cell r="BH676">
            <v>24.617499999999996</v>
          </cell>
          <cell r="BI676">
            <v>16.5</v>
          </cell>
          <cell r="BJ676">
            <v>0</v>
          </cell>
        </row>
        <row r="677">
          <cell r="D677" t="str">
            <v>Prešovská univerzita v Prešove</v>
          </cell>
          <cell r="E677" t="str">
            <v>Fakulta manažmentu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36</v>
          </cell>
          <cell r="BJ677">
            <v>0</v>
          </cell>
        </row>
        <row r="678">
          <cell r="D678" t="str">
            <v>Prešovská univerzita v Prešove</v>
          </cell>
          <cell r="E678" t="str">
            <v>Fakulta manažmentu</v>
          </cell>
          <cell r="AN678">
            <v>19</v>
          </cell>
          <cell r="AO678">
            <v>0</v>
          </cell>
          <cell r="AP678">
            <v>0</v>
          </cell>
          <cell r="AQ678">
            <v>0</v>
          </cell>
          <cell r="AR678">
            <v>19</v>
          </cell>
          <cell r="BF678">
            <v>57</v>
          </cell>
          <cell r="BG678">
            <v>62.7</v>
          </cell>
          <cell r="BH678">
            <v>62.7</v>
          </cell>
          <cell r="BI678">
            <v>20</v>
          </cell>
          <cell r="BJ678">
            <v>19</v>
          </cell>
        </row>
        <row r="679">
          <cell r="D679" t="str">
            <v>Univerzita Komenského v Bratislave</v>
          </cell>
          <cell r="E679" t="str">
            <v>Filozofická fakulta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6</v>
          </cell>
          <cell r="BJ679">
            <v>0</v>
          </cell>
        </row>
        <row r="680">
          <cell r="D680" t="str">
            <v>Univerzita Komenského v Bratislave</v>
          </cell>
          <cell r="E680" t="str">
            <v>Filozofická fakulta</v>
          </cell>
          <cell r="AN680">
            <v>97</v>
          </cell>
          <cell r="AO680">
            <v>117</v>
          </cell>
          <cell r="AP680">
            <v>0</v>
          </cell>
          <cell r="AQ680">
            <v>0</v>
          </cell>
          <cell r="AR680">
            <v>97</v>
          </cell>
          <cell r="BF680">
            <v>83.8</v>
          </cell>
          <cell r="BG680">
            <v>87.152000000000001</v>
          </cell>
          <cell r="BH680">
            <v>87.152000000000001</v>
          </cell>
          <cell r="BI680">
            <v>117</v>
          </cell>
          <cell r="BJ680">
            <v>0</v>
          </cell>
        </row>
        <row r="681">
          <cell r="D681" t="str">
            <v>Univerzita Komenského v Bratislave</v>
          </cell>
          <cell r="E681" t="str">
            <v>Filozofická fakulta</v>
          </cell>
          <cell r="AN681">
            <v>10</v>
          </cell>
          <cell r="AO681">
            <v>0</v>
          </cell>
          <cell r="AP681">
            <v>0</v>
          </cell>
          <cell r="AQ681">
            <v>0</v>
          </cell>
          <cell r="AR681">
            <v>10</v>
          </cell>
          <cell r="BF681">
            <v>30</v>
          </cell>
          <cell r="BG681">
            <v>33</v>
          </cell>
          <cell r="BH681">
            <v>33</v>
          </cell>
          <cell r="BI681">
            <v>11</v>
          </cell>
          <cell r="BJ681">
            <v>10</v>
          </cell>
        </row>
        <row r="682">
          <cell r="D682" t="str">
            <v>Univerzita Komenského v Bratislave</v>
          </cell>
          <cell r="E682" t="str">
            <v>Filozofická fakulta</v>
          </cell>
          <cell r="AN682">
            <v>1</v>
          </cell>
          <cell r="AO682">
            <v>0</v>
          </cell>
          <cell r="AP682">
            <v>0</v>
          </cell>
          <cell r="AQ682">
            <v>0</v>
          </cell>
          <cell r="AR682">
            <v>1</v>
          </cell>
          <cell r="BF682">
            <v>3</v>
          </cell>
          <cell r="BG682">
            <v>3.3000000000000003</v>
          </cell>
          <cell r="BH682">
            <v>3.3000000000000003</v>
          </cell>
          <cell r="BI682">
            <v>1</v>
          </cell>
          <cell r="BJ682">
            <v>1</v>
          </cell>
        </row>
        <row r="683">
          <cell r="D683" t="str">
            <v>Univerzita Komenského v Bratislave</v>
          </cell>
          <cell r="E683" t="str">
            <v>Filozofická fakulta</v>
          </cell>
          <cell r="AN683">
            <v>23</v>
          </cell>
          <cell r="AO683">
            <v>26</v>
          </cell>
          <cell r="AP683">
            <v>0</v>
          </cell>
          <cell r="AQ683">
            <v>0</v>
          </cell>
          <cell r="AR683">
            <v>23</v>
          </cell>
          <cell r="BF683">
            <v>20.6</v>
          </cell>
          <cell r="BG683">
            <v>20.6</v>
          </cell>
          <cell r="BH683">
            <v>15.450000000000001</v>
          </cell>
          <cell r="BI683">
            <v>26</v>
          </cell>
          <cell r="BJ683">
            <v>0</v>
          </cell>
        </row>
        <row r="684">
          <cell r="D684" t="str">
            <v>Univerzita Komenského v Bratislave</v>
          </cell>
          <cell r="E684" t="str">
            <v>Filozofická fakulta</v>
          </cell>
          <cell r="AN684">
            <v>14</v>
          </cell>
          <cell r="AO684">
            <v>18</v>
          </cell>
          <cell r="AP684">
            <v>0</v>
          </cell>
          <cell r="AQ684">
            <v>0</v>
          </cell>
          <cell r="AR684">
            <v>14</v>
          </cell>
          <cell r="BF684">
            <v>11.899999999999999</v>
          </cell>
          <cell r="BG684">
            <v>11.899999999999999</v>
          </cell>
          <cell r="BH684">
            <v>11.899999999999999</v>
          </cell>
          <cell r="BI684">
            <v>18</v>
          </cell>
          <cell r="BJ684">
            <v>0</v>
          </cell>
        </row>
        <row r="685">
          <cell r="D685" t="str">
            <v>Univerzita veterinárskeho lekárstva a farmácie v Košiciach</v>
          </cell>
          <cell r="E685">
            <v>0</v>
          </cell>
          <cell r="AN685">
            <v>11</v>
          </cell>
          <cell r="AO685">
            <v>0</v>
          </cell>
          <cell r="AP685">
            <v>0</v>
          </cell>
          <cell r="AQ685">
            <v>0</v>
          </cell>
          <cell r="AR685">
            <v>11</v>
          </cell>
          <cell r="BF685">
            <v>33</v>
          </cell>
          <cell r="BG685">
            <v>70.289999999999992</v>
          </cell>
          <cell r="BH685">
            <v>70.289999999999992</v>
          </cell>
          <cell r="BI685">
            <v>11</v>
          </cell>
          <cell r="BJ685">
            <v>11</v>
          </cell>
        </row>
        <row r="686">
          <cell r="D686" t="str">
            <v>Slovenská technická univerzita v Bratislave</v>
          </cell>
          <cell r="E686" t="str">
            <v>Fakulta elektrotechniky a informatiky</v>
          </cell>
          <cell r="AN686">
            <v>15</v>
          </cell>
          <cell r="AO686">
            <v>0</v>
          </cell>
          <cell r="AP686">
            <v>0</v>
          </cell>
          <cell r="AQ686">
            <v>15</v>
          </cell>
          <cell r="AR686">
            <v>15</v>
          </cell>
          <cell r="BF686">
            <v>60</v>
          </cell>
          <cell r="BG686">
            <v>127.8</v>
          </cell>
          <cell r="BH686">
            <v>127.8</v>
          </cell>
          <cell r="BI686">
            <v>21</v>
          </cell>
          <cell r="BJ686">
            <v>15</v>
          </cell>
        </row>
        <row r="687">
          <cell r="D687" t="str">
            <v>Slovenská technická univerzita v Bratislave</v>
          </cell>
          <cell r="E687" t="str">
            <v>Fakulta elektrotechniky a informatiky</v>
          </cell>
          <cell r="AN687">
            <v>4</v>
          </cell>
          <cell r="AO687">
            <v>0</v>
          </cell>
          <cell r="AP687">
            <v>0</v>
          </cell>
          <cell r="AQ687">
            <v>4</v>
          </cell>
          <cell r="AR687">
            <v>4</v>
          </cell>
          <cell r="BF687">
            <v>16</v>
          </cell>
          <cell r="BG687">
            <v>34.08</v>
          </cell>
          <cell r="BH687">
            <v>34.08</v>
          </cell>
          <cell r="BI687">
            <v>5</v>
          </cell>
          <cell r="BJ687">
            <v>4</v>
          </cell>
        </row>
        <row r="688">
          <cell r="D688" t="str">
            <v>Slovenská technická univerzita v Bratislave</v>
          </cell>
          <cell r="E688" t="str">
            <v>Fakulta elektrotechniky a informatiky</v>
          </cell>
          <cell r="AN688">
            <v>12</v>
          </cell>
          <cell r="AO688">
            <v>0</v>
          </cell>
          <cell r="AP688">
            <v>0</v>
          </cell>
          <cell r="AQ688">
            <v>12</v>
          </cell>
          <cell r="AR688">
            <v>12</v>
          </cell>
          <cell r="BF688">
            <v>48</v>
          </cell>
          <cell r="BG688">
            <v>102.24</v>
          </cell>
          <cell r="BH688">
            <v>102.24</v>
          </cell>
          <cell r="BI688">
            <v>14</v>
          </cell>
          <cell r="BJ688">
            <v>12</v>
          </cell>
        </row>
        <row r="689">
          <cell r="D689" t="str">
            <v>Slovenská technická univerzita v Bratislave</v>
          </cell>
          <cell r="E689" t="str">
            <v>Fakulta elektrotechniky a informatiky</v>
          </cell>
          <cell r="AN689">
            <v>5</v>
          </cell>
          <cell r="AO689">
            <v>0</v>
          </cell>
          <cell r="AP689">
            <v>0</v>
          </cell>
          <cell r="AQ689">
            <v>5</v>
          </cell>
          <cell r="AR689">
            <v>5</v>
          </cell>
          <cell r="BF689">
            <v>20</v>
          </cell>
          <cell r="BG689">
            <v>42.599999999999994</v>
          </cell>
          <cell r="BH689">
            <v>42.599999999999994</v>
          </cell>
          <cell r="BI689">
            <v>6</v>
          </cell>
          <cell r="BJ689">
            <v>5</v>
          </cell>
        </row>
        <row r="690">
          <cell r="D690" t="str">
            <v>Slovenská technická univerzita v Bratislave</v>
          </cell>
          <cell r="E690" t="str">
            <v>Fakulta elektrotechniky a informatiky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8</v>
          </cell>
          <cell r="BJ690">
            <v>0</v>
          </cell>
        </row>
        <row r="691">
          <cell r="D691" t="str">
            <v>Slovenská technická univerzita v Bratislave</v>
          </cell>
          <cell r="E691" t="str">
            <v>Fakulta elektrotechniky a informatiky</v>
          </cell>
          <cell r="AN691">
            <v>10</v>
          </cell>
          <cell r="AO691">
            <v>0</v>
          </cell>
          <cell r="AP691">
            <v>0</v>
          </cell>
          <cell r="AQ691">
            <v>10</v>
          </cell>
          <cell r="AR691">
            <v>10</v>
          </cell>
          <cell r="BF691">
            <v>40</v>
          </cell>
          <cell r="BG691">
            <v>85.199999999999989</v>
          </cell>
          <cell r="BH691">
            <v>85.199999999999989</v>
          </cell>
          <cell r="BI691">
            <v>12</v>
          </cell>
          <cell r="BJ691">
            <v>10</v>
          </cell>
        </row>
        <row r="692">
          <cell r="D692" t="str">
            <v>Slovenská technická univerzita v Bratislave</v>
          </cell>
          <cell r="E692" t="str">
            <v>Fakulta elektrotechniky a informatiky</v>
          </cell>
          <cell r="AN692">
            <v>94</v>
          </cell>
          <cell r="AO692">
            <v>109</v>
          </cell>
          <cell r="AP692">
            <v>109</v>
          </cell>
          <cell r="AQ692">
            <v>94</v>
          </cell>
          <cell r="AR692">
            <v>94</v>
          </cell>
          <cell r="BF692">
            <v>78.099999999999994</v>
          </cell>
          <cell r="BG692">
            <v>115.58799999999999</v>
          </cell>
          <cell r="BH692">
            <v>115.58799999999999</v>
          </cell>
          <cell r="BI692">
            <v>109</v>
          </cell>
          <cell r="BJ692">
            <v>0</v>
          </cell>
        </row>
        <row r="693">
          <cell r="D693" t="str">
            <v>Slovenská technická univerzita v Bratislave</v>
          </cell>
          <cell r="E693" t="str">
            <v>Fakulta elektrotechniky a informatiky</v>
          </cell>
          <cell r="AN693">
            <v>55</v>
          </cell>
          <cell r="AO693">
            <v>57</v>
          </cell>
          <cell r="AP693">
            <v>57</v>
          </cell>
          <cell r="AQ693">
            <v>55</v>
          </cell>
          <cell r="AR693">
            <v>55</v>
          </cell>
          <cell r="BF693">
            <v>46.9</v>
          </cell>
          <cell r="BG693">
            <v>69.411999999999992</v>
          </cell>
          <cell r="BH693">
            <v>69.411999999999992</v>
          </cell>
          <cell r="BI693">
            <v>57</v>
          </cell>
          <cell r="BJ693">
            <v>0</v>
          </cell>
        </row>
        <row r="694">
          <cell r="D694" t="str">
            <v>Technická univerzita vo Zvolene</v>
          </cell>
          <cell r="E694" t="str">
            <v>Fakulta ekológie a environmentalistiky</v>
          </cell>
          <cell r="AN694">
            <v>11</v>
          </cell>
          <cell r="AO694">
            <v>0</v>
          </cell>
          <cell r="AP694">
            <v>0</v>
          </cell>
          <cell r="AQ694">
            <v>11</v>
          </cell>
          <cell r="AR694">
            <v>11</v>
          </cell>
          <cell r="BF694">
            <v>33</v>
          </cell>
          <cell r="BG694">
            <v>70.289999999999992</v>
          </cell>
          <cell r="BH694">
            <v>70.289999999999992</v>
          </cell>
          <cell r="BI694">
            <v>12</v>
          </cell>
          <cell r="BJ694">
            <v>11</v>
          </cell>
        </row>
        <row r="695">
          <cell r="D695" t="str">
            <v>Technická univerzita vo Zvolene</v>
          </cell>
          <cell r="E695">
            <v>0</v>
          </cell>
          <cell r="AN695">
            <v>52</v>
          </cell>
          <cell r="AO695">
            <v>57</v>
          </cell>
          <cell r="AP695">
            <v>0</v>
          </cell>
          <cell r="AQ695">
            <v>0</v>
          </cell>
          <cell r="AR695">
            <v>52</v>
          </cell>
          <cell r="BF695">
            <v>42.4</v>
          </cell>
          <cell r="BG695">
            <v>44.095999999999997</v>
          </cell>
          <cell r="BH695">
            <v>44.095999999999997</v>
          </cell>
          <cell r="BI695">
            <v>57</v>
          </cell>
          <cell r="BJ695">
            <v>0</v>
          </cell>
        </row>
        <row r="696">
          <cell r="D696" t="str">
            <v>Technická univerzita vo Zvolene</v>
          </cell>
          <cell r="E696" t="str">
            <v>Drevárska fakulta</v>
          </cell>
          <cell r="AN696">
            <v>94</v>
          </cell>
          <cell r="AO696">
            <v>104</v>
          </cell>
          <cell r="AP696">
            <v>0</v>
          </cell>
          <cell r="AQ696">
            <v>0</v>
          </cell>
          <cell r="AR696">
            <v>94</v>
          </cell>
          <cell r="BF696">
            <v>84.1</v>
          </cell>
          <cell r="BG696">
            <v>271.64299999999997</v>
          </cell>
          <cell r="BH696">
            <v>271.64299999999997</v>
          </cell>
          <cell r="BI696">
            <v>104</v>
          </cell>
          <cell r="BJ696">
            <v>0</v>
          </cell>
        </row>
        <row r="697">
          <cell r="D697" t="str">
            <v>Univerzita Komenského v Bratislave</v>
          </cell>
          <cell r="E697" t="str">
            <v>Pedagogická fakulta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1</v>
          </cell>
          <cell r="BJ697">
            <v>0</v>
          </cell>
        </row>
        <row r="698">
          <cell r="D698" t="str">
            <v>Vysoká škola múzických umení v Bratislave</v>
          </cell>
          <cell r="E698" t="str">
            <v>Hudobná a tanečná fakulta</v>
          </cell>
          <cell r="AN698">
            <v>1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1</v>
          </cell>
          <cell r="BJ698">
            <v>0</v>
          </cell>
        </row>
        <row r="699">
          <cell r="D699" t="str">
            <v>Vysoká škola múzických umení v Bratislave</v>
          </cell>
          <cell r="E699" t="str">
            <v>Hudobná a tanečná fakulta</v>
          </cell>
          <cell r="AN699">
            <v>6</v>
          </cell>
          <cell r="AO699">
            <v>0</v>
          </cell>
          <cell r="AP699">
            <v>0</v>
          </cell>
          <cell r="AQ699">
            <v>0</v>
          </cell>
          <cell r="AR699">
            <v>6</v>
          </cell>
          <cell r="BF699">
            <v>24</v>
          </cell>
          <cell r="BG699">
            <v>26.400000000000002</v>
          </cell>
          <cell r="BH699">
            <v>26.400000000000002</v>
          </cell>
          <cell r="BI699">
            <v>6</v>
          </cell>
          <cell r="BJ699">
            <v>6</v>
          </cell>
        </row>
        <row r="700">
          <cell r="D700" t="str">
            <v>Vysoká škola múzických umení v Bratislave</v>
          </cell>
          <cell r="E700" t="str">
            <v>Hudobná a tanečná fakulta</v>
          </cell>
          <cell r="AN700">
            <v>1</v>
          </cell>
          <cell r="AO700">
            <v>0</v>
          </cell>
          <cell r="AP700">
            <v>0</v>
          </cell>
          <cell r="AQ700">
            <v>0</v>
          </cell>
          <cell r="AR700">
            <v>1</v>
          </cell>
          <cell r="BF700">
            <v>4</v>
          </cell>
          <cell r="BG700">
            <v>4.4000000000000004</v>
          </cell>
          <cell r="BH700">
            <v>4.4000000000000004</v>
          </cell>
          <cell r="BI700">
            <v>1</v>
          </cell>
          <cell r="BJ700">
            <v>1</v>
          </cell>
        </row>
        <row r="701">
          <cell r="D701" t="str">
            <v>Vysoká škola múzických umení v Bratislave</v>
          </cell>
          <cell r="E701" t="str">
            <v>Hudobná a tanečná fakulta</v>
          </cell>
          <cell r="AN701">
            <v>2</v>
          </cell>
          <cell r="AO701">
            <v>0</v>
          </cell>
          <cell r="AP701">
            <v>0</v>
          </cell>
          <cell r="AQ701">
            <v>0</v>
          </cell>
          <cell r="AR701">
            <v>2</v>
          </cell>
          <cell r="BF701">
            <v>8</v>
          </cell>
          <cell r="BG701">
            <v>8.8000000000000007</v>
          </cell>
          <cell r="BH701">
            <v>8.8000000000000007</v>
          </cell>
          <cell r="BI701">
            <v>2</v>
          </cell>
          <cell r="BJ701">
            <v>2</v>
          </cell>
        </row>
        <row r="702">
          <cell r="D702" t="str">
            <v>Vysoká škola múzických umení v Bratislave</v>
          </cell>
          <cell r="E702" t="str">
            <v>Hudobná a tanečná fakulta</v>
          </cell>
          <cell r="AN702">
            <v>1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9</v>
          </cell>
          <cell r="BJ702">
            <v>0</v>
          </cell>
        </row>
        <row r="703">
          <cell r="D703" t="str">
            <v>Vysoká škola múzických umení v Bratislave</v>
          </cell>
          <cell r="E703" t="str">
            <v>Hudobná a tanečná fakulta</v>
          </cell>
          <cell r="AN703">
            <v>5</v>
          </cell>
          <cell r="AO703">
            <v>0</v>
          </cell>
          <cell r="AP703">
            <v>0</v>
          </cell>
          <cell r="AQ703">
            <v>0</v>
          </cell>
          <cell r="AR703">
            <v>5</v>
          </cell>
          <cell r="BF703">
            <v>20</v>
          </cell>
          <cell r="BG703">
            <v>22</v>
          </cell>
          <cell r="BH703">
            <v>22</v>
          </cell>
          <cell r="BI703">
            <v>5</v>
          </cell>
          <cell r="BJ703">
            <v>5</v>
          </cell>
        </row>
        <row r="704">
          <cell r="D704" t="str">
            <v>Vysoká škola múzických umení v Bratislave</v>
          </cell>
          <cell r="E704" t="str">
            <v>Filmová a televízna fakulta</v>
          </cell>
          <cell r="AN704">
            <v>2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2</v>
          </cell>
          <cell r="BJ704">
            <v>0</v>
          </cell>
        </row>
        <row r="705">
          <cell r="D705" t="str">
            <v>Vysoká škola výtvarných umení v Bratislave</v>
          </cell>
          <cell r="E705">
            <v>0</v>
          </cell>
          <cell r="AN705">
            <v>32</v>
          </cell>
          <cell r="AO705">
            <v>35</v>
          </cell>
          <cell r="AP705">
            <v>0</v>
          </cell>
          <cell r="AQ705">
            <v>0</v>
          </cell>
          <cell r="AR705">
            <v>32</v>
          </cell>
          <cell r="BF705">
            <v>29.3</v>
          </cell>
          <cell r="BG705">
            <v>94.638999999999996</v>
          </cell>
          <cell r="BH705">
            <v>94.638999999999996</v>
          </cell>
          <cell r="BI705">
            <v>35</v>
          </cell>
          <cell r="BJ705">
            <v>0</v>
          </cell>
        </row>
        <row r="706">
          <cell r="D706" t="str">
            <v>Vysoká škola výtvarných umení v Bratislave</v>
          </cell>
          <cell r="E706">
            <v>0</v>
          </cell>
          <cell r="AN706">
            <v>31</v>
          </cell>
          <cell r="AO706">
            <v>32</v>
          </cell>
          <cell r="AP706">
            <v>0</v>
          </cell>
          <cell r="AQ706">
            <v>0</v>
          </cell>
          <cell r="AR706">
            <v>31</v>
          </cell>
          <cell r="BF706">
            <v>28</v>
          </cell>
          <cell r="BG706">
            <v>90.44</v>
          </cell>
          <cell r="BH706">
            <v>90.44</v>
          </cell>
          <cell r="BI706">
            <v>32</v>
          </cell>
          <cell r="BJ706">
            <v>0</v>
          </cell>
        </row>
        <row r="707">
          <cell r="D707" t="str">
            <v>Vysoká škola výtvarných umení v Bratislave</v>
          </cell>
          <cell r="E707">
            <v>0</v>
          </cell>
          <cell r="AN707">
            <v>23</v>
          </cell>
          <cell r="AO707">
            <v>25</v>
          </cell>
          <cell r="AP707">
            <v>0</v>
          </cell>
          <cell r="AQ707">
            <v>0</v>
          </cell>
          <cell r="AR707">
            <v>23</v>
          </cell>
          <cell r="BF707">
            <v>34.5</v>
          </cell>
          <cell r="BG707">
            <v>111.435</v>
          </cell>
          <cell r="BH707">
            <v>92.862500000000011</v>
          </cell>
          <cell r="BI707">
            <v>25</v>
          </cell>
          <cell r="BJ707">
            <v>0</v>
          </cell>
        </row>
        <row r="708">
          <cell r="D708" t="str">
            <v>Vysoká škola zdravotníctva a sociálnej práce sv. Alžbety v Bratislave, n. o.</v>
          </cell>
          <cell r="E708">
            <v>0</v>
          </cell>
          <cell r="AN708">
            <v>329</v>
          </cell>
          <cell r="AO708">
            <v>329</v>
          </cell>
          <cell r="AP708">
            <v>329</v>
          </cell>
          <cell r="AQ708">
            <v>0</v>
          </cell>
          <cell r="AR708">
            <v>329</v>
          </cell>
          <cell r="BF708">
            <v>298.39999999999998</v>
          </cell>
          <cell r="BG708">
            <v>641.55999999999995</v>
          </cell>
          <cell r="BH708">
            <v>630.1443416370106</v>
          </cell>
          <cell r="BI708">
            <v>329</v>
          </cell>
          <cell r="BJ708">
            <v>0</v>
          </cell>
        </row>
        <row r="709">
          <cell r="D709" t="str">
            <v>Vysoká škola zdravotníctva a sociálnej práce sv. Alžbety v Bratislave, n. o.</v>
          </cell>
          <cell r="E709">
            <v>0</v>
          </cell>
          <cell r="AN709">
            <v>1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1</v>
          </cell>
          <cell r="BJ709">
            <v>0</v>
          </cell>
        </row>
        <row r="710">
          <cell r="D710" t="str">
            <v>Vysoká škola zdravotníctva a sociálnej práce sv. Alžbety v Bratislave, n. o.</v>
          </cell>
          <cell r="E710">
            <v>0</v>
          </cell>
          <cell r="AN710">
            <v>1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1</v>
          </cell>
          <cell r="BJ710">
            <v>0</v>
          </cell>
        </row>
        <row r="711">
          <cell r="D711" t="str">
            <v>Žilinská univerzita v Žiline</v>
          </cell>
          <cell r="E711" t="str">
            <v>Fakulta humanitných vied</v>
          </cell>
          <cell r="AN711">
            <v>37</v>
          </cell>
          <cell r="AO711">
            <v>45</v>
          </cell>
          <cell r="AP711">
            <v>0</v>
          </cell>
          <cell r="AQ711">
            <v>0</v>
          </cell>
          <cell r="AR711">
            <v>37</v>
          </cell>
          <cell r="BF711">
            <v>32.5</v>
          </cell>
          <cell r="BG711">
            <v>35.425000000000004</v>
          </cell>
          <cell r="BH711">
            <v>35.425000000000004</v>
          </cell>
          <cell r="BI711">
            <v>45</v>
          </cell>
          <cell r="BJ711">
            <v>0</v>
          </cell>
        </row>
        <row r="712">
          <cell r="D712" t="str">
            <v>Prešovská univerzita v Prešove</v>
          </cell>
          <cell r="E712" t="str">
            <v>Gréckokatolícka teologická fakulta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15</v>
          </cell>
          <cell r="BJ712">
            <v>0</v>
          </cell>
        </row>
        <row r="713">
          <cell r="D713" t="str">
            <v>Prešovská univerzita v Prešove</v>
          </cell>
          <cell r="E713" t="str">
            <v>Fakulta zdravotníckych odborov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62</v>
          </cell>
          <cell r="BJ713">
            <v>0</v>
          </cell>
        </row>
        <row r="714">
          <cell r="D714" t="str">
            <v>Slovenská technická univerzita v Bratislave</v>
          </cell>
          <cell r="E714" t="str">
            <v>Materiálovotechnologická fakulta so sídlom v Trnave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2</v>
          </cell>
          <cell r="BJ714">
            <v>0</v>
          </cell>
        </row>
        <row r="715">
          <cell r="D715" t="str">
            <v>Slovenská technická univerzita v Bratislave</v>
          </cell>
          <cell r="E715" t="str">
            <v>Materiálovotechnologická fakulta so sídlom v Trnave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3</v>
          </cell>
          <cell r="BJ715">
            <v>0</v>
          </cell>
        </row>
        <row r="716">
          <cell r="D716" t="str">
            <v>Slovenská technická univerzita v Bratislave</v>
          </cell>
          <cell r="E716" t="str">
            <v>Materiálovotechnologická fakulta so sídlom v Trnave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1</v>
          </cell>
          <cell r="BJ716">
            <v>0</v>
          </cell>
        </row>
        <row r="717">
          <cell r="D717" t="str">
            <v>Slovenská technická univerzita v Bratislave</v>
          </cell>
          <cell r="E717" t="str">
            <v>Materiálovotechnologická fakulta so sídlom v Trnave</v>
          </cell>
          <cell r="AN717">
            <v>14</v>
          </cell>
          <cell r="AO717">
            <v>0</v>
          </cell>
          <cell r="AP717">
            <v>0</v>
          </cell>
          <cell r="AQ717">
            <v>14</v>
          </cell>
          <cell r="AR717">
            <v>14</v>
          </cell>
          <cell r="BF717">
            <v>42</v>
          </cell>
          <cell r="BG717">
            <v>89.46</v>
          </cell>
          <cell r="BH717">
            <v>89.46</v>
          </cell>
          <cell r="BI717">
            <v>15</v>
          </cell>
          <cell r="BJ717">
            <v>14</v>
          </cell>
        </row>
        <row r="718">
          <cell r="D718" t="str">
            <v>Slovenská technická univerzita v Bratislave</v>
          </cell>
          <cell r="E718" t="str">
            <v>Materiálovotechnologická fakulta so sídlom v Trnave</v>
          </cell>
          <cell r="AN718">
            <v>13</v>
          </cell>
          <cell r="AO718">
            <v>0</v>
          </cell>
          <cell r="AP718">
            <v>0</v>
          </cell>
          <cell r="AQ718">
            <v>13</v>
          </cell>
          <cell r="AR718">
            <v>13</v>
          </cell>
          <cell r="BF718">
            <v>39</v>
          </cell>
          <cell r="BG718">
            <v>83.07</v>
          </cell>
          <cell r="BH718">
            <v>83.07</v>
          </cell>
          <cell r="BI718">
            <v>14</v>
          </cell>
          <cell r="BJ718">
            <v>13</v>
          </cell>
        </row>
        <row r="719">
          <cell r="D719" t="str">
            <v>Slovenská technická univerzita v Bratislave</v>
          </cell>
          <cell r="E719" t="str">
            <v>Materiálovotechnologická fakulta so sídlom v Trnave</v>
          </cell>
          <cell r="AN719">
            <v>11</v>
          </cell>
          <cell r="AO719">
            <v>0</v>
          </cell>
          <cell r="AP719">
            <v>0</v>
          </cell>
          <cell r="AQ719">
            <v>11</v>
          </cell>
          <cell r="AR719">
            <v>11</v>
          </cell>
          <cell r="BF719">
            <v>33</v>
          </cell>
          <cell r="BG719">
            <v>70.289999999999992</v>
          </cell>
          <cell r="BH719">
            <v>70.289999999999992</v>
          </cell>
          <cell r="BI719">
            <v>12</v>
          </cell>
          <cell r="BJ719">
            <v>11</v>
          </cell>
        </row>
        <row r="720">
          <cell r="D720" t="str">
            <v>Slovenská technická univerzita v Bratislave</v>
          </cell>
          <cell r="E720" t="str">
            <v>Fakulta architektúry a dizajnu</v>
          </cell>
          <cell r="AN720">
            <v>98</v>
          </cell>
          <cell r="AO720">
            <v>105</v>
          </cell>
          <cell r="AP720">
            <v>0</v>
          </cell>
          <cell r="AQ720">
            <v>0</v>
          </cell>
          <cell r="AR720">
            <v>98</v>
          </cell>
          <cell r="BF720">
            <v>87.5</v>
          </cell>
          <cell r="BG720">
            <v>282.625</v>
          </cell>
          <cell r="BH720">
            <v>271.32</v>
          </cell>
          <cell r="BI720">
            <v>105</v>
          </cell>
          <cell r="BJ720">
            <v>0</v>
          </cell>
        </row>
        <row r="721">
          <cell r="D721" t="str">
            <v>Slovenská technická univerzita v Bratislave</v>
          </cell>
          <cell r="E721" t="str">
            <v>Strojnícka fakulta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4</v>
          </cell>
          <cell r="BJ721">
            <v>0</v>
          </cell>
        </row>
        <row r="722">
          <cell r="D722" t="str">
            <v>Slovenská technická univerzita v Bratislave</v>
          </cell>
          <cell r="E722" t="str">
            <v>Strojnícka fakulta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14</v>
          </cell>
          <cell r="BJ722">
            <v>0</v>
          </cell>
        </row>
        <row r="723">
          <cell r="D723" t="str">
            <v>Slovenská technická univerzita v Bratislave</v>
          </cell>
          <cell r="E723" t="str">
            <v>Strojnícka fakulta</v>
          </cell>
          <cell r="AN723">
            <v>6</v>
          </cell>
          <cell r="AO723">
            <v>0</v>
          </cell>
          <cell r="AP723">
            <v>0</v>
          </cell>
          <cell r="AQ723">
            <v>6</v>
          </cell>
          <cell r="AR723">
            <v>6</v>
          </cell>
          <cell r="BF723">
            <v>18</v>
          </cell>
          <cell r="BG723">
            <v>38.339999999999996</v>
          </cell>
          <cell r="BH723">
            <v>38.339999999999996</v>
          </cell>
          <cell r="BI723">
            <v>6</v>
          </cell>
          <cell r="BJ723">
            <v>6</v>
          </cell>
        </row>
        <row r="724">
          <cell r="D724" t="str">
            <v>Vysoká škola DTI</v>
          </cell>
          <cell r="E724">
            <v>0</v>
          </cell>
          <cell r="AN724">
            <v>598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598</v>
          </cell>
          <cell r="BJ724">
            <v>0</v>
          </cell>
        </row>
        <row r="725">
          <cell r="D725" t="str">
            <v>Trenčianska univerzita Alexandra Dubčeka v Trenčíne</v>
          </cell>
          <cell r="E725" t="str">
            <v>Fakulta špeciálnej techniky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6</v>
          </cell>
          <cell r="BJ725">
            <v>0</v>
          </cell>
        </row>
        <row r="726">
          <cell r="D726" t="str">
            <v>Slovenská technická univerzita v Bratislave</v>
          </cell>
          <cell r="E726" t="str">
            <v>Stavebná fakulta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8</v>
          </cell>
          <cell r="BJ726">
            <v>0</v>
          </cell>
        </row>
        <row r="727">
          <cell r="D727" t="str">
            <v>Slovenská technická univerzita v Bratislave</v>
          </cell>
          <cell r="E727" t="str">
            <v>Stavebná fakulta</v>
          </cell>
          <cell r="AN727">
            <v>24</v>
          </cell>
          <cell r="AO727">
            <v>0</v>
          </cell>
          <cell r="AP727">
            <v>0</v>
          </cell>
          <cell r="AQ727">
            <v>24</v>
          </cell>
          <cell r="AR727">
            <v>24</v>
          </cell>
          <cell r="BF727">
            <v>72</v>
          </cell>
          <cell r="BG727">
            <v>153.35999999999999</v>
          </cell>
          <cell r="BH727">
            <v>153.35999999999999</v>
          </cell>
          <cell r="BI727">
            <v>27</v>
          </cell>
          <cell r="BJ727">
            <v>24</v>
          </cell>
        </row>
        <row r="728">
          <cell r="D728" t="str">
            <v>Slovenská technická univerzita v Bratislave</v>
          </cell>
          <cell r="E728" t="str">
            <v>Fakulta informatiky a informačných technológií</v>
          </cell>
          <cell r="AN728">
            <v>12</v>
          </cell>
          <cell r="AO728">
            <v>0</v>
          </cell>
          <cell r="AP728">
            <v>0</v>
          </cell>
          <cell r="AQ728">
            <v>12</v>
          </cell>
          <cell r="AR728">
            <v>12</v>
          </cell>
          <cell r="BF728">
            <v>48</v>
          </cell>
          <cell r="BG728">
            <v>102.24</v>
          </cell>
          <cell r="BH728">
            <v>102.24</v>
          </cell>
          <cell r="BI728">
            <v>20</v>
          </cell>
          <cell r="BJ728">
            <v>12</v>
          </cell>
        </row>
        <row r="729">
          <cell r="D729" t="str">
            <v>Univerzita Konštantína Filozofa v Nitre</v>
          </cell>
          <cell r="E729" t="str">
            <v>Fakulta prírodných vied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2</v>
          </cell>
          <cell r="BJ729">
            <v>0</v>
          </cell>
        </row>
        <row r="730">
          <cell r="D730" t="str">
            <v>Technická univerzita v Košiciach</v>
          </cell>
          <cell r="E730" t="str">
            <v>Strojnícka fakulta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12</v>
          </cell>
          <cell r="BJ730">
            <v>0</v>
          </cell>
        </row>
        <row r="731">
          <cell r="D731" t="str">
            <v>Univerzita Komenského v Bratislave</v>
          </cell>
          <cell r="E731" t="str">
            <v>Fakulta matematiky, fyziky a informatiky</v>
          </cell>
          <cell r="AN731">
            <v>11</v>
          </cell>
          <cell r="AO731">
            <v>0</v>
          </cell>
          <cell r="AP731">
            <v>0</v>
          </cell>
          <cell r="AQ731">
            <v>11</v>
          </cell>
          <cell r="AR731">
            <v>11</v>
          </cell>
          <cell r="BF731">
            <v>33</v>
          </cell>
          <cell r="BG731">
            <v>70.289999999999992</v>
          </cell>
          <cell r="BH731">
            <v>70.289999999999992</v>
          </cell>
          <cell r="BI731">
            <v>12</v>
          </cell>
          <cell r="BJ731">
            <v>11</v>
          </cell>
        </row>
        <row r="732">
          <cell r="D732" t="str">
            <v>Vysoká škola múzických umení v Bratislave</v>
          </cell>
          <cell r="E732" t="str">
            <v>Filmová a televízna fakulta</v>
          </cell>
          <cell r="AN732">
            <v>4</v>
          </cell>
          <cell r="AO732">
            <v>0</v>
          </cell>
          <cell r="AP732">
            <v>0</v>
          </cell>
          <cell r="AQ732">
            <v>0</v>
          </cell>
          <cell r="AR732">
            <v>4</v>
          </cell>
          <cell r="BF732">
            <v>16</v>
          </cell>
          <cell r="BG732">
            <v>17.600000000000001</v>
          </cell>
          <cell r="BH732">
            <v>17.600000000000001</v>
          </cell>
          <cell r="BI732">
            <v>4</v>
          </cell>
          <cell r="BJ732">
            <v>4</v>
          </cell>
        </row>
        <row r="733">
          <cell r="D733" t="str">
            <v>Univerzita Komenského v Bratislave</v>
          </cell>
          <cell r="E733" t="str">
            <v>Prírodovedecká fakulta</v>
          </cell>
          <cell r="AN733">
            <v>7</v>
          </cell>
          <cell r="AO733">
            <v>0</v>
          </cell>
          <cell r="AP733">
            <v>0</v>
          </cell>
          <cell r="AQ733">
            <v>7</v>
          </cell>
          <cell r="AR733">
            <v>7</v>
          </cell>
          <cell r="BF733">
            <v>21</v>
          </cell>
          <cell r="BG733">
            <v>44.73</v>
          </cell>
          <cell r="BH733">
            <v>44.73</v>
          </cell>
          <cell r="BI733">
            <v>8</v>
          </cell>
          <cell r="BJ733">
            <v>7</v>
          </cell>
        </row>
        <row r="734">
          <cell r="D734" t="str">
            <v>Univerzita Pavla Jozefa Šafárika v Košiciach</v>
          </cell>
          <cell r="E734" t="str">
            <v>Filozofická fakulta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1</v>
          </cell>
          <cell r="BJ734">
            <v>0</v>
          </cell>
        </row>
        <row r="735">
          <cell r="D735" t="str">
            <v>Slovenská technická univerzita v Bratislave</v>
          </cell>
          <cell r="E735" t="str">
            <v>Materiálovotechnologická fakulta so sídlom v Trnave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5</v>
          </cell>
          <cell r="BJ735">
            <v>0</v>
          </cell>
        </row>
        <row r="736">
          <cell r="D736" t="str">
            <v>Slovenská technická univerzita v Bratislave</v>
          </cell>
          <cell r="E736" t="str">
            <v>Strojnícka fakulta</v>
          </cell>
          <cell r="AN736">
            <v>0</v>
          </cell>
          <cell r="AO736">
            <v>14</v>
          </cell>
          <cell r="AP736">
            <v>14</v>
          </cell>
          <cell r="AQ736">
            <v>0</v>
          </cell>
          <cell r="AR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14</v>
          </cell>
          <cell r="BJ736">
            <v>0</v>
          </cell>
        </row>
        <row r="737">
          <cell r="D737" t="str">
            <v>Univerzita Pavla Jozefa Šafárika v Košiciach</v>
          </cell>
          <cell r="E737" t="str">
            <v>Filozofická fakulta</v>
          </cell>
          <cell r="AN737">
            <v>1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5</v>
          </cell>
          <cell r="BJ737">
            <v>0</v>
          </cell>
        </row>
        <row r="738">
          <cell r="D738" t="str">
            <v>Univerzita Komenského v Bratislave</v>
          </cell>
          <cell r="E738" t="str">
            <v>Prírodovedecká fakulta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1</v>
          </cell>
          <cell r="BJ738">
            <v>0</v>
          </cell>
        </row>
        <row r="739">
          <cell r="D739" t="str">
            <v>Prešovská univerzita v Prešove</v>
          </cell>
          <cell r="E739" t="str">
            <v>Filozofická fakulta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2</v>
          </cell>
          <cell r="BJ739">
            <v>0</v>
          </cell>
        </row>
        <row r="740">
          <cell r="D740" t="str">
            <v>Univerzita Pavla Jozefa Šafárika v Košiciach</v>
          </cell>
          <cell r="E740" t="str">
            <v>Prírodovedecká fakulta</v>
          </cell>
          <cell r="AN740">
            <v>15</v>
          </cell>
          <cell r="AO740">
            <v>0</v>
          </cell>
          <cell r="AP740">
            <v>0</v>
          </cell>
          <cell r="AQ740">
            <v>15</v>
          </cell>
          <cell r="AR740">
            <v>15</v>
          </cell>
          <cell r="BF740">
            <v>45</v>
          </cell>
          <cell r="BG740">
            <v>95.85</v>
          </cell>
          <cell r="BH740">
            <v>95.85</v>
          </cell>
          <cell r="BI740">
            <v>15</v>
          </cell>
          <cell r="BJ740">
            <v>15</v>
          </cell>
        </row>
        <row r="741">
          <cell r="D741" t="str">
            <v>Univerzita Pavla Jozefa Šafárika v Košiciach</v>
          </cell>
          <cell r="E741" t="str">
            <v>Prírodovedecká fakulta</v>
          </cell>
          <cell r="AN741">
            <v>9</v>
          </cell>
          <cell r="AO741">
            <v>0</v>
          </cell>
          <cell r="AP741">
            <v>0</v>
          </cell>
          <cell r="AQ741">
            <v>9</v>
          </cell>
          <cell r="AR741">
            <v>9</v>
          </cell>
          <cell r="BF741">
            <v>27</v>
          </cell>
          <cell r="BG741">
            <v>57.51</v>
          </cell>
          <cell r="BH741">
            <v>57.51</v>
          </cell>
          <cell r="BI741">
            <v>9</v>
          </cell>
          <cell r="BJ741">
            <v>9</v>
          </cell>
        </row>
        <row r="742">
          <cell r="D742" t="str">
            <v>Univerzita Pavla Jozefa Šafárika v Košiciach</v>
          </cell>
          <cell r="E742" t="str">
            <v>Prírodovedecká fakulta</v>
          </cell>
          <cell r="AN742">
            <v>4</v>
          </cell>
          <cell r="AO742">
            <v>0</v>
          </cell>
          <cell r="AP742">
            <v>0</v>
          </cell>
          <cell r="AQ742">
            <v>4</v>
          </cell>
          <cell r="AR742">
            <v>4</v>
          </cell>
          <cell r="BF742">
            <v>12</v>
          </cell>
          <cell r="BG742">
            <v>25.56</v>
          </cell>
          <cell r="BH742">
            <v>25.56</v>
          </cell>
          <cell r="BI742">
            <v>4</v>
          </cell>
          <cell r="BJ742">
            <v>4</v>
          </cell>
        </row>
        <row r="743">
          <cell r="D743" t="str">
            <v>Univerzita Pavla Jozefa Šafárika v Košiciach</v>
          </cell>
          <cell r="E743" t="str">
            <v>Prírodovedecká fakulta</v>
          </cell>
          <cell r="AN743">
            <v>6</v>
          </cell>
          <cell r="AO743">
            <v>0</v>
          </cell>
          <cell r="AP743">
            <v>0</v>
          </cell>
          <cell r="AQ743">
            <v>6</v>
          </cell>
          <cell r="AR743">
            <v>6</v>
          </cell>
          <cell r="BF743">
            <v>18</v>
          </cell>
          <cell r="BG743">
            <v>38.339999999999996</v>
          </cell>
          <cell r="BH743">
            <v>38.339999999999996</v>
          </cell>
          <cell r="BI743">
            <v>6</v>
          </cell>
          <cell r="BJ743">
            <v>6</v>
          </cell>
        </row>
        <row r="744">
          <cell r="D744" t="str">
            <v>Univerzita Pavla Jozefa Šafárika v Košiciach</v>
          </cell>
          <cell r="E744" t="str">
            <v>Prírodovedecká fakulta</v>
          </cell>
          <cell r="AN744">
            <v>9</v>
          </cell>
          <cell r="AO744">
            <v>0</v>
          </cell>
          <cell r="AP744">
            <v>0</v>
          </cell>
          <cell r="AQ744">
            <v>9</v>
          </cell>
          <cell r="AR744">
            <v>9</v>
          </cell>
          <cell r="BF744">
            <v>27</v>
          </cell>
          <cell r="BG744">
            <v>57.51</v>
          </cell>
          <cell r="BH744">
            <v>57.51</v>
          </cell>
          <cell r="BI744">
            <v>9</v>
          </cell>
          <cell r="BJ744">
            <v>9</v>
          </cell>
        </row>
        <row r="745">
          <cell r="D745" t="str">
            <v>Univerzita Pavla Jozefa Šafárika v Košiciach</v>
          </cell>
          <cell r="E745" t="str">
            <v>Prírodovedecká fakulta</v>
          </cell>
          <cell r="AN745">
            <v>3</v>
          </cell>
          <cell r="AO745">
            <v>0</v>
          </cell>
          <cell r="AP745">
            <v>0</v>
          </cell>
          <cell r="AQ745">
            <v>3</v>
          </cell>
          <cell r="AR745">
            <v>3</v>
          </cell>
          <cell r="BF745">
            <v>9</v>
          </cell>
          <cell r="BG745">
            <v>19.169999999999998</v>
          </cell>
          <cell r="BH745">
            <v>19.169999999999998</v>
          </cell>
          <cell r="BI745">
            <v>3</v>
          </cell>
          <cell r="BJ745">
            <v>3</v>
          </cell>
        </row>
        <row r="746">
          <cell r="D746" t="str">
            <v>Univerzita Pavla Jozefa Šafárika v Košiciach</v>
          </cell>
          <cell r="E746" t="str">
            <v>Prírodovedecká fakulta</v>
          </cell>
          <cell r="AN746">
            <v>16</v>
          </cell>
          <cell r="AO746">
            <v>0</v>
          </cell>
          <cell r="AP746">
            <v>0</v>
          </cell>
          <cell r="AQ746">
            <v>16</v>
          </cell>
          <cell r="AR746">
            <v>16</v>
          </cell>
          <cell r="BF746">
            <v>48</v>
          </cell>
          <cell r="BG746">
            <v>102.24</v>
          </cell>
          <cell r="BH746">
            <v>102.24</v>
          </cell>
          <cell r="BI746">
            <v>16</v>
          </cell>
          <cell r="BJ746">
            <v>16</v>
          </cell>
        </row>
        <row r="747">
          <cell r="D747" t="str">
            <v>Univerzita Pavla Jozefa Šafárika v Košiciach</v>
          </cell>
          <cell r="E747" t="str">
            <v>Prírodovedecká fakulta</v>
          </cell>
          <cell r="AN747">
            <v>12</v>
          </cell>
          <cell r="AO747">
            <v>0</v>
          </cell>
          <cell r="AP747">
            <v>0</v>
          </cell>
          <cell r="AQ747">
            <v>12</v>
          </cell>
          <cell r="AR747">
            <v>12</v>
          </cell>
          <cell r="BF747">
            <v>36</v>
          </cell>
          <cell r="BG747">
            <v>76.679999999999993</v>
          </cell>
          <cell r="BH747">
            <v>76.679999999999993</v>
          </cell>
          <cell r="BI747">
            <v>12</v>
          </cell>
          <cell r="BJ747">
            <v>12</v>
          </cell>
        </row>
        <row r="748">
          <cell r="D748" t="str">
            <v>Univerzita Pavla Jozefa Šafárika v Košiciach</v>
          </cell>
          <cell r="E748" t="str">
            <v>Prírodovedecká fakulta</v>
          </cell>
          <cell r="AN748">
            <v>4</v>
          </cell>
          <cell r="AO748">
            <v>0</v>
          </cell>
          <cell r="AP748">
            <v>0</v>
          </cell>
          <cell r="AQ748">
            <v>4</v>
          </cell>
          <cell r="AR748">
            <v>4</v>
          </cell>
          <cell r="BF748">
            <v>12</v>
          </cell>
          <cell r="BG748">
            <v>25.56</v>
          </cell>
          <cell r="BH748">
            <v>25.56</v>
          </cell>
          <cell r="BI748">
            <v>4</v>
          </cell>
          <cell r="BJ748">
            <v>4</v>
          </cell>
        </row>
        <row r="749">
          <cell r="D749" t="str">
            <v>Univerzita Pavla Jozefa Šafárika v Košiciach</v>
          </cell>
          <cell r="E749" t="str">
            <v>Prírodovedecká fakulta</v>
          </cell>
          <cell r="AN749">
            <v>9</v>
          </cell>
          <cell r="AO749">
            <v>0</v>
          </cell>
          <cell r="AP749">
            <v>0</v>
          </cell>
          <cell r="AQ749">
            <v>9</v>
          </cell>
          <cell r="AR749">
            <v>9</v>
          </cell>
          <cell r="BF749">
            <v>27</v>
          </cell>
          <cell r="BG749">
            <v>57.51</v>
          </cell>
          <cell r="BH749">
            <v>57.51</v>
          </cell>
          <cell r="BI749">
            <v>9</v>
          </cell>
          <cell r="BJ749">
            <v>9</v>
          </cell>
        </row>
        <row r="750">
          <cell r="D750" t="str">
            <v>Univerzita Pavla Jozefa Šafárika v Košiciach</v>
          </cell>
          <cell r="E750" t="str">
            <v>Prírodovedecká fakulta</v>
          </cell>
          <cell r="AN750">
            <v>2</v>
          </cell>
          <cell r="AO750">
            <v>0</v>
          </cell>
          <cell r="AP750">
            <v>0</v>
          </cell>
          <cell r="AQ750">
            <v>2</v>
          </cell>
          <cell r="AR750">
            <v>2</v>
          </cell>
          <cell r="BF750">
            <v>6</v>
          </cell>
          <cell r="BG750">
            <v>12.78</v>
          </cell>
          <cell r="BH750">
            <v>12.78</v>
          </cell>
          <cell r="BI750">
            <v>2</v>
          </cell>
          <cell r="BJ750">
            <v>2</v>
          </cell>
        </row>
        <row r="751">
          <cell r="D751" t="str">
            <v>Univerzita Pavla Jozefa Šafárika v Košiciach</v>
          </cell>
          <cell r="E751" t="str">
            <v>Prírodovedecká fakulta</v>
          </cell>
          <cell r="AN751">
            <v>26.5</v>
          </cell>
          <cell r="AO751">
            <v>27</v>
          </cell>
          <cell r="AP751">
            <v>27</v>
          </cell>
          <cell r="AQ751">
            <v>26.5</v>
          </cell>
          <cell r="AR751">
            <v>26.5</v>
          </cell>
          <cell r="BF751">
            <v>39.75</v>
          </cell>
          <cell r="BG751">
            <v>57.239999999999995</v>
          </cell>
          <cell r="BH751">
            <v>55.843902439024383</v>
          </cell>
          <cell r="BI751">
            <v>27</v>
          </cell>
          <cell r="BJ751">
            <v>0</v>
          </cell>
        </row>
        <row r="752">
          <cell r="D752" t="str">
            <v>Univerzita Pavla Jozefa Šafárika v Košiciach</v>
          </cell>
          <cell r="E752" t="str">
            <v>Filozofická fakulta</v>
          </cell>
          <cell r="AN752">
            <v>4</v>
          </cell>
          <cell r="AO752">
            <v>4.5</v>
          </cell>
          <cell r="AP752">
            <v>0</v>
          </cell>
          <cell r="AQ752">
            <v>0</v>
          </cell>
          <cell r="AR752">
            <v>4</v>
          </cell>
          <cell r="BF752">
            <v>6</v>
          </cell>
          <cell r="BG752">
            <v>7.14</v>
          </cell>
          <cell r="BH752">
            <v>7.14</v>
          </cell>
          <cell r="BI752">
            <v>4.5</v>
          </cell>
          <cell r="BJ752">
            <v>0</v>
          </cell>
        </row>
        <row r="753">
          <cell r="D753" t="str">
            <v>Univerzita Pavla Jozefa Šafárika v Košiciach</v>
          </cell>
          <cell r="E753" t="str">
            <v>Prírodovedecká fakulta</v>
          </cell>
          <cell r="AN753">
            <v>19</v>
          </cell>
          <cell r="AO753">
            <v>21</v>
          </cell>
          <cell r="AP753">
            <v>0</v>
          </cell>
          <cell r="AQ753">
            <v>0</v>
          </cell>
          <cell r="AR753">
            <v>19</v>
          </cell>
          <cell r="BF753">
            <v>28.5</v>
          </cell>
          <cell r="BG753">
            <v>42.18</v>
          </cell>
          <cell r="BH753">
            <v>28.998750000000001</v>
          </cell>
          <cell r="BI753">
            <v>21</v>
          </cell>
          <cell r="BJ753">
            <v>0</v>
          </cell>
        </row>
        <row r="754">
          <cell r="D754" t="str">
            <v>Univerzita Pavla Jozefa Šafárika v Košiciach</v>
          </cell>
          <cell r="E754" t="str">
            <v>Prírodovedecká fakulta</v>
          </cell>
          <cell r="AN754">
            <v>3</v>
          </cell>
          <cell r="AO754">
            <v>4</v>
          </cell>
          <cell r="AP754">
            <v>4</v>
          </cell>
          <cell r="AQ754">
            <v>3</v>
          </cell>
          <cell r="AR754">
            <v>3</v>
          </cell>
          <cell r="BF754">
            <v>4.5</v>
          </cell>
          <cell r="BG754">
            <v>6.66</v>
          </cell>
          <cell r="BH754">
            <v>6.66</v>
          </cell>
          <cell r="BI754">
            <v>4</v>
          </cell>
          <cell r="BJ754">
            <v>0</v>
          </cell>
        </row>
        <row r="755">
          <cell r="D755" t="str">
            <v>Univerzita Pavla Jozefa Šafárika v Košiciach</v>
          </cell>
          <cell r="E755" t="str">
            <v>Prírodovedecká fakulta</v>
          </cell>
          <cell r="AN755">
            <v>27.5</v>
          </cell>
          <cell r="AO755">
            <v>28</v>
          </cell>
          <cell r="AP755">
            <v>0</v>
          </cell>
          <cell r="AQ755">
            <v>0</v>
          </cell>
          <cell r="AR755">
            <v>27.5</v>
          </cell>
          <cell r="BF755">
            <v>41.25</v>
          </cell>
          <cell r="BG755">
            <v>59.4</v>
          </cell>
          <cell r="BH755">
            <v>51.652173913043477</v>
          </cell>
          <cell r="BI755">
            <v>28</v>
          </cell>
          <cell r="BJ755">
            <v>0</v>
          </cell>
        </row>
        <row r="756">
          <cell r="D756" t="str">
            <v>Univerzita Pavla Jozefa Šafárika v Košiciach</v>
          </cell>
          <cell r="E756" t="str">
            <v>Filozofická fakulta</v>
          </cell>
          <cell r="AN756">
            <v>5</v>
          </cell>
          <cell r="AO756">
            <v>6.5</v>
          </cell>
          <cell r="AP756">
            <v>0</v>
          </cell>
          <cell r="AQ756">
            <v>0</v>
          </cell>
          <cell r="AR756">
            <v>5</v>
          </cell>
          <cell r="BF756">
            <v>7.5</v>
          </cell>
          <cell r="BG756">
            <v>8.1750000000000007</v>
          </cell>
          <cell r="BH756">
            <v>8.1750000000000007</v>
          </cell>
          <cell r="BI756">
            <v>6.5</v>
          </cell>
          <cell r="BJ756">
            <v>0</v>
          </cell>
        </row>
        <row r="757">
          <cell r="D757" t="str">
            <v>Univerzita Pavla Jozefa Šafárika v Košiciach</v>
          </cell>
          <cell r="E757" t="str">
            <v>Fakulta verejnej správy</v>
          </cell>
          <cell r="AN757">
            <v>9</v>
          </cell>
          <cell r="AO757">
            <v>0</v>
          </cell>
          <cell r="AP757">
            <v>0</v>
          </cell>
          <cell r="AQ757">
            <v>0</v>
          </cell>
          <cell r="AR757">
            <v>9</v>
          </cell>
          <cell r="BF757">
            <v>36</v>
          </cell>
          <cell r="BG757">
            <v>39.6</v>
          </cell>
          <cell r="BH757">
            <v>39.6</v>
          </cell>
          <cell r="BI757">
            <v>9</v>
          </cell>
          <cell r="BJ757">
            <v>9</v>
          </cell>
        </row>
        <row r="758">
          <cell r="D758" t="str">
            <v>Univerzita Pavla Jozefa Šafárika v Košiciach</v>
          </cell>
          <cell r="E758" t="str">
            <v>Fakulta verejnej správy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7</v>
          </cell>
          <cell r="BJ758">
            <v>0</v>
          </cell>
        </row>
        <row r="759">
          <cell r="D759" t="str">
            <v>Univerzita Mateja Bela v Banskej Bystrici</v>
          </cell>
          <cell r="E759" t="str">
            <v>Ekonomická fakulta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68</v>
          </cell>
          <cell r="BJ759">
            <v>0</v>
          </cell>
        </row>
        <row r="760">
          <cell r="D760" t="str">
            <v>Univerzita Mateja Bela v Banskej Bystrici</v>
          </cell>
          <cell r="E760" t="str">
            <v>Ekonomická fakulta</v>
          </cell>
          <cell r="AN760">
            <v>1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75</v>
          </cell>
          <cell r="BJ760">
            <v>0</v>
          </cell>
        </row>
        <row r="761">
          <cell r="D761" t="str">
            <v>Univerzita Mateja Bela v Banskej Bystrici</v>
          </cell>
          <cell r="E761" t="str">
            <v>Ekonomická fakulta</v>
          </cell>
          <cell r="AN761">
            <v>111</v>
          </cell>
          <cell r="AO761">
            <v>139</v>
          </cell>
          <cell r="AP761">
            <v>0</v>
          </cell>
          <cell r="AQ761">
            <v>0</v>
          </cell>
          <cell r="AR761">
            <v>111</v>
          </cell>
          <cell r="BF761">
            <v>166.5</v>
          </cell>
          <cell r="BG761">
            <v>173.16</v>
          </cell>
          <cell r="BH761">
            <v>160.61217391304348</v>
          </cell>
          <cell r="BI761">
            <v>139</v>
          </cell>
          <cell r="BJ761">
            <v>0</v>
          </cell>
        </row>
        <row r="762">
          <cell r="D762" t="str">
            <v>Univerzita Mateja Bela v Banskej Bystrici</v>
          </cell>
          <cell r="E762" t="str">
            <v>Ekonomická fakulta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5</v>
          </cell>
          <cell r="BJ762">
            <v>0</v>
          </cell>
        </row>
        <row r="763">
          <cell r="D763" t="str">
            <v>Univerzita Mateja Bela v Banskej Bystrici</v>
          </cell>
          <cell r="E763" t="str">
            <v>Ekonomická fakulta</v>
          </cell>
          <cell r="AN763">
            <v>110</v>
          </cell>
          <cell r="AO763">
            <v>120</v>
          </cell>
          <cell r="AP763">
            <v>0</v>
          </cell>
          <cell r="AQ763">
            <v>0</v>
          </cell>
          <cell r="AR763">
            <v>110</v>
          </cell>
          <cell r="BF763">
            <v>165</v>
          </cell>
          <cell r="BG763">
            <v>171.6</v>
          </cell>
          <cell r="BH763">
            <v>157.63255813953486</v>
          </cell>
          <cell r="BI763">
            <v>120</v>
          </cell>
          <cell r="BJ763">
            <v>0</v>
          </cell>
        </row>
        <row r="764">
          <cell r="D764" t="str">
            <v>Univerzita Mateja Bela v Banskej Bystrici</v>
          </cell>
          <cell r="E764" t="str">
            <v>Ekonomická fakulta</v>
          </cell>
          <cell r="AN764">
            <v>143</v>
          </cell>
          <cell r="AO764">
            <v>168</v>
          </cell>
          <cell r="AP764">
            <v>0</v>
          </cell>
          <cell r="AQ764">
            <v>0</v>
          </cell>
          <cell r="AR764">
            <v>143</v>
          </cell>
          <cell r="BF764">
            <v>124.4</v>
          </cell>
          <cell r="BG764">
            <v>129.376</v>
          </cell>
          <cell r="BH764">
            <v>129.376</v>
          </cell>
          <cell r="BI764">
            <v>168</v>
          </cell>
          <cell r="BJ764">
            <v>0</v>
          </cell>
        </row>
        <row r="765">
          <cell r="D765" t="str">
            <v>Univerzita Mateja Bela v Banskej Bystrici</v>
          </cell>
          <cell r="E765" t="str">
            <v>Ekonomická fakulta</v>
          </cell>
          <cell r="AN765">
            <v>193</v>
          </cell>
          <cell r="AO765">
            <v>220</v>
          </cell>
          <cell r="AP765">
            <v>0</v>
          </cell>
          <cell r="AQ765">
            <v>0</v>
          </cell>
          <cell r="AR765">
            <v>193</v>
          </cell>
          <cell r="BF765">
            <v>163.89999999999998</v>
          </cell>
          <cell r="BG765">
            <v>170.45599999999999</v>
          </cell>
          <cell r="BH765">
            <v>170.45599999999999</v>
          </cell>
          <cell r="BI765">
            <v>220</v>
          </cell>
          <cell r="BJ765">
            <v>0</v>
          </cell>
        </row>
        <row r="766">
          <cell r="D766" t="str">
            <v>Univerzita Mateja Bela v Banskej Bystrici</v>
          </cell>
          <cell r="E766" t="str">
            <v>Ekonomická fakulta</v>
          </cell>
          <cell r="AN766">
            <v>85</v>
          </cell>
          <cell r="AO766">
            <v>91</v>
          </cell>
          <cell r="AP766">
            <v>0</v>
          </cell>
          <cell r="AQ766">
            <v>0</v>
          </cell>
          <cell r="AR766">
            <v>85</v>
          </cell>
          <cell r="BF766">
            <v>127.5</v>
          </cell>
          <cell r="BG766">
            <v>132.6</v>
          </cell>
          <cell r="BH766">
            <v>119.85</v>
          </cell>
          <cell r="BI766">
            <v>91</v>
          </cell>
          <cell r="BJ766">
            <v>0</v>
          </cell>
        </row>
        <row r="767">
          <cell r="D767" t="str">
            <v>Univerzita Mateja Bela v Banskej Bystrici</v>
          </cell>
          <cell r="E767" t="str">
            <v>Pedagogická fakulta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18</v>
          </cell>
          <cell r="BJ767">
            <v>0</v>
          </cell>
        </row>
        <row r="768">
          <cell r="D768" t="str">
            <v>Univerzita Mateja Bela v Banskej Bystrici</v>
          </cell>
          <cell r="E768" t="str">
            <v>Pedagogická fakulta</v>
          </cell>
          <cell r="AN768">
            <v>14</v>
          </cell>
          <cell r="AO768">
            <v>17</v>
          </cell>
          <cell r="AP768">
            <v>0</v>
          </cell>
          <cell r="AQ768">
            <v>0</v>
          </cell>
          <cell r="AR768">
            <v>14</v>
          </cell>
          <cell r="BF768">
            <v>12.5</v>
          </cell>
          <cell r="BG768">
            <v>14.875</v>
          </cell>
          <cell r="BH768">
            <v>14.875</v>
          </cell>
          <cell r="BI768">
            <v>17</v>
          </cell>
          <cell r="BJ768">
            <v>0</v>
          </cell>
        </row>
        <row r="769">
          <cell r="D769" t="str">
            <v>Univerzita Mateja Bela v Banskej Bystrici</v>
          </cell>
          <cell r="E769" t="str">
            <v>Pedagogická fakulta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1</v>
          </cell>
          <cell r="BJ769">
            <v>0</v>
          </cell>
        </row>
        <row r="770">
          <cell r="D770" t="str">
            <v>Univerzita Mateja Bela v Banskej Bystrici</v>
          </cell>
          <cell r="E770" t="str">
            <v>Pedagogická fakulta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91</v>
          </cell>
          <cell r="BJ770">
            <v>0</v>
          </cell>
        </row>
        <row r="771">
          <cell r="D771" t="str">
            <v>Univerzita Mateja Bela v Banskej Bystrici</v>
          </cell>
          <cell r="E771" t="str">
            <v>Pedagogická fakulta</v>
          </cell>
          <cell r="AN771">
            <v>230</v>
          </cell>
          <cell r="AO771">
            <v>235</v>
          </cell>
          <cell r="AP771">
            <v>0</v>
          </cell>
          <cell r="AQ771">
            <v>0</v>
          </cell>
          <cell r="AR771">
            <v>230</v>
          </cell>
          <cell r="BF771">
            <v>201.5</v>
          </cell>
          <cell r="BG771">
            <v>239.785</v>
          </cell>
          <cell r="BH771">
            <v>235.97888888888889</v>
          </cell>
          <cell r="BI771">
            <v>235</v>
          </cell>
          <cell r="BJ771">
            <v>0</v>
          </cell>
        </row>
        <row r="772">
          <cell r="D772" t="str">
            <v>Univerzita Mateja Bela v Banskej Bystrici</v>
          </cell>
          <cell r="E772" t="str">
            <v>Pedagogická fakulta</v>
          </cell>
          <cell r="AN772">
            <v>22</v>
          </cell>
          <cell r="AO772">
            <v>29</v>
          </cell>
          <cell r="AP772">
            <v>0</v>
          </cell>
          <cell r="AQ772">
            <v>0</v>
          </cell>
          <cell r="AR772">
            <v>22</v>
          </cell>
          <cell r="BF772">
            <v>18.100000000000001</v>
          </cell>
          <cell r="BG772">
            <v>18.100000000000001</v>
          </cell>
          <cell r="BH772">
            <v>18.100000000000001</v>
          </cell>
          <cell r="BI772">
            <v>29</v>
          </cell>
          <cell r="BJ772">
            <v>0</v>
          </cell>
        </row>
        <row r="773">
          <cell r="D773" t="str">
            <v>Univerzita Mateja Bela v Banskej Bystrici</v>
          </cell>
          <cell r="E773" t="str">
            <v>Pedagogická fakulta</v>
          </cell>
          <cell r="AN773">
            <v>32.5</v>
          </cell>
          <cell r="AO773">
            <v>40.5</v>
          </cell>
          <cell r="AP773">
            <v>0</v>
          </cell>
          <cell r="AQ773">
            <v>0</v>
          </cell>
          <cell r="AR773">
            <v>32.5</v>
          </cell>
          <cell r="BF773">
            <v>28</v>
          </cell>
          <cell r="BG773">
            <v>33.32</v>
          </cell>
          <cell r="BH773">
            <v>33.32</v>
          </cell>
          <cell r="BI773">
            <v>40.5</v>
          </cell>
          <cell r="BJ773">
            <v>0</v>
          </cell>
        </row>
        <row r="774">
          <cell r="D774" t="str">
            <v>Univerzita Mateja Bela v Banskej Bystrici</v>
          </cell>
          <cell r="E774" t="str">
            <v>Fakulta prírodných vied</v>
          </cell>
          <cell r="AN774">
            <v>57.5</v>
          </cell>
          <cell r="AO774">
            <v>63</v>
          </cell>
          <cell r="AP774">
            <v>63</v>
          </cell>
          <cell r="AQ774">
            <v>57.5</v>
          </cell>
          <cell r="AR774">
            <v>57.5</v>
          </cell>
          <cell r="BF774">
            <v>47.9</v>
          </cell>
          <cell r="BG774">
            <v>68.975999999999999</v>
          </cell>
          <cell r="BH774">
            <v>68.975999999999999</v>
          </cell>
          <cell r="BI774">
            <v>63</v>
          </cell>
          <cell r="BJ774">
            <v>0</v>
          </cell>
        </row>
        <row r="775">
          <cell r="D775" t="str">
            <v>Univerzita Mateja Bela v Banskej Bystrici</v>
          </cell>
          <cell r="E775" t="str">
            <v>Pedagogická fakulta</v>
          </cell>
          <cell r="AN775">
            <v>19</v>
          </cell>
          <cell r="AO775">
            <v>26</v>
          </cell>
          <cell r="AP775">
            <v>0</v>
          </cell>
          <cell r="AQ775">
            <v>0</v>
          </cell>
          <cell r="AR775">
            <v>19</v>
          </cell>
          <cell r="BF775">
            <v>16.899999999999999</v>
          </cell>
          <cell r="BG775">
            <v>18.420999999999999</v>
          </cell>
          <cell r="BH775">
            <v>18.420999999999999</v>
          </cell>
          <cell r="BI775">
            <v>26</v>
          </cell>
          <cell r="BJ775">
            <v>0</v>
          </cell>
        </row>
        <row r="776">
          <cell r="D776" t="str">
            <v>Univerzita Mateja Bela v Banskej Bystrici</v>
          </cell>
          <cell r="E776" t="str">
            <v>Filozofická fakulta</v>
          </cell>
          <cell r="AN776">
            <v>60.5</v>
          </cell>
          <cell r="AO776">
            <v>64</v>
          </cell>
          <cell r="AP776">
            <v>0</v>
          </cell>
          <cell r="AQ776">
            <v>0</v>
          </cell>
          <cell r="AR776">
            <v>60.5</v>
          </cell>
          <cell r="BF776">
            <v>51.65</v>
          </cell>
          <cell r="BG776">
            <v>56.298500000000004</v>
          </cell>
          <cell r="BH776">
            <v>54.287839285714291</v>
          </cell>
          <cell r="BI776">
            <v>64</v>
          </cell>
          <cell r="BJ776">
            <v>0</v>
          </cell>
        </row>
        <row r="777">
          <cell r="D777" t="str">
            <v>Univerzita Mateja Bela v Banskej Bystrici</v>
          </cell>
          <cell r="E777" t="str">
            <v>Pedagogická fakulta</v>
          </cell>
          <cell r="AN777">
            <v>29</v>
          </cell>
          <cell r="AO777">
            <v>33</v>
          </cell>
          <cell r="AP777">
            <v>0</v>
          </cell>
          <cell r="AQ777">
            <v>0</v>
          </cell>
          <cell r="AR777">
            <v>29</v>
          </cell>
          <cell r="BF777">
            <v>25.4</v>
          </cell>
          <cell r="BG777">
            <v>30.225999999999996</v>
          </cell>
          <cell r="BH777">
            <v>26.867555555555551</v>
          </cell>
          <cell r="BI777">
            <v>33</v>
          </cell>
          <cell r="BJ777">
            <v>0</v>
          </cell>
        </row>
        <row r="778">
          <cell r="D778" t="str">
            <v>Univerzita Mateja Bela v Banskej Bystrici</v>
          </cell>
          <cell r="E778" t="str">
            <v>Fakulta prírodných vied</v>
          </cell>
          <cell r="AN778">
            <v>2</v>
          </cell>
          <cell r="AO778">
            <v>0</v>
          </cell>
          <cell r="AP778">
            <v>0</v>
          </cell>
          <cell r="AQ778">
            <v>2</v>
          </cell>
          <cell r="AR778">
            <v>2</v>
          </cell>
          <cell r="BF778">
            <v>6</v>
          </cell>
          <cell r="BG778">
            <v>12.78</v>
          </cell>
          <cell r="BH778">
            <v>12.78</v>
          </cell>
          <cell r="BI778">
            <v>2</v>
          </cell>
          <cell r="BJ778">
            <v>2</v>
          </cell>
        </row>
        <row r="779">
          <cell r="D779" t="str">
            <v>Univerzita Mateja Bela v Banskej Bystrici</v>
          </cell>
          <cell r="E779" t="str">
            <v>Fakulta prírodných vied</v>
          </cell>
          <cell r="AN779">
            <v>2</v>
          </cell>
          <cell r="AO779">
            <v>0</v>
          </cell>
          <cell r="AP779">
            <v>0</v>
          </cell>
          <cell r="AQ779">
            <v>2</v>
          </cell>
          <cell r="AR779">
            <v>2</v>
          </cell>
          <cell r="BF779">
            <v>8</v>
          </cell>
          <cell r="BG779">
            <v>17.04</v>
          </cell>
          <cell r="BH779">
            <v>17.04</v>
          </cell>
          <cell r="BI779">
            <v>2</v>
          </cell>
          <cell r="BJ779">
            <v>2</v>
          </cell>
        </row>
        <row r="780">
          <cell r="D780" t="str">
            <v>Univerzita Mateja Bela v Banskej Bystrici</v>
          </cell>
          <cell r="E780" t="str">
            <v>Fakulta prírodných vied</v>
          </cell>
          <cell r="AN780">
            <v>23</v>
          </cell>
          <cell r="AO780">
            <v>29</v>
          </cell>
          <cell r="AP780">
            <v>0</v>
          </cell>
          <cell r="AQ780">
            <v>0</v>
          </cell>
          <cell r="AR780">
            <v>23</v>
          </cell>
          <cell r="BF780">
            <v>34.5</v>
          </cell>
          <cell r="BG780">
            <v>51.06</v>
          </cell>
          <cell r="BH780">
            <v>45.05294117647059</v>
          </cell>
          <cell r="BI780">
            <v>29</v>
          </cell>
          <cell r="BJ780">
            <v>0</v>
          </cell>
        </row>
        <row r="781">
          <cell r="D781" t="str">
            <v>Univerzita Mateja Bela v Banskej Bystrici</v>
          </cell>
          <cell r="E781" t="str">
            <v>Fakulta prírodných vied</v>
          </cell>
          <cell r="AN781">
            <v>6</v>
          </cell>
          <cell r="AO781">
            <v>9</v>
          </cell>
          <cell r="AP781">
            <v>9</v>
          </cell>
          <cell r="AQ781">
            <v>6</v>
          </cell>
          <cell r="AR781">
            <v>6</v>
          </cell>
          <cell r="BF781">
            <v>5.4</v>
          </cell>
          <cell r="BG781">
            <v>7.128000000000001</v>
          </cell>
          <cell r="BH781">
            <v>7.128000000000001</v>
          </cell>
          <cell r="BI781">
            <v>9</v>
          </cell>
          <cell r="BJ781">
            <v>0</v>
          </cell>
        </row>
        <row r="782">
          <cell r="D782" t="str">
            <v>Univerzita Mateja Bela v Banskej Bystrici</v>
          </cell>
          <cell r="E782" t="str">
            <v>Fakulta prírodných vied</v>
          </cell>
          <cell r="AN782">
            <v>28</v>
          </cell>
          <cell r="AO782">
            <v>29</v>
          </cell>
          <cell r="AP782">
            <v>0</v>
          </cell>
          <cell r="AQ782">
            <v>0</v>
          </cell>
          <cell r="AR782">
            <v>28</v>
          </cell>
          <cell r="BF782">
            <v>24.7</v>
          </cell>
          <cell r="BG782">
            <v>35.567999999999998</v>
          </cell>
          <cell r="BH782">
            <v>35.567999999999998</v>
          </cell>
          <cell r="BI782">
            <v>29</v>
          </cell>
          <cell r="BJ782">
            <v>0</v>
          </cell>
        </row>
        <row r="783">
          <cell r="D783" t="str">
            <v>Univerzita Mateja Bela v Banskej Bystrici</v>
          </cell>
          <cell r="E783" t="str">
            <v>Fakulta prírodných vied</v>
          </cell>
          <cell r="AN783">
            <v>12</v>
          </cell>
          <cell r="AO783">
            <v>13</v>
          </cell>
          <cell r="AP783">
            <v>13</v>
          </cell>
          <cell r="AQ783">
            <v>12</v>
          </cell>
          <cell r="AR783">
            <v>12</v>
          </cell>
          <cell r="BF783">
            <v>9.1499999999999986</v>
          </cell>
          <cell r="BG783">
            <v>13.175999999999997</v>
          </cell>
          <cell r="BH783">
            <v>13.175999999999997</v>
          </cell>
          <cell r="BI783">
            <v>13</v>
          </cell>
          <cell r="BJ783">
            <v>0</v>
          </cell>
        </row>
        <row r="784">
          <cell r="D784" t="str">
            <v>Univerzita Mateja Bela v Banskej Bystrici</v>
          </cell>
          <cell r="E784" t="str">
            <v>Fakulta prírodných vied</v>
          </cell>
          <cell r="AN784">
            <v>79</v>
          </cell>
          <cell r="AO784">
            <v>87</v>
          </cell>
          <cell r="AP784">
            <v>87</v>
          </cell>
          <cell r="AQ784">
            <v>79</v>
          </cell>
          <cell r="AR784">
            <v>79</v>
          </cell>
          <cell r="BF784">
            <v>67.3</v>
          </cell>
          <cell r="BG784">
            <v>99.603999999999999</v>
          </cell>
          <cell r="BH784">
            <v>94.860952380952369</v>
          </cell>
          <cell r="BI784">
            <v>87</v>
          </cell>
          <cell r="BJ784">
            <v>0</v>
          </cell>
        </row>
        <row r="785">
          <cell r="D785" t="str">
            <v>Univerzita Mateja Bela v Banskej Bystrici</v>
          </cell>
          <cell r="E785" t="str">
            <v>Fakulta prírodných vied</v>
          </cell>
          <cell r="AN785">
            <v>59</v>
          </cell>
          <cell r="AO785">
            <v>63</v>
          </cell>
          <cell r="AP785">
            <v>63</v>
          </cell>
          <cell r="AQ785">
            <v>59</v>
          </cell>
          <cell r="AR785">
            <v>59</v>
          </cell>
          <cell r="BF785">
            <v>50</v>
          </cell>
          <cell r="BG785">
            <v>72</v>
          </cell>
          <cell r="BH785">
            <v>72</v>
          </cell>
          <cell r="BI785">
            <v>63</v>
          </cell>
          <cell r="BJ785">
            <v>0</v>
          </cell>
        </row>
        <row r="786">
          <cell r="D786" t="str">
            <v>Univerzita Mateja Bela v Banskej Bystrici</v>
          </cell>
          <cell r="E786" t="str">
            <v>Filozofická fakulta</v>
          </cell>
          <cell r="AN786">
            <v>53.5</v>
          </cell>
          <cell r="AO786">
            <v>59.5</v>
          </cell>
          <cell r="AP786">
            <v>0</v>
          </cell>
          <cell r="AQ786">
            <v>0</v>
          </cell>
          <cell r="AR786">
            <v>53.5</v>
          </cell>
          <cell r="BF786">
            <v>45.25</v>
          </cell>
          <cell r="BG786">
            <v>49.322500000000005</v>
          </cell>
          <cell r="BH786">
            <v>49.322500000000005</v>
          </cell>
          <cell r="BI786">
            <v>59.5</v>
          </cell>
          <cell r="BJ786">
            <v>0</v>
          </cell>
        </row>
        <row r="787">
          <cell r="D787" t="str">
            <v>Univerzita Mateja Bela v Banskej Bystrici</v>
          </cell>
          <cell r="E787" t="str">
            <v>Fakulta prírodných vied</v>
          </cell>
          <cell r="AN787">
            <v>18</v>
          </cell>
          <cell r="AO787">
            <v>24</v>
          </cell>
          <cell r="AP787">
            <v>24</v>
          </cell>
          <cell r="AQ787">
            <v>18</v>
          </cell>
          <cell r="AR787">
            <v>18</v>
          </cell>
          <cell r="BF787">
            <v>15.6</v>
          </cell>
          <cell r="BG787">
            <v>23.088000000000001</v>
          </cell>
          <cell r="BH787">
            <v>23.088000000000001</v>
          </cell>
          <cell r="BI787">
            <v>24</v>
          </cell>
          <cell r="BJ787">
            <v>0</v>
          </cell>
        </row>
        <row r="788">
          <cell r="D788" t="str">
            <v>Univerzita Mateja Bela v Banskej Bystrici</v>
          </cell>
          <cell r="E788" t="str">
            <v>Fakulta prírodných vied</v>
          </cell>
          <cell r="AN788">
            <v>6</v>
          </cell>
          <cell r="AO788">
            <v>7</v>
          </cell>
          <cell r="AP788">
            <v>0</v>
          </cell>
          <cell r="AQ788">
            <v>0</v>
          </cell>
          <cell r="AR788">
            <v>6</v>
          </cell>
          <cell r="BF788">
            <v>4.8</v>
          </cell>
          <cell r="BG788">
            <v>6.9119999999999999</v>
          </cell>
          <cell r="BH788">
            <v>6.4255999999999993</v>
          </cell>
          <cell r="BI788">
            <v>7</v>
          </cell>
          <cell r="BJ788">
            <v>0</v>
          </cell>
        </row>
        <row r="789">
          <cell r="D789" t="str">
            <v>Univerzita Mateja Bela v Banskej Bystrici</v>
          </cell>
          <cell r="E789" t="str">
            <v>Fakulta prírodných vied</v>
          </cell>
          <cell r="AN789">
            <v>12.5</v>
          </cell>
          <cell r="AO789">
            <v>13</v>
          </cell>
          <cell r="AP789">
            <v>13</v>
          </cell>
          <cell r="AQ789">
            <v>12.5</v>
          </cell>
          <cell r="AR789">
            <v>12.5</v>
          </cell>
          <cell r="BF789">
            <v>10.399999999999999</v>
          </cell>
          <cell r="BG789">
            <v>12.375999999999998</v>
          </cell>
          <cell r="BH789">
            <v>12.375999999999998</v>
          </cell>
          <cell r="BI789">
            <v>13</v>
          </cell>
          <cell r="BJ789">
            <v>0</v>
          </cell>
        </row>
        <row r="790">
          <cell r="D790" t="str">
            <v>Univerzita Mateja Bela v Banskej Bystrici</v>
          </cell>
          <cell r="E790" t="str">
            <v>Fakulta prírodných vied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1</v>
          </cell>
          <cell r="BJ790">
            <v>0</v>
          </cell>
        </row>
        <row r="791">
          <cell r="D791" t="str">
            <v>Univerzita Mateja Bela v Banskej Bystrici</v>
          </cell>
          <cell r="E791" t="str">
            <v>Fakulta politických vied a medzinárodných vzťahov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9</v>
          </cell>
          <cell r="BJ791">
            <v>0</v>
          </cell>
        </row>
        <row r="792">
          <cell r="D792" t="str">
            <v>Univerzita Mateja Bela v Banskej Bystrici</v>
          </cell>
          <cell r="E792" t="str">
            <v>Fakulta politických vied a medzinárodných vzťahov</v>
          </cell>
          <cell r="AN792">
            <v>10</v>
          </cell>
          <cell r="AO792">
            <v>0</v>
          </cell>
          <cell r="AP792">
            <v>0</v>
          </cell>
          <cell r="AQ792">
            <v>0</v>
          </cell>
          <cell r="AR792">
            <v>10</v>
          </cell>
          <cell r="BF792">
            <v>40</v>
          </cell>
          <cell r="BG792">
            <v>44</v>
          </cell>
          <cell r="BH792">
            <v>44</v>
          </cell>
          <cell r="BI792">
            <v>11</v>
          </cell>
          <cell r="BJ792">
            <v>10</v>
          </cell>
        </row>
        <row r="793">
          <cell r="D793" t="str">
            <v>Univerzita Mateja Bela v Banskej Bystrici</v>
          </cell>
          <cell r="E793" t="str">
            <v>Fakulta politických vied a medzinárodných vzťahov</v>
          </cell>
          <cell r="AN793">
            <v>111</v>
          </cell>
          <cell r="AO793">
            <v>127</v>
          </cell>
          <cell r="AP793">
            <v>0</v>
          </cell>
          <cell r="AQ793">
            <v>0</v>
          </cell>
          <cell r="AR793">
            <v>111</v>
          </cell>
          <cell r="BF793">
            <v>166.5</v>
          </cell>
          <cell r="BG793">
            <v>166.5</v>
          </cell>
          <cell r="BH793">
            <v>136.84931506849315</v>
          </cell>
          <cell r="BI793">
            <v>127</v>
          </cell>
          <cell r="BJ793">
            <v>0</v>
          </cell>
        </row>
        <row r="794">
          <cell r="D794" t="str">
            <v>Univerzita Mateja Bela v Banskej Bystrici</v>
          </cell>
          <cell r="E794" t="str">
            <v>Fakulta politických vied a medzinárodných vzťahov</v>
          </cell>
          <cell r="AN794">
            <v>1</v>
          </cell>
          <cell r="AO794">
            <v>0</v>
          </cell>
          <cell r="AP794">
            <v>0</v>
          </cell>
          <cell r="AQ794">
            <v>0</v>
          </cell>
          <cell r="AR794">
            <v>1</v>
          </cell>
          <cell r="BF794">
            <v>4</v>
          </cell>
          <cell r="BG794">
            <v>4.4000000000000004</v>
          </cell>
          <cell r="BH794">
            <v>4.4000000000000004</v>
          </cell>
          <cell r="BI794">
            <v>2</v>
          </cell>
          <cell r="BJ794">
            <v>1</v>
          </cell>
        </row>
        <row r="795">
          <cell r="D795" t="str">
            <v>Univerzita Mateja Bela v Banskej Bystrici</v>
          </cell>
          <cell r="E795" t="str">
            <v>Fakulta politických vied a medzinárodných vzťahov</v>
          </cell>
          <cell r="AN795">
            <v>22</v>
          </cell>
          <cell r="AO795">
            <v>29</v>
          </cell>
          <cell r="AP795">
            <v>0</v>
          </cell>
          <cell r="AQ795">
            <v>0</v>
          </cell>
          <cell r="AR795">
            <v>22</v>
          </cell>
          <cell r="BF795">
            <v>19</v>
          </cell>
          <cell r="BG795">
            <v>19</v>
          </cell>
          <cell r="BH795">
            <v>15.833333333333334</v>
          </cell>
          <cell r="BI795">
            <v>29</v>
          </cell>
          <cell r="BJ795">
            <v>0</v>
          </cell>
        </row>
        <row r="796">
          <cell r="D796" t="str">
            <v>Univerzita Mateja Bela v Banskej Bystrici</v>
          </cell>
          <cell r="E796" t="str">
            <v>Fakulta politických vied a medzinárodných vzťahov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4</v>
          </cell>
          <cell r="BJ796">
            <v>0</v>
          </cell>
        </row>
        <row r="797">
          <cell r="D797" t="str">
            <v>Akadémia umení v Banskej Bystrici</v>
          </cell>
          <cell r="E797" t="str">
            <v>Fakulta výtvarných umení</v>
          </cell>
          <cell r="AN797">
            <v>17</v>
          </cell>
          <cell r="AO797">
            <v>18</v>
          </cell>
          <cell r="AP797">
            <v>0</v>
          </cell>
          <cell r="AQ797">
            <v>0</v>
          </cell>
          <cell r="AR797">
            <v>17</v>
          </cell>
          <cell r="BF797">
            <v>15.2</v>
          </cell>
          <cell r="BG797">
            <v>49.095999999999997</v>
          </cell>
          <cell r="BH797">
            <v>36.821999999999996</v>
          </cell>
          <cell r="BI797">
            <v>18</v>
          </cell>
          <cell r="BJ797">
            <v>0</v>
          </cell>
        </row>
        <row r="798">
          <cell r="D798" t="str">
            <v>Akadémia umení v Banskej Bystrici</v>
          </cell>
          <cell r="E798" t="str">
            <v>Fakulta výtvarných umení</v>
          </cell>
          <cell r="AN798">
            <v>36</v>
          </cell>
          <cell r="AO798">
            <v>41</v>
          </cell>
          <cell r="AP798">
            <v>0</v>
          </cell>
          <cell r="AQ798">
            <v>0</v>
          </cell>
          <cell r="AR798">
            <v>36</v>
          </cell>
          <cell r="BF798">
            <v>33</v>
          </cell>
          <cell r="BG798">
            <v>106.59</v>
          </cell>
          <cell r="BH798">
            <v>98.390769230769237</v>
          </cell>
          <cell r="BI798">
            <v>41</v>
          </cell>
          <cell r="BJ798">
            <v>0</v>
          </cell>
        </row>
        <row r="799">
          <cell r="D799" t="str">
            <v>Akadémia umení v Banskej Bystrici</v>
          </cell>
          <cell r="E799" t="str">
            <v>Fakulta výtvarných umení</v>
          </cell>
          <cell r="AN799">
            <v>38</v>
          </cell>
          <cell r="AO799">
            <v>39</v>
          </cell>
          <cell r="AP799">
            <v>0</v>
          </cell>
          <cell r="AQ799">
            <v>0</v>
          </cell>
          <cell r="AR799">
            <v>38</v>
          </cell>
          <cell r="BF799">
            <v>34.4</v>
          </cell>
          <cell r="BG799">
            <v>111.11199999999999</v>
          </cell>
          <cell r="BH799">
            <v>111.11199999999999</v>
          </cell>
          <cell r="BI799">
            <v>39</v>
          </cell>
          <cell r="BJ799">
            <v>0</v>
          </cell>
        </row>
        <row r="800">
          <cell r="D800" t="str">
            <v>Akadémia umení v Banskej Bystrici</v>
          </cell>
          <cell r="E800" t="str">
            <v>Fakulta výtvarných umení</v>
          </cell>
          <cell r="AN800">
            <v>45</v>
          </cell>
          <cell r="AO800">
            <v>51</v>
          </cell>
          <cell r="AP800">
            <v>0</v>
          </cell>
          <cell r="AQ800">
            <v>0</v>
          </cell>
          <cell r="AR800">
            <v>45</v>
          </cell>
          <cell r="BF800">
            <v>39.9</v>
          </cell>
          <cell r="BG800">
            <v>128.87699999999998</v>
          </cell>
          <cell r="BH800">
            <v>128.87699999999998</v>
          </cell>
          <cell r="BI800">
            <v>51</v>
          </cell>
          <cell r="BJ800">
            <v>0</v>
          </cell>
        </row>
        <row r="801">
          <cell r="D801" t="str">
            <v>Univerzita Mateja Bela v Banskej Bystrici</v>
          </cell>
          <cell r="E801" t="str">
            <v>Právnická fakulta</v>
          </cell>
          <cell r="AN801">
            <v>140</v>
          </cell>
          <cell r="AO801">
            <v>162</v>
          </cell>
          <cell r="AP801">
            <v>0</v>
          </cell>
          <cell r="AQ801">
            <v>0</v>
          </cell>
          <cell r="AR801">
            <v>140</v>
          </cell>
          <cell r="BF801">
            <v>210</v>
          </cell>
          <cell r="BG801">
            <v>210</v>
          </cell>
          <cell r="BH801">
            <v>158.08988764044946</v>
          </cell>
          <cell r="BI801">
            <v>162</v>
          </cell>
          <cell r="BJ801">
            <v>0</v>
          </cell>
        </row>
        <row r="802">
          <cell r="D802" t="str">
            <v>Univerzita Mateja Bela v Banskej Bystrici</v>
          </cell>
          <cell r="E802" t="str">
            <v>Právnická fakulta</v>
          </cell>
          <cell r="AN802">
            <v>347</v>
          </cell>
          <cell r="AO802">
            <v>381</v>
          </cell>
          <cell r="AP802">
            <v>0</v>
          </cell>
          <cell r="AQ802">
            <v>0</v>
          </cell>
          <cell r="AR802">
            <v>347</v>
          </cell>
          <cell r="BF802">
            <v>291.5</v>
          </cell>
          <cell r="BG802">
            <v>291.5</v>
          </cell>
          <cell r="BH802">
            <v>281.78333333333336</v>
          </cell>
          <cell r="BI802">
            <v>381</v>
          </cell>
          <cell r="BJ802">
            <v>0</v>
          </cell>
        </row>
        <row r="803">
          <cell r="D803" t="str">
            <v>Akadémia umení v Banskej Bystrici</v>
          </cell>
          <cell r="E803" t="str">
            <v>Fakulta dramatických umení</v>
          </cell>
          <cell r="AN803">
            <v>38</v>
          </cell>
          <cell r="AO803">
            <v>40</v>
          </cell>
          <cell r="AP803">
            <v>0</v>
          </cell>
          <cell r="AQ803">
            <v>0</v>
          </cell>
          <cell r="AR803">
            <v>38</v>
          </cell>
          <cell r="BF803">
            <v>34.1</v>
          </cell>
          <cell r="BG803">
            <v>110.143</v>
          </cell>
          <cell r="BH803">
            <v>110.143</v>
          </cell>
          <cell r="BI803">
            <v>40</v>
          </cell>
          <cell r="BJ803">
            <v>0</v>
          </cell>
        </row>
        <row r="804">
          <cell r="D804" t="str">
            <v>Akadémia umení v Banskej Bystrici</v>
          </cell>
          <cell r="E804" t="str">
            <v>Fakulta dramatických umení</v>
          </cell>
          <cell r="AN804">
            <v>5</v>
          </cell>
          <cell r="AO804">
            <v>0</v>
          </cell>
          <cell r="AP804">
            <v>0</v>
          </cell>
          <cell r="AQ804">
            <v>0</v>
          </cell>
          <cell r="AR804">
            <v>5</v>
          </cell>
          <cell r="BF804">
            <v>15</v>
          </cell>
          <cell r="BG804">
            <v>16.5</v>
          </cell>
          <cell r="BH804">
            <v>16.5</v>
          </cell>
          <cell r="BI804">
            <v>5</v>
          </cell>
          <cell r="BJ804">
            <v>5</v>
          </cell>
        </row>
        <row r="805">
          <cell r="D805" t="str">
            <v>Trnavská univerzita v Trnave</v>
          </cell>
          <cell r="E805" t="str">
            <v>Teologická fakulta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5</v>
          </cell>
          <cell r="BJ805">
            <v>0</v>
          </cell>
        </row>
        <row r="806">
          <cell r="D806" t="str">
            <v>Trnavská univerzita v Trnave</v>
          </cell>
          <cell r="E806" t="str">
            <v>Teologická fakulta</v>
          </cell>
          <cell r="AN806">
            <v>16</v>
          </cell>
          <cell r="AO806">
            <v>37</v>
          </cell>
          <cell r="AP806">
            <v>0</v>
          </cell>
          <cell r="AQ806">
            <v>0</v>
          </cell>
          <cell r="AR806">
            <v>16</v>
          </cell>
          <cell r="BF806">
            <v>13</v>
          </cell>
          <cell r="BG806">
            <v>13</v>
          </cell>
          <cell r="BH806">
            <v>13</v>
          </cell>
          <cell r="BI806">
            <v>37</v>
          </cell>
          <cell r="BJ806">
            <v>0</v>
          </cell>
        </row>
        <row r="807">
          <cell r="D807" t="str">
            <v>Trnavská univerzita v Trnave</v>
          </cell>
          <cell r="E807" t="str">
            <v>Teologická fakulta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2</v>
          </cell>
          <cell r="BJ807">
            <v>0</v>
          </cell>
        </row>
        <row r="808">
          <cell r="D808" t="str">
            <v>Akadémia umení v Banskej Bystrici</v>
          </cell>
          <cell r="E808" t="str">
            <v>Fakulta múzických umení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32</v>
          </cell>
          <cell r="BJ808">
            <v>0</v>
          </cell>
        </row>
        <row r="809">
          <cell r="D809" t="str">
            <v>Univerzita Pavla Jozefa Šafárika v Košiciach</v>
          </cell>
          <cell r="E809" t="str">
            <v>Prírodovedecká fakulta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8</v>
          </cell>
          <cell r="BJ809">
            <v>0</v>
          </cell>
        </row>
        <row r="810">
          <cell r="D810" t="str">
            <v>Univerzita Pavla Jozefa Šafárika v Košiciach</v>
          </cell>
          <cell r="E810" t="str">
            <v>Prírodovedecká fakulta</v>
          </cell>
          <cell r="AN810">
            <v>16</v>
          </cell>
          <cell r="AO810">
            <v>17</v>
          </cell>
          <cell r="AP810">
            <v>17</v>
          </cell>
          <cell r="AQ810">
            <v>16</v>
          </cell>
          <cell r="AR810">
            <v>16</v>
          </cell>
          <cell r="BF810">
            <v>14.5</v>
          </cell>
          <cell r="BG810">
            <v>21.46</v>
          </cell>
          <cell r="BH810">
            <v>21.46</v>
          </cell>
          <cell r="BI810">
            <v>17</v>
          </cell>
          <cell r="BJ810">
            <v>0</v>
          </cell>
        </row>
        <row r="811">
          <cell r="D811" t="str">
            <v>Univerzita Pavla Jozefa Šafárika v Košiciach</v>
          </cell>
          <cell r="E811" t="str">
            <v>Prírodovedecká fakulta</v>
          </cell>
          <cell r="AN811">
            <v>12</v>
          </cell>
          <cell r="AO811">
            <v>16</v>
          </cell>
          <cell r="AP811">
            <v>16</v>
          </cell>
          <cell r="AQ811">
            <v>12</v>
          </cell>
          <cell r="AR811">
            <v>12</v>
          </cell>
          <cell r="BF811">
            <v>11.1</v>
          </cell>
          <cell r="BG811">
            <v>16.428000000000001</v>
          </cell>
          <cell r="BH811">
            <v>16.428000000000001</v>
          </cell>
          <cell r="BI811">
            <v>16</v>
          </cell>
          <cell r="BJ811">
            <v>0</v>
          </cell>
        </row>
        <row r="812">
          <cell r="D812" t="str">
            <v>Univerzita Pavla Jozefa Šafárika v Košiciach</v>
          </cell>
          <cell r="E812" t="str">
            <v>Prírodovedecká fakulta</v>
          </cell>
          <cell r="AN812">
            <v>92</v>
          </cell>
          <cell r="AO812">
            <v>104</v>
          </cell>
          <cell r="AP812">
            <v>104</v>
          </cell>
          <cell r="AQ812">
            <v>92</v>
          </cell>
          <cell r="AR812">
            <v>92</v>
          </cell>
          <cell r="BF812">
            <v>79.099999999999994</v>
          </cell>
          <cell r="BG812">
            <v>117.06799999999998</v>
          </cell>
          <cell r="BH812">
            <v>117.06799999999998</v>
          </cell>
          <cell r="BI812">
            <v>104</v>
          </cell>
          <cell r="BJ812">
            <v>0</v>
          </cell>
        </row>
        <row r="813">
          <cell r="D813" t="str">
            <v>Univerzita Pavla Jozefa Šafárika v Košiciach</v>
          </cell>
          <cell r="E813" t="str">
            <v>Prírodovedecká fakulta</v>
          </cell>
          <cell r="AN813">
            <v>71</v>
          </cell>
          <cell r="AO813">
            <v>78</v>
          </cell>
          <cell r="AP813">
            <v>78</v>
          </cell>
          <cell r="AQ813">
            <v>71</v>
          </cell>
          <cell r="AR813">
            <v>71</v>
          </cell>
          <cell r="BF813">
            <v>60.2</v>
          </cell>
          <cell r="BG813">
            <v>89.096000000000004</v>
          </cell>
          <cell r="BH813">
            <v>89.096000000000004</v>
          </cell>
          <cell r="BI813">
            <v>78</v>
          </cell>
          <cell r="BJ813">
            <v>0</v>
          </cell>
        </row>
        <row r="814">
          <cell r="D814" t="str">
            <v>Univerzita Pavla Jozefa Šafárika v Košiciach</v>
          </cell>
          <cell r="E814" t="str">
            <v>Prírodovedecká fakulta</v>
          </cell>
          <cell r="AN814">
            <v>8</v>
          </cell>
          <cell r="AO814">
            <v>10</v>
          </cell>
          <cell r="AP814">
            <v>10</v>
          </cell>
          <cell r="AQ814">
            <v>8</v>
          </cell>
          <cell r="AR814">
            <v>8</v>
          </cell>
          <cell r="BF814">
            <v>7.4</v>
          </cell>
          <cell r="BG814">
            <v>10.36</v>
          </cell>
          <cell r="BH814">
            <v>10.36</v>
          </cell>
          <cell r="BI814">
            <v>10</v>
          </cell>
          <cell r="BJ814">
            <v>0</v>
          </cell>
        </row>
        <row r="815">
          <cell r="D815" t="str">
            <v>Univerzita Pavla Jozefa Šafárika v Košiciach</v>
          </cell>
          <cell r="E815" t="str">
            <v>Prírodovedecká fakulta</v>
          </cell>
          <cell r="AN815">
            <v>31</v>
          </cell>
          <cell r="AO815">
            <v>34</v>
          </cell>
          <cell r="AP815">
            <v>34</v>
          </cell>
          <cell r="AQ815">
            <v>31</v>
          </cell>
          <cell r="AR815">
            <v>31</v>
          </cell>
          <cell r="BF815">
            <v>25.299999999999997</v>
          </cell>
          <cell r="BG815">
            <v>37.443999999999996</v>
          </cell>
          <cell r="BH815">
            <v>37.443999999999996</v>
          </cell>
          <cell r="BI815">
            <v>34</v>
          </cell>
          <cell r="BJ815">
            <v>0</v>
          </cell>
        </row>
        <row r="816">
          <cell r="D816" t="str">
            <v>Univerzita Pavla Jozefa Šafárika v Košiciach</v>
          </cell>
          <cell r="E816" t="str">
            <v>Prírodovedecká fakulta</v>
          </cell>
          <cell r="AN816">
            <v>14</v>
          </cell>
          <cell r="AO816">
            <v>16</v>
          </cell>
          <cell r="AP816">
            <v>16</v>
          </cell>
          <cell r="AQ816">
            <v>14</v>
          </cell>
          <cell r="AR816">
            <v>14</v>
          </cell>
          <cell r="BF816">
            <v>11.899999999999999</v>
          </cell>
          <cell r="BG816">
            <v>15.707999999999998</v>
          </cell>
          <cell r="BH816">
            <v>15.707999999999998</v>
          </cell>
          <cell r="BI816">
            <v>16</v>
          </cell>
          <cell r="BJ816">
            <v>0</v>
          </cell>
        </row>
        <row r="817">
          <cell r="D817" t="str">
            <v>Univerzita Pavla Jozefa Šafárika v Košiciach</v>
          </cell>
          <cell r="E817" t="str">
            <v>Prírodovedecká fakulta</v>
          </cell>
          <cell r="AN817">
            <v>22</v>
          </cell>
          <cell r="AO817">
            <v>27</v>
          </cell>
          <cell r="AP817">
            <v>27</v>
          </cell>
          <cell r="AQ817">
            <v>22</v>
          </cell>
          <cell r="AR817">
            <v>22</v>
          </cell>
          <cell r="BF817">
            <v>19</v>
          </cell>
          <cell r="BG817">
            <v>28.12</v>
          </cell>
          <cell r="BH817">
            <v>28.12</v>
          </cell>
          <cell r="BI817">
            <v>27</v>
          </cell>
          <cell r="BJ817">
            <v>0</v>
          </cell>
        </row>
        <row r="818">
          <cell r="D818" t="str">
            <v>Univerzita Pavla Jozefa Šafárika v Košiciach</v>
          </cell>
          <cell r="E818" t="str">
            <v>Fakulta verejnej správy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32</v>
          </cell>
          <cell r="BJ818">
            <v>0</v>
          </cell>
        </row>
        <row r="819">
          <cell r="D819" t="str">
            <v>Univerzita Pavla Jozefa Šafárika v Košiciach</v>
          </cell>
          <cell r="E819" t="str">
            <v>Fakulta verejnej správy</v>
          </cell>
          <cell r="AN819">
            <v>1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56</v>
          </cell>
          <cell r="BJ819">
            <v>0</v>
          </cell>
        </row>
        <row r="820">
          <cell r="D820" t="str">
            <v>Univerzita Pavla Jozefa Šafárika v Košiciach</v>
          </cell>
          <cell r="E820" t="str">
            <v>Fakulta verejnej správy</v>
          </cell>
          <cell r="AN820">
            <v>105</v>
          </cell>
          <cell r="AO820">
            <v>116</v>
          </cell>
          <cell r="AP820">
            <v>0</v>
          </cell>
          <cell r="AQ820">
            <v>0</v>
          </cell>
          <cell r="AR820">
            <v>105</v>
          </cell>
          <cell r="BF820">
            <v>89.699999999999989</v>
          </cell>
          <cell r="BG820">
            <v>89.699999999999989</v>
          </cell>
          <cell r="BH820">
            <v>89.699999999999989</v>
          </cell>
          <cell r="BI820">
            <v>116</v>
          </cell>
          <cell r="BJ820">
            <v>0</v>
          </cell>
        </row>
        <row r="821">
          <cell r="D821" t="str">
            <v>Univerzita Mateja Bela v Banskej Bystrici</v>
          </cell>
          <cell r="E821" t="str">
            <v>Filozofická fakulta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1</v>
          </cell>
          <cell r="BJ821">
            <v>0</v>
          </cell>
        </row>
        <row r="822">
          <cell r="D822" t="str">
            <v>Univerzita Mateja Bela v Banskej Bystrici</v>
          </cell>
          <cell r="E822" t="str">
            <v>Filozofická fakulta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7</v>
          </cell>
          <cell r="BJ822">
            <v>0</v>
          </cell>
        </row>
        <row r="823">
          <cell r="D823" t="str">
            <v>Univerzita Mateja Bela v Banskej Bystrici</v>
          </cell>
          <cell r="E823" t="str">
            <v>Filozofická fakulta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41</v>
          </cell>
          <cell r="BJ823">
            <v>0</v>
          </cell>
        </row>
        <row r="824">
          <cell r="D824" t="str">
            <v>Univerzita Mateja Bela v Banskej Bystrici</v>
          </cell>
          <cell r="E824" t="str">
            <v>Filozofická fakulta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15</v>
          </cell>
          <cell r="BJ824">
            <v>0</v>
          </cell>
        </row>
        <row r="825">
          <cell r="D825" t="str">
            <v>Univerzita Mateja Bela v Banskej Bystrici</v>
          </cell>
          <cell r="E825" t="str">
            <v>Filozofická fakulta</v>
          </cell>
          <cell r="AN825">
            <v>4</v>
          </cell>
          <cell r="AO825">
            <v>0</v>
          </cell>
          <cell r="AP825">
            <v>0</v>
          </cell>
          <cell r="AQ825">
            <v>0</v>
          </cell>
          <cell r="AR825">
            <v>4</v>
          </cell>
          <cell r="BF825">
            <v>16</v>
          </cell>
          <cell r="BG825">
            <v>17.600000000000001</v>
          </cell>
          <cell r="BH825">
            <v>17.600000000000001</v>
          </cell>
          <cell r="BI825">
            <v>5</v>
          </cell>
          <cell r="BJ825">
            <v>4</v>
          </cell>
        </row>
        <row r="826">
          <cell r="D826" t="str">
            <v>Univerzita Mateja Bela v Banskej Bystrici</v>
          </cell>
          <cell r="E826" t="str">
            <v>Filozofická fakulta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10</v>
          </cell>
          <cell r="BJ826">
            <v>0</v>
          </cell>
        </row>
        <row r="827">
          <cell r="D827" t="str">
            <v>Univerzita Mateja Bela v Banskej Bystrici</v>
          </cell>
          <cell r="E827" t="str">
            <v>Filozofická fakulta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35</v>
          </cell>
          <cell r="BJ827">
            <v>0</v>
          </cell>
        </row>
        <row r="828">
          <cell r="D828" t="str">
            <v>Univerzita Mateja Bela v Banskej Bystrici</v>
          </cell>
          <cell r="E828" t="str">
            <v>Filozofická fakulta</v>
          </cell>
          <cell r="AN828">
            <v>8</v>
          </cell>
          <cell r="AO828">
            <v>12</v>
          </cell>
          <cell r="AP828">
            <v>0</v>
          </cell>
          <cell r="AQ828">
            <v>0</v>
          </cell>
          <cell r="AR828">
            <v>8</v>
          </cell>
          <cell r="BF828">
            <v>6.8</v>
          </cell>
          <cell r="BG828">
            <v>6.8</v>
          </cell>
          <cell r="BH828">
            <v>6.8</v>
          </cell>
          <cell r="BI828">
            <v>12</v>
          </cell>
          <cell r="BJ828">
            <v>0</v>
          </cell>
        </row>
        <row r="829">
          <cell r="D829" t="str">
            <v>Univerzita Mateja Bela v Banskej Bystrici</v>
          </cell>
          <cell r="E829" t="str">
            <v>Filozofická fakulta</v>
          </cell>
          <cell r="AN829">
            <v>10</v>
          </cell>
          <cell r="AO829">
            <v>12</v>
          </cell>
          <cell r="AP829">
            <v>0</v>
          </cell>
          <cell r="AQ829">
            <v>0</v>
          </cell>
          <cell r="AR829">
            <v>10</v>
          </cell>
          <cell r="BF829">
            <v>8.5</v>
          </cell>
          <cell r="BG829">
            <v>12.75</v>
          </cell>
          <cell r="BH829">
            <v>12.75</v>
          </cell>
          <cell r="BI829">
            <v>12</v>
          </cell>
          <cell r="BJ829">
            <v>0</v>
          </cell>
        </row>
        <row r="830">
          <cell r="D830" t="str">
            <v>Univerzita Mateja Bela v Banskej Bystrici</v>
          </cell>
          <cell r="E830" t="str">
            <v>Filozofická fakulta</v>
          </cell>
          <cell r="AN830">
            <v>14</v>
          </cell>
          <cell r="AO830">
            <v>18</v>
          </cell>
          <cell r="AP830">
            <v>0</v>
          </cell>
          <cell r="AQ830">
            <v>0</v>
          </cell>
          <cell r="AR830">
            <v>14</v>
          </cell>
          <cell r="BF830">
            <v>11.6</v>
          </cell>
          <cell r="BG830">
            <v>11.6</v>
          </cell>
          <cell r="BH830">
            <v>11.6</v>
          </cell>
          <cell r="BI830">
            <v>18</v>
          </cell>
          <cell r="BJ830">
            <v>0</v>
          </cell>
        </row>
        <row r="831">
          <cell r="D831" t="str">
            <v>Univerzita Mateja Bela v Banskej Bystrici</v>
          </cell>
          <cell r="E831" t="str">
            <v>Filozofická fakulta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5</v>
          </cell>
          <cell r="BJ831">
            <v>0</v>
          </cell>
        </row>
        <row r="832">
          <cell r="D832" t="str">
            <v>Univerzita Mateja Bela v Banskej Bystrici</v>
          </cell>
          <cell r="E832" t="str">
            <v>Filozofická fakulta</v>
          </cell>
          <cell r="AN832">
            <v>15</v>
          </cell>
          <cell r="AO832">
            <v>17</v>
          </cell>
          <cell r="AP832">
            <v>0</v>
          </cell>
          <cell r="AQ832">
            <v>0</v>
          </cell>
          <cell r="AR832">
            <v>15</v>
          </cell>
          <cell r="BF832">
            <v>11.399999999999999</v>
          </cell>
          <cell r="BG832">
            <v>14.249999999999998</v>
          </cell>
          <cell r="BH832">
            <v>14.249999999999998</v>
          </cell>
          <cell r="BI832">
            <v>17</v>
          </cell>
          <cell r="BJ832">
            <v>0</v>
          </cell>
        </row>
        <row r="833">
          <cell r="D833" t="str">
            <v>Univerzita Mateja Bela v Banskej Bystrici</v>
          </cell>
          <cell r="E833" t="str">
            <v>Filozofická fakulta</v>
          </cell>
          <cell r="AN833">
            <v>60.5</v>
          </cell>
          <cell r="AO833">
            <v>67.5</v>
          </cell>
          <cell r="AP833">
            <v>0</v>
          </cell>
          <cell r="AQ833">
            <v>0</v>
          </cell>
          <cell r="AR833">
            <v>60.5</v>
          </cell>
          <cell r="BF833">
            <v>51.8</v>
          </cell>
          <cell r="BG833">
            <v>61.641999999999996</v>
          </cell>
          <cell r="BH833">
            <v>61.641999999999996</v>
          </cell>
          <cell r="BI833">
            <v>67.5</v>
          </cell>
          <cell r="BJ833">
            <v>0</v>
          </cell>
        </row>
        <row r="834">
          <cell r="D834" t="str">
            <v>Univerzita Mateja Bela v Banskej Bystrici</v>
          </cell>
          <cell r="E834" t="str">
            <v>Fakulta prírodných vied</v>
          </cell>
          <cell r="AN834">
            <v>10</v>
          </cell>
          <cell r="AO834">
            <v>11</v>
          </cell>
          <cell r="AP834">
            <v>11</v>
          </cell>
          <cell r="AQ834">
            <v>10</v>
          </cell>
          <cell r="AR834">
            <v>10</v>
          </cell>
          <cell r="BF834">
            <v>8.5</v>
          </cell>
          <cell r="BG834">
            <v>10.115</v>
          </cell>
          <cell r="BH834">
            <v>10.115</v>
          </cell>
          <cell r="BI834">
            <v>11</v>
          </cell>
          <cell r="BJ834">
            <v>0</v>
          </cell>
        </row>
        <row r="835">
          <cell r="D835" t="str">
            <v>Univerzita Mateja Bela v Banskej Bystrici</v>
          </cell>
          <cell r="E835" t="str">
            <v>Filozofická fakulta</v>
          </cell>
          <cell r="AN835">
            <v>24.5</v>
          </cell>
          <cell r="AO835">
            <v>25.5</v>
          </cell>
          <cell r="AP835">
            <v>0</v>
          </cell>
          <cell r="AQ835">
            <v>0</v>
          </cell>
          <cell r="AR835">
            <v>24.5</v>
          </cell>
          <cell r="BF835">
            <v>21.65</v>
          </cell>
          <cell r="BG835">
            <v>32.474999999999994</v>
          </cell>
          <cell r="BH835">
            <v>32.474999999999994</v>
          </cell>
          <cell r="BI835">
            <v>25.5</v>
          </cell>
          <cell r="BJ835">
            <v>0</v>
          </cell>
        </row>
        <row r="836">
          <cell r="D836" t="str">
            <v>Univerzita Mateja Bela v Banskej Bystrici</v>
          </cell>
          <cell r="E836" t="str">
            <v>Filozofická fakulta</v>
          </cell>
          <cell r="AN836">
            <v>6.5</v>
          </cell>
          <cell r="AO836">
            <v>8.5</v>
          </cell>
          <cell r="AP836">
            <v>0</v>
          </cell>
          <cell r="AQ836">
            <v>0</v>
          </cell>
          <cell r="AR836">
            <v>6.5</v>
          </cell>
          <cell r="BF836">
            <v>5.3</v>
          </cell>
          <cell r="BG836">
            <v>7.9499999999999993</v>
          </cell>
          <cell r="BH836">
            <v>7.9499999999999993</v>
          </cell>
          <cell r="BI836">
            <v>8.5</v>
          </cell>
          <cell r="BJ836">
            <v>0</v>
          </cell>
        </row>
        <row r="837">
          <cell r="D837" t="str">
            <v>Univerzita Mateja Bela v Banskej Bystrici</v>
          </cell>
          <cell r="E837" t="str">
            <v>Filozofická fakulta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2</v>
          </cell>
          <cell r="BJ837">
            <v>0</v>
          </cell>
        </row>
        <row r="838">
          <cell r="D838" t="str">
            <v>Univerzita Mateja Bela v Banskej Bystrici</v>
          </cell>
          <cell r="E838" t="str">
            <v>Filozofická fakulta</v>
          </cell>
          <cell r="AN838">
            <v>64</v>
          </cell>
          <cell r="AO838">
            <v>65</v>
          </cell>
          <cell r="AP838">
            <v>0</v>
          </cell>
          <cell r="AQ838">
            <v>0</v>
          </cell>
          <cell r="AR838">
            <v>64</v>
          </cell>
          <cell r="BF838">
            <v>48.4</v>
          </cell>
          <cell r="BG838">
            <v>50.335999999999999</v>
          </cell>
          <cell r="BH838">
            <v>47.639428571428567</v>
          </cell>
          <cell r="BI838">
            <v>65</v>
          </cell>
          <cell r="BJ838">
            <v>0</v>
          </cell>
        </row>
        <row r="839">
          <cell r="D839" t="str">
            <v>Technická univerzita v Košiciach</v>
          </cell>
          <cell r="E839" t="str">
            <v>Strojnícka fakulta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5</v>
          </cell>
          <cell r="BJ839">
            <v>0</v>
          </cell>
        </row>
        <row r="840">
          <cell r="D840" t="str">
            <v>Technická univerzita v Košiciach</v>
          </cell>
          <cell r="E840" t="str">
            <v>Strojnícka fakulta</v>
          </cell>
          <cell r="AN840">
            <v>2</v>
          </cell>
          <cell r="AO840">
            <v>0</v>
          </cell>
          <cell r="AP840">
            <v>0</v>
          </cell>
          <cell r="AQ840">
            <v>2</v>
          </cell>
          <cell r="AR840">
            <v>2</v>
          </cell>
          <cell r="BF840">
            <v>6</v>
          </cell>
          <cell r="BG840">
            <v>12.78</v>
          </cell>
          <cell r="BH840">
            <v>12.78</v>
          </cell>
          <cell r="BI840">
            <v>2</v>
          </cell>
          <cell r="BJ840">
            <v>2</v>
          </cell>
        </row>
        <row r="841">
          <cell r="D841" t="str">
            <v>Technická univerzita v Košiciach</v>
          </cell>
          <cell r="E841" t="str">
            <v>Strojnícka fakulta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4</v>
          </cell>
          <cell r="BJ841">
            <v>0</v>
          </cell>
        </row>
        <row r="842">
          <cell r="D842" t="str">
            <v>Technická univerzita v Košiciach</v>
          </cell>
          <cell r="E842" t="str">
            <v>Strojnícka fakulta</v>
          </cell>
          <cell r="AN842">
            <v>1</v>
          </cell>
          <cell r="AO842">
            <v>0</v>
          </cell>
          <cell r="AP842">
            <v>0</v>
          </cell>
          <cell r="AQ842">
            <v>1</v>
          </cell>
          <cell r="AR842">
            <v>1</v>
          </cell>
          <cell r="BF842">
            <v>3</v>
          </cell>
          <cell r="BG842">
            <v>6.39</v>
          </cell>
          <cell r="BH842">
            <v>6.39</v>
          </cell>
          <cell r="BI842">
            <v>1</v>
          </cell>
          <cell r="BJ842">
            <v>1</v>
          </cell>
        </row>
        <row r="843">
          <cell r="D843" t="str">
            <v>Technická univerzita v Košiciach</v>
          </cell>
          <cell r="E843" t="str">
            <v>Strojnícka fakulta</v>
          </cell>
          <cell r="AN843">
            <v>5</v>
          </cell>
          <cell r="AO843">
            <v>0</v>
          </cell>
          <cell r="AP843">
            <v>0</v>
          </cell>
          <cell r="AQ843">
            <v>5</v>
          </cell>
          <cell r="AR843">
            <v>5</v>
          </cell>
          <cell r="BF843">
            <v>15</v>
          </cell>
          <cell r="BG843">
            <v>31.95</v>
          </cell>
          <cell r="BH843">
            <v>31.95</v>
          </cell>
          <cell r="BI843">
            <v>5</v>
          </cell>
          <cell r="BJ843">
            <v>5</v>
          </cell>
        </row>
        <row r="844">
          <cell r="D844" t="str">
            <v>Technická univerzita v Košiciach</v>
          </cell>
          <cell r="E844" t="str">
            <v>Strojnícka fakulta</v>
          </cell>
          <cell r="AN844">
            <v>1</v>
          </cell>
          <cell r="AO844">
            <v>0</v>
          </cell>
          <cell r="AP844">
            <v>0</v>
          </cell>
          <cell r="AQ844">
            <v>1</v>
          </cell>
          <cell r="AR844">
            <v>1</v>
          </cell>
          <cell r="BF844">
            <v>3</v>
          </cell>
          <cell r="BG844">
            <v>6.39</v>
          </cell>
          <cell r="BH844">
            <v>6.39</v>
          </cell>
          <cell r="BI844">
            <v>1</v>
          </cell>
          <cell r="BJ844">
            <v>1</v>
          </cell>
        </row>
        <row r="845">
          <cell r="D845" t="str">
            <v>Technická univerzita v Košiciach</v>
          </cell>
          <cell r="E845" t="str">
            <v>Strojnícka fakulta</v>
          </cell>
          <cell r="AN845">
            <v>162</v>
          </cell>
          <cell r="AO845">
            <v>177</v>
          </cell>
          <cell r="AP845">
            <v>177</v>
          </cell>
          <cell r="AQ845">
            <v>162</v>
          </cell>
          <cell r="AR845">
            <v>162</v>
          </cell>
          <cell r="BF845">
            <v>133.5</v>
          </cell>
          <cell r="BG845">
            <v>197.57999999999998</v>
          </cell>
          <cell r="BH845">
            <v>197.57999999999998</v>
          </cell>
          <cell r="BI845">
            <v>177</v>
          </cell>
          <cell r="BJ845">
            <v>0</v>
          </cell>
        </row>
        <row r="846">
          <cell r="D846" t="str">
            <v>Technická univerzita v Košiciach</v>
          </cell>
          <cell r="E846" t="str">
            <v>Strojnícka fakulta</v>
          </cell>
          <cell r="AN846">
            <v>81</v>
          </cell>
          <cell r="AO846">
            <v>86</v>
          </cell>
          <cell r="AP846">
            <v>0</v>
          </cell>
          <cell r="AQ846">
            <v>0</v>
          </cell>
          <cell r="AR846">
            <v>81</v>
          </cell>
          <cell r="BF846">
            <v>69</v>
          </cell>
          <cell r="BG846">
            <v>102.12</v>
          </cell>
          <cell r="BH846">
            <v>81.696000000000012</v>
          </cell>
          <cell r="BI846">
            <v>86</v>
          </cell>
          <cell r="BJ846">
            <v>0</v>
          </cell>
        </row>
        <row r="847">
          <cell r="D847" t="str">
            <v>Technická univerzita v Košiciach</v>
          </cell>
          <cell r="E847" t="str">
            <v>Strojnícka fakulta</v>
          </cell>
          <cell r="AN847">
            <v>75</v>
          </cell>
          <cell r="AO847">
            <v>81</v>
          </cell>
          <cell r="AP847">
            <v>81</v>
          </cell>
          <cell r="AQ847">
            <v>75</v>
          </cell>
          <cell r="AR847">
            <v>75</v>
          </cell>
          <cell r="BF847">
            <v>63.3</v>
          </cell>
          <cell r="BG847">
            <v>93.683999999999997</v>
          </cell>
          <cell r="BH847">
            <v>93.683999999999997</v>
          </cell>
          <cell r="BI847">
            <v>81</v>
          </cell>
          <cell r="BJ847">
            <v>0</v>
          </cell>
        </row>
        <row r="848">
          <cell r="D848" t="str">
            <v>Technická univerzita v Košiciach</v>
          </cell>
          <cell r="E848" t="str">
            <v>Strojnícka fakulta</v>
          </cell>
          <cell r="AN848">
            <v>97</v>
          </cell>
          <cell r="AO848">
            <v>110</v>
          </cell>
          <cell r="AP848">
            <v>110</v>
          </cell>
          <cell r="AQ848">
            <v>97</v>
          </cell>
          <cell r="AR848">
            <v>97</v>
          </cell>
          <cell r="BF848">
            <v>82.6</v>
          </cell>
          <cell r="BG848">
            <v>122.24799999999999</v>
          </cell>
          <cell r="BH848">
            <v>122.24799999999999</v>
          </cell>
          <cell r="BI848">
            <v>110</v>
          </cell>
          <cell r="BJ848">
            <v>0</v>
          </cell>
        </row>
        <row r="849">
          <cell r="D849" t="str">
            <v>Technická univerzita v Košiciach</v>
          </cell>
          <cell r="E849" t="str">
            <v>Letecká fakulta</v>
          </cell>
          <cell r="AN849">
            <v>154</v>
          </cell>
          <cell r="AO849">
            <v>166</v>
          </cell>
          <cell r="AP849">
            <v>0</v>
          </cell>
          <cell r="AQ849">
            <v>0</v>
          </cell>
          <cell r="AR849">
            <v>154</v>
          </cell>
          <cell r="BF849">
            <v>231</v>
          </cell>
          <cell r="BG849">
            <v>341.88</v>
          </cell>
          <cell r="BH849">
            <v>287.89894736842103</v>
          </cell>
          <cell r="BI849">
            <v>166</v>
          </cell>
          <cell r="BJ849">
            <v>0</v>
          </cell>
        </row>
        <row r="850">
          <cell r="D850" t="str">
            <v>Technická univerzita v Košiciach</v>
          </cell>
          <cell r="E850" t="str">
            <v>Letecká fakulta</v>
          </cell>
          <cell r="AN850">
            <v>41</v>
          </cell>
          <cell r="AO850">
            <v>43</v>
          </cell>
          <cell r="AP850">
            <v>0</v>
          </cell>
          <cell r="AQ850">
            <v>41</v>
          </cell>
          <cell r="AR850">
            <v>41</v>
          </cell>
          <cell r="BF850">
            <v>33.5</v>
          </cell>
          <cell r="BG850">
            <v>49.58</v>
          </cell>
          <cell r="BH850">
            <v>49.58</v>
          </cell>
          <cell r="BI850">
            <v>43</v>
          </cell>
          <cell r="BJ850">
            <v>0</v>
          </cell>
        </row>
        <row r="851">
          <cell r="D851" t="str">
            <v>Technická univerzita v Košiciach</v>
          </cell>
          <cell r="E851" t="str">
            <v>Letecká fakulta</v>
          </cell>
          <cell r="AN851">
            <v>156</v>
          </cell>
          <cell r="AO851">
            <v>219</v>
          </cell>
          <cell r="AP851">
            <v>0</v>
          </cell>
          <cell r="AQ851">
            <v>156</v>
          </cell>
          <cell r="AR851">
            <v>156</v>
          </cell>
          <cell r="BF851">
            <v>134.4</v>
          </cell>
          <cell r="BG851">
            <v>198.91200000000001</v>
          </cell>
          <cell r="BH851">
            <v>194.39127272727274</v>
          </cell>
          <cell r="BI851">
            <v>219</v>
          </cell>
          <cell r="BJ851">
            <v>0</v>
          </cell>
        </row>
        <row r="852">
          <cell r="D852" t="str">
            <v>Technická univerzita v Košiciach</v>
          </cell>
          <cell r="E852" t="str">
            <v>Letecká fakulta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7</v>
          </cell>
          <cell r="BJ852">
            <v>0</v>
          </cell>
        </row>
        <row r="853">
          <cell r="D853" t="str">
            <v>Technická univerzita v Košiciach</v>
          </cell>
          <cell r="E853" t="str">
            <v>Ekonomická fakulta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10</v>
          </cell>
          <cell r="BJ853">
            <v>0</v>
          </cell>
        </row>
        <row r="854">
          <cell r="D854" t="str">
            <v>Technická univerzita v Košiciach</v>
          </cell>
          <cell r="E854" t="str">
            <v>Ekonomická fakulta</v>
          </cell>
          <cell r="AN854">
            <v>255</v>
          </cell>
          <cell r="AO854">
            <v>263</v>
          </cell>
          <cell r="AP854">
            <v>0</v>
          </cell>
          <cell r="AQ854">
            <v>0</v>
          </cell>
          <cell r="AR854">
            <v>255</v>
          </cell>
          <cell r="BF854">
            <v>382.5</v>
          </cell>
          <cell r="BG854">
            <v>397.8</v>
          </cell>
          <cell r="BH854">
            <v>348.48595041322312</v>
          </cell>
          <cell r="BI854">
            <v>263</v>
          </cell>
          <cell r="BJ854">
            <v>0</v>
          </cell>
        </row>
        <row r="855">
          <cell r="D855" t="str">
            <v>Technická univerzita v Košiciach</v>
          </cell>
          <cell r="E855" t="str">
            <v>Ekonomická fakulta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33</v>
          </cell>
          <cell r="BJ855">
            <v>0</v>
          </cell>
        </row>
        <row r="856">
          <cell r="D856" t="str">
            <v>Technická univerzita v Košiciach</v>
          </cell>
          <cell r="E856" t="str">
            <v>Ekonomická fakulta</v>
          </cell>
          <cell r="AN856">
            <v>466</v>
          </cell>
          <cell r="AO856">
            <v>484</v>
          </cell>
          <cell r="AP856">
            <v>0</v>
          </cell>
          <cell r="AQ856">
            <v>0</v>
          </cell>
          <cell r="AR856">
            <v>466</v>
          </cell>
          <cell r="BF856">
            <v>411.7</v>
          </cell>
          <cell r="BG856">
            <v>428.16800000000001</v>
          </cell>
          <cell r="BH856">
            <v>425.08765467625904</v>
          </cell>
          <cell r="BI856">
            <v>484</v>
          </cell>
          <cell r="BJ856">
            <v>0</v>
          </cell>
        </row>
        <row r="857">
          <cell r="D857" t="str">
            <v>Univerzita veterinárskeho lekárstva a farmácie v Košiciach</v>
          </cell>
          <cell r="E857">
            <v>0</v>
          </cell>
          <cell r="AN857">
            <v>2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43</v>
          </cell>
          <cell r="BJ857">
            <v>0</v>
          </cell>
        </row>
        <row r="858">
          <cell r="D858" t="str">
            <v>Univerzita veterinárskeho lekárstva a farmácie v Košiciach</v>
          </cell>
          <cell r="E858">
            <v>0</v>
          </cell>
          <cell r="AN858">
            <v>25</v>
          </cell>
          <cell r="AO858">
            <v>29</v>
          </cell>
          <cell r="AP858">
            <v>0</v>
          </cell>
          <cell r="AQ858">
            <v>0</v>
          </cell>
          <cell r="AR858">
            <v>25</v>
          </cell>
          <cell r="BF858">
            <v>21.1</v>
          </cell>
          <cell r="BG858">
            <v>93.051000000000016</v>
          </cell>
          <cell r="BH858">
            <v>93.051000000000016</v>
          </cell>
          <cell r="BI858">
            <v>29</v>
          </cell>
          <cell r="BJ858">
            <v>0</v>
          </cell>
        </row>
        <row r="859">
          <cell r="D859" t="str">
            <v>Univerzita veterinárskeho lekárstva a farmácie v Košiciach</v>
          </cell>
          <cell r="E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10</v>
          </cell>
          <cell r="BJ859">
            <v>0</v>
          </cell>
        </row>
        <row r="860">
          <cell r="D860" t="str">
            <v>Univerzita Pavla Jozefa Šafárika v Košiciach</v>
          </cell>
          <cell r="E860" t="str">
            <v>Právnická fakulta</v>
          </cell>
          <cell r="AN860">
            <v>1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167</v>
          </cell>
          <cell r="BJ860">
            <v>0</v>
          </cell>
        </row>
        <row r="861">
          <cell r="D861" t="str">
            <v>Univerzita Pavla Jozefa Šafárika v Košiciach</v>
          </cell>
          <cell r="E861" t="str">
            <v>Právnická fakulta</v>
          </cell>
          <cell r="AN861">
            <v>180</v>
          </cell>
          <cell r="AO861">
            <v>221</v>
          </cell>
          <cell r="AP861">
            <v>0</v>
          </cell>
          <cell r="AQ861">
            <v>0</v>
          </cell>
          <cell r="AR861">
            <v>180</v>
          </cell>
          <cell r="BF861">
            <v>270</v>
          </cell>
          <cell r="BG861">
            <v>270</v>
          </cell>
          <cell r="BH861">
            <v>210</v>
          </cell>
          <cell r="BI861">
            <v>221</v>
          </cell>
          <cell r="BJ861">
            <v>0</v>
          </cell>
        </row>
        <row r="862">
          <cell r="D862" t="str">
            <v>Univerzita Pavla Jozefa Šafárika v Košiciach</v>
          </cell>
          <cell r="E862" t="str">
            <v>Právnická fakulta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49</v>
          </cell>
          <cell r="BJ862">
            <v>0</v>
          </cell>
        </row>
        <row r="863">
          <cell r="D863" t="str">
            <v>Technická univerzita v Košiciach</v>
          </cell>
          <cell r="E863" t="str">
            <v>Fakulta materiálov, metalurgie a recyklácie</v>
          </cell>
          <cell r="AN863">
            <v>5</v>
          </cell>
          <cell r="AO863">
            <v>0</v>
          </cell>
          <cell r="AP863">
            <v>0</v>
          </cell>
          <cell r="AQ863">
            <v>5</v>
          </cell>
          <cell r="AR863">
            <v>5</v>
          </cell>
          <cell r="BF863">
            <v>15</v>
          </cell>
          <cell r="BG863">
            <v>31.95</v>
          </cell>
          <cell r="BH863">
            <v>31.95</v>
          </cell>
          <cell r="BI863">
            <v>5</v>
          </cell>
          <cell r="BJ863">
            <v>5</v>
          </cell>
        </row>
        <row r="864">
          <cell r="D864" t="str">
            <v>Technická univerzita v Košiciach</v>
          </cell>
          <cell r="E864" t="str">
            <v>Fakulta materiálov, metalurgie a recyklácie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4</v>
          </cell>
          <cell r="BJ864">
            <v>0</v>
          </cell>
        </row>
        <row r="865">
          <cell r="D865" t="str">
            <v>Technická univerzita v Košiciach</v>
          </cell>
          <cell r="E865" t="str">
            <v>Fakulta materiálov, metalurgie a recyklácie</v>
          </cell>
          <cell r="AN865">
            <v>2</v>
          </cell>
          <cell r="AO865">
            <v>0</v>
          </cell>
          <cell r="AP865">
            <v>0</v>
          </cell>
          <cell r="AQ865">
            <v>2</v>
          </cell>
          <cell r="AR865">
            <v>2</v>
          </cell>
          <cell r="BF865">
            <v>6</v>
          </cell>
          <cell r="BG865">
            <v>12.78</v>
          </cell>
          <cell r="BH865">
            <v>12.78</v>
          </cell>
          <cell r="BI865">
            <v>2</v>
          </cell>
          <cell r="BJ865">
            <v>2</v>
          </cell>
        </row>
        <row r="866">
          <cell r="D866" t="str">
            <v>Technická univerzita v Košiciach</v>
          </cell>
          <cell r="E866" t="str">
            <v>Fakulta materiálov, metalurgie a recyklácie</v>
          </cell>
          <cell r="AN866">
            <v>10</v>
          </cell>
          <cell r="AO866">
            <v>13</v>
          </cell>
          <cell r="AP866">
            <v>13</v>
          </cell>
          <cell r="AQ866">
            <v>10</v>
          </cell>
          <cell r="AR866">
            <v>10</v>
          </cell>
          <cell r="BF866">
            <v>15</v>
          </cell>
          <cell r="BG866">
            <v>22.2</v>
          </cell>
          <cell r="BH866">
            <v>22.2</v>
          </cell>
          <cell r="BI866">
            <v>13</v>
          </cell>
          <cell r="BJ866">
            <v>0</v>
          </cell>
        </row>
        <row r="867">
          <cell r="D867" t="str">
            <v>Technická univerzita v Košiciach</v>
          </cell>
          <cell r="E867" t="str">
            <v>Fakulta umení</v>
          </cell>
          <cell r="AN867">
            <v>4</v>
          </cell>
          <cell r="AO867">
            <v>0</v>
          </cell>
          <cell r="AP867">
            <v>0</v>
          </cell>
          <cell r="AQ867">
            <v>0</v>
          </cell>
          <cell r="AR867">
            <v>4</v>
          </cell>
          <cell r="BF867">
            <v>12</v>
          </cell>
          <cell r="BG867">
            <v>13.200000000000001</v>
          </cell>
          <cell r="BH867">
            <v>13.200000000000001</v>
          </cell>
          <cell r="BI867">
            <v>4</v>
          </cell>
          <cell r="BJ867">
            <v>4</v>
          </cell>
        </row>
        <row r="868">
          <cell r="D868" t="str">
            <v>Technická univerzita v Košiciach</v>
          </cell>
          <cell r="E868" t="str">
            <v>Fakulta umení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1</v>
          </cell>
          <cell r="BJ868">
            <v>0</v>
          </cell>
        </row>
        <row r="869">
          <cell r="D869" t="str">
            <v>Technická univerzita v Košiciach</v>
          </cell>
          <cell r="E869" t="str">
            <v>Fakulta umení</v>
          </cell>
          <cell r="AN869">
            <v>56</v>
          </cell>
          <cell r="AO869">
            <v>58</v>
          </cell>
          <cell r="AP869">
            <v>0</v>
          </cell>
          <cell r="AQ869">
            <v>0</v>
          </cell>
          <cell r="AR869">
            <v>56</v>
          </cell>
          <cell r="BF869">
            <v>50.9</v>
          </cell>
          <cell r="BG869">
            <v>164.40699999999998</v>
          </cell>
          <cell r="BH869">
            <v>150.70641666666666</v>
          </cell>
          <cell r="BI869">
            <v>58</v>
          </cell>
          <cell r="BJ869">
            <v>0</v>
          </cell>
        </row>
        <row r="870">
          <cell r="D870" t="str">
            <v>Technická univerzita v Košiciach</v>
          </cell>
          <cell r="E870" t="str">
            <v>Fakulta umení</v>
          </cell>
          <cell r="AN870">
            <v>5</v>
          </cell>
          <cell r="AO870">
            <v>0</v>
          </cell>
          <cell r="AP870">
            <v>0</v>
          </cell>
          <cell r="AQ870">
            <v>0</v>
          </cell>
          <cell r="AR870">
            <v>5</v>
          </cell>
          <cell r="BF870">
            <v>15</v>
          </cell>
          <cell r="BG870">
            <v>16.5</v>
          </cell>
          <cell r="BH870">
            <v>16.5</v>
          </cell>
          <cell r="BI870">
            <v>5</v>
          </cell>
          <cell r="BJ870">
            <v>5</v>
          </cell>
        </row>
        <row r="871">
          <cell r="D871" t="str">
            <v>Technická univerzita v Košiciach</v>
          </cell>
          <cell r="E871" t="str">
            <v>Stavebná fakulta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4</v>
          </cell>
          <cell r="BJ871">
            <v>0</v>
          </cell>
        </row>
        <row r="872">
          <cell r="D872" t="str">
            <v>Technická univerzita v Košiciach</v>
          </cell>
          <cell r="E872" t="str">
            <v>Stavebná fakulta</v>
          </cell>
          <cell r="AN872">
            <v>4</v>
          </cell>
          <cell r="AO872">
            <v>0</v>
          </cell>
          <cell r="AP872">
            <v>0</v>
          </cell>
          <cell r="AQ872">
            <v>4</v>
          </cell>
          <cell r="AR872">
            <v>4</v>
          </cell>
          <cell r="BF872">
            <v>12</v>
          </cell>
          <cell r="BG872">
            <v>25.56</v>
          </cell>
          <cell r="BH872">
            <v>25.56</v>
          </cell>
          <cell r="BI872">
            <v>4</v>
          </cell>
          <cell r="BJ872">
            <v>4</v>
          </cell>
        </row>
        <row r="873">
          <cell r="D873" t="str">
            <v>Technická univerzita v Košiciach</v>
          </cell>
          <cell r="E873" t="str">
            <v>Stavebná fakulta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43</v>
          </cell>
          <cell r="BJ873">
            <v>0</v>
          </cell>
        </row>
        <row r="874">
          <cell r="D874" t="str">
            <v>Technická univerzita v Košiciach</v>
          </cell>
          <cell r="E874" t="str">
            <v>Stavebná fakulta</v>
          </cell>
          <cell r="AN874">
            <v>85</v>
          </cell>
          <cell r="AO874">
            <v>95</v>
          </cell>
          <cell r="AP874">
            <v>95</v>
          </cell>
          <cell r="AQ874">
            <v>85</v>
          </cell>
          <cell r="AR874">
            <v>85</v>
          </cell>
          <cell r="BF874">
            <v>67.599999999999994</v>
          </cell>
          <cell r="BG874">
            <v>100.04799999999999</v>
          </cell>
          <cell r="BH874">
            <v>100.04799999999999</v>
          </cell>
          <cell r="BI874">
            <v>95</v>
          </cell>
          <cell r="BJ874">
            <v>0</v>
          </cell>
        </row>
        <row r="875">
          <cell r="D875" t="str">
            <v>Technická univerzita v Košiciach</v>
          </cell>
          <cell r="E875" t="str">
            <v>Stavebná fakulta</v>
          </cell>
          <cell r="AN875">
            <v>8</v>
          </cell>
          <cell r="AO875">
            <v>0</v>
          </cell>
          <cell r="AP875">
            <v>0</v>
          </cell>
          <cell r="AQ875">
            <v>0</v>
          </cell>
          <cell r="AR875">
            <v>8</v>
          </cell>
          <cell r="BF875">
            <v>24</v>
          </cell>
          <cell r="BG875">
            <v>51.12</v>
          </cell>
          <cell r="BH875">
            <v>34.080000000000005</v>
          </cell>
          <cell r="BI875">
            <v>8</v>
          </cell>
          <cell r="BJ875">
            <v>8</v>
          </cell>
        </row>
        <row r="876">
          <cell r="D876" t="str">
            <v>Univerzita Pavla Jozefa Šafárika v Košiciach</v>
          </cell>
          <cell r="E876" t="str">
            <v>Lekárska fakulta</v>
          </cell>
          <cell r="AN876">
            <v>3</v>
          </cell>
          <cell r="AO876">
            <v>0</v>
          </cell>
          <cell r="AP876">
            <v>0</v>
          </cell>
          <cell r="AQ876">
            <v>0</v>
          </cell>
          <cell r="AR876">
            <v>3</v>
          </cell>
          <cell r="BF876">
            <v>9</v>
          </cell>
          <cell r="BG876">
            <v>30.69</v>
          </cell>
          <cell r="BH876">
            <v>30.69</v>
          </cell>
          <cell r="BI876">
            <v>3</v>
          </cell>
          <cell r="BJ876">
            <v>3</v>
          </cell>
        </row>
        <row r="877">
          <cell r="D877" t="str">
            <v>Univerzita Pavla Jozefa Šafárika v Košiciach</v>
          </cell>
          <cell r="E877" t="str">
            <v>Lekárska fakulta</v>
          </cell>
          <cell r="AN877">
            <v>6</v>
          </cell>
          <cell r="AO877">
            <v>0</v>
          </cell>
          <cell r="AP877">
            <v>0</v>
          </cell>
          <cell r="AQ877">
            <v>0</v>
          </cell>
          <cell r="AR877">
            <v>6</v>
          </cell>
          <cell r="BF877">
            <v>18</v>
          </cell>
          <cell r="BG877">
            <v>61.38</v>
          </cell>
          <cell r="BH877">
            <v>61.38</v>
          </cell>
          <cell r="BI877">
            <v>6</v>
          </cell>
          <cell r="BJ877">
            <v>6</v>
          </cell>
        </row>
        <row r="878">
          <cell r="D878" t="str">
            <v>Univerzita Pavla Jozefa Šafárika v Košiciach</v>
          </cell>
          <cell r="E878" t="str">
            <v>Lekárska fakulta</v>
          </cell>
          <cell r="AN878">
            <v>17</v>
          </cell>
          <cell r="AO878">
            <v>0</v>
          </cell>
          <cell r="AP878">
            <v>0</v>
          </cell>
          <cell r="AQ878">
            <v>0</v>
          </cell>
          <cell r="AR878">
            <v>17</v>
          </cell>
          <cell r="BF878">
            <v>51</v>
          </cell>
          <cell r="BG878">
            <v>108.63</v>
          </cell>
          <cell r="BH878">
            <v>108.63</v>
          </cell>
          <cell r="BI878">
            <v>17</v>
          </cell>
          <cell r="BJ878">
            <v>17</v>
          </cell>
        </row>
        <row r="879">
          <cell r="D879" t="str">
            <v>Univerzita Pavla Jozefa Šafárika v Košiciach</v>
          </cell>
          <cell r="E879" t="str">
            <v>Lekárska fakulta</v>
          </cell>
          <cell r="AN879">
            <v>5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5</v>
          </cell>
          <cell r="BJ879">
            <v>0</v>
          </cell>
        </row>
        <row r="880">
          <cell r="D880" t="str">
            <v>Univerzita Pavla Jozefa Šafárika v Košiciach</v>
          </cell>
          <cell r="E880" t="str">
            <v>Lekárska fakulta</v>
          </cell>
          <cell r="AN880">
            <v>1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1</v>
          </cell>
          <cell r="BJ880">
            <v>0</v>
          </cell>
        </row>
        <row r="881">
          <cell r="D881" t="str">
            <v>Univerzita Pavla Jozefa Šafárika v Košiciach</v>
          </cell>
          <cell r="E881" t="str">
            <v>Právnická fakulta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9</v>
          </cell>
          <cell r="BJ881">
            <v>0</v>
          </cell>
        </row>
        <row r="882">
          <cell r="D882" t="str">
            <v>Univerzita Pavla Jozefa Šafárika v Košiciach</v>
          </cell>
          <cell r="E882" t="str">
            <v>Právnická fakulta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7</v>
          </cell>
          <cell r="BJ882">
            <v>0</v>
          </cell>
        </row>
        <row r="883">
          <cell r="D883" t="str">
            <v>Univerzita Pavla Jozefa Šafárika v Košiciach</v>
          </cell>
          <cell r="E883" t="str">
            <v>Právnická fakulta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9</v>
          </cell>
          <cell r="BJ883">
            <v>0</v>
          </cell>
        </row>
        <row r="884">
          <cell r="D884" t="str">
            <v>Univerzita Komenského v Bratislave</v>
          </cell>
          <cell r="E884" t="str">
            <v>Rímskokatolícka cyrilometodská bohoslovecká fakulta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11</v>
          </cell>
          <cell r="BJ884">
            <v>0</v>
          </cell>
        </row>
        <row r="885">
          <cell r="D885" t="str">
            <v>Technická univerzita v Košiciach</v>
          </cell>
          <cell r="E885" t="str">
            <v>Fakulta výrobných technológií so sídlom v Prešove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5</v>
          </cell>
          <cell r="BJ885">
            <v>0</v>
          </cell>
        </row>
        <row r="886">
          <cell r="D886" t="str">
            <v>Technická univerzita v Košiciach</v>
          </cell>
          <cell r="E886" t="str">
            <v>Fakulta výrobných technológií so sídlom v Prešove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20</v>
          </cell>
          <cell r="BJ886">
            <v>0</v>
          </cell>
        </row>
        <row r="887">
          <cell r="D887" t="str">
            <v>Technická univerzita v Košiciach</v>
          </cell>
          <cell r="E887" t="str">
            <v>Fakulta výrobných technológií so sídlom v Prešove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9</v>
          </cell>
          <cell r="BJ887">
            <v>0</v>
          </cell>
        </row>
        <row r="888">
          <cell r="D888" t="str">
            <v>Technická univerzita v Košiciach</v>
          </cell>
          <cell r="E888" t="str">
            <v>Fakulta výrobných technológií so sídlom v Prešove</v>
          </cell>
          <cell r="AN888">
            <v>192</v>
          </cell>
          <cell r="AO888">
            <v>204</v>
          </cell>
          <cell r="AP888">
            <v>204</v>
          </cell>
          <cell r="AQ888">
            <v>192</v>
          </cell>
          <cell r="AR888">
            <v>192</v>
          </cell>
          <cell r="BF888">
            <v>168.3</v>
          </cell>
          <cell r="BG888">
            <v>249.084</v>
          </cell>
          <cell r="BH888">
            <v>249.084</v>
          </cell>
          <cell r="BI888">
            <v>204</v>
          </cell>
          <cell r="BJ888">
            <v>0</v>
          </cell>
        </row>
        <row r="889">
          <cell r="D889" t="str">
            <v>Technická univerzita v Košiciach</v>
          </cell>
          <cell r="E889" t="str">
            <v>Fakulta výrobných technológií so sídlom v Prešove</v>
          </cell>
          <cell r="AN889">
            <v>123</v>
          </cell>
          <cell r="AO889">
            <v>132</v>
          </cell>
          <cell r="AP889">
            <v>132</v>
          </cell>
          <cell r="AQ889">
            <v>123</v>
          </cell>
          <cell r="AR889">
            <v>123</v>
          </cell>
          <cell r="BF889">
            <v>106.8</v>
          </cell>
          <cell r="BG889">
            <v>158.06399999999999</v>
          </cell>
          <cell r="BH889">
            <v>158.06399999999999</v>
          </cell>
          <cell r="BI889">
            <v>132</v>
          </cell>
          <cell r="BJ889">
            <v>0</v>
          </cell>
        </row>
        <row r="890">
          <cell r="D890" t="str">
            <v>Technická univerzita v Košiciach</v>
          </cell>
          <cell r="E890" t="str">
            <v>Fakulta výrobných technológií so sídlom v Prešove</v>
          </cell>
          <cell r="AN890">
            <v>76</v>
          </cell>
          <cell r="AO890">
            <v>77</v>
          </cell>
          <cell r="AP890">
            <v>77</v>
          </cell>
          <cell r="AQ890">
            <v>76</v>
          </cell>
          <cell r="AR890">
            <v>76</v>
          </cell>
          <cell r="BF890">
            <v>66.7</v>
          </cell>
          <cell r="BG890">
            <v>98.716000000000008</v>
          </cell>
          <cell r="BH890">
            <v>94.11991093117409</v>
          </cell>
          <cell r="BI890">
            <v>77</v>
          </cell>
          <cell r="BJ890">
            <v>0</v>
          </cell>
        </row>
        <row r="891">
          <cell r="D891" t="str">
            <v>Technická univerzita v Košiciach</v>
          </cell>
          <cell r="E891" t="str">
            <v>Fakulta výrobných technológií so sídlom v Prešove</v>
          </cell>
          <cell r="AN891">
            <v>48</v>
          </cell>
          <cell r="AO891">
            <v>50</v>
          </cell>
          <cell r="AP891">
            <v>50</v>
          </cell>
          <cell r="AQ891">
            <v>48</v>
          </cell>
          <cell r="AR891">
            <v>48</v>
          </cell>
          <cell r="BF891">
            <v>41.7</v>
          </cell>
          <cell r="BG891">
            <v>61.716000000000001</v>
          </cell>
          <cell r="BH891">
            <v>61.716000000000001</v>
          </cell>
          <cell r="BI891">
            <v>50</v>
          </cell>
          <cell r="BJ891">
            <v>0</v>
          </cell>
        </row>
        <row r="892">
          <cell r="D892" t="str">
            <v>Technická univerzita v Košiciach</v>
          </cell>
          <cell r="E892" t="str">
            <v>Fakulta výrobných technológií so sídlom v Prešove</v>
          </cell>
          <cell r="AN892">
            <v>0</v>
          </cell>
          <cell r="AO892">
            <v>1</v>
          </cell>
          <cell r="AP892">
            <v>1</v>
          </cell>
          <cell r="AQ892">
            <v>0</v>
          </cell>
          <cell r="AR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1</v>
          </cell>
          <cell r="BJ892">
            <v>0</v>
          </cell>
        </row>
        <row r="893">
          <cell r="D893" t="str">
            <v>Technická univerzita v Košiciach</v>
          </cell>
          <cell r="E893" t="str">
            <v>Fakulta elektrotechniky a informatiky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5</v>
          </cell>
          <cell r="BJ893">
            <v>0</v>
          </cell>
        </row>
        <row r="894">
          <cell r="D894" t="str">
            <v>Technická univerzita v Košiciach</v>
          </cell>
          <cell r="E894" t="str">
            <v>Fakulta elektrotechniky a informatiky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2</v>
          </cell>
          <cell r="BJ894">
            <v>0</v>
          </cell>
        </row>
        <row r="895">
          <cell r="D895" t="str">
            <v>Technická univerzita v Košiciach</v>
          </cell>
          <cell r="E895" t="str">
            <v>Fakulta elektrotechniky a informatiky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1</v>
          </cell>
          <cell r="BJ895">
            <v>0</v>
          </cell>
        </row>
        <row r="896">
          <cell r="D896" t="str">
            <v>Technická univerzita v Košiciach</v>
          </cell>
          <cell r="E896" t="str">
            <v>Fakulta elektrotechniky a informatiky</v>
          </cell>
          <cell r="AN896">
            <v>19</v>
          </cell>
          <cell r="AO896">
            <v>0</v>
          </cell>
          <cell r="AP896">
            <v>0</v>
          </cell>
          <cell r="AQ896">
            <v>19</v>
          </cell>
          <cell r="AR896">
            <v>19</v>
          </cell>
          <cell r="BF896">
            <v>57</v>
          </cell>
          <cell r="BG896">
            <v>121.41</v>
          </cell>
          <cell r="BH896">
            <v>121.41</v>
          </cell>
          <cell r="BI896">
            <v>19</v>
          </cell>
          <cell r="BJ896">
            <v>19</v>
          </cell>
        </row>
        <row r="897">
          <cell r="D897" t="str">
            <v>Technická univerzita v Košiciach</v>
          </cell>
          <cell r="E897" t="str">
            <v>Fakulta elektrotechniky a informatiky</v>
          </cell>
          <cell r="AN897">
            <v>4</v>
          </cell>
          <cell r="AO897">
            <v>0</v>
          </cell>
          <cell r="AP897">
            <v>0</v>
          </cell>
          <cell r="AQ897">
            <v>4</v>
          </cell>
          <cell r="AR897">
            <v>4</v>
          </cell>
          <cell r="BF897">
            <v>12</v>
          </cell>
          <cell r="BG897">
            <v>25.56</v>
          </cell>
          <cell r="BH897">
            <v>25.56</v>
          </cell>
          <cell r="BI897">
            <v>4</v>
          </cell>
          <cell r="BJ897">
            <v>4</v>
          </cell>
        </row>
        <row r="898">
          <cell r="D898" t="str">
            <v>Technická univerzita v Košiciach</v>
          </cell>
          <cell r="E898" t="str">
            <v>Fakulta elektrotechniky a informatiky</v>
          </cell>
          <cell r="AN898">
            <v>6</v>
          </cell>
          <cell r="AO898">
            <v>0</v>
          </cell>
          <cell r="AP898">
            <v>0</v>
          </cell>
          <cell r="AQ898">
            <v>6</v>
          </cell>
          <cell r="AR898">
            <v>6</v>
          </cell>
          <cell r="BF898">
            <v>18</v>
          </cell>
          <cell r="BG898">
            <v>38.339999999999996</v>
          </cell>
          <cell r="BH898">
            <v>38.339999999999996</v>
          </cell>
          <cell r="BI898">
            <v>6</v>
          </cell>
          <cell r="BJ898">
            <v>6</v>
          </cell>
        </row>
        <row r="899">
          <cell r="D899" t="str">
            <v>Technická univerzita v Košiciach</v>
          </cell>
          <cell r="E899" t="str">
            <v>Fakulta elektrotechniky a informatiky</v>
          </cell>
          <cell r="AN899">
            <v>3</v>
          </cell>
          <cell r="AO899">
            <v>0</v>
          </cell>
          <cell r="AP899">
            <v>0</v>
          </cell>
          <cell r="AQ899">
            <v>3</v>
          </cell>
          <cell r="AR899">
            <v>3</v>
          </cell>
          <cell r="BF899">
            <v>9</v>
          </cell>
          <cell r="BG899">
            <v>19.169999999999998</v>
          </cell>
          <cell r="BH899">
            <v>19.169999999999998</v>
          </cell>
          <cell r="BI899">
            <v>3</v>
          </cell>
          <cell r="BJ899">
            <v>3</v>
          </cell>
        </row>
        <row r="900">
          <cell r="D900" t="str">
            <v>Technická univerzita v Košiciach</v>
          </cell>
          <cell r="E900" t="str">
            <v>Fakulta elektrotechniky a informatiky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1</v>
          </cell>
          <cell r="BJ900">
            <v>0</v>
          </cell>
        </row>
        <row r="901">
          <cell r="D901" t="str">
            <v>Technická univerzita v Košiciach</v>
          </cell>
          <cell r="E901" t="str">
            <v>Fakulta elektrotechniky a informatiky</v>
          </cell>
          <cell r="AN901">
            <v>2</v>
          </cell>
          <cell r="AO901">
            <v>0</v>
          </cell>
          <cell r="AP901">
            <v>0</v>
          </cell>
          <cell r="AQ901">
            <v>2</v>
          </cell>
          <cell r="AR901">
            <v>2</v>
          </cell>
          <cell r="BF901">
            <v>6</v>
          </cell>
          <cell r="BG901">
            <v>12.78</v>
          </cell>
          <cell r="BH901">
            <v>12.78</v>
          </cell>
          <cell r="BI901">
            <v>2</v>
          </cell>
          <cell r="BJ901">
            <v>2</v>
          </cell>
        </row>
        <row r="902">
          <cell r="D902" t="str">
            <v>Technická univerzita v Košiciach</v>
          </cell>
          <cell r="E902" t="str">
            <v>Fakulta elektrotechniky a informatiky</v>
          </cell>
          <cell r="AN902">
            <v>2</v>
          </cell>
          <cell r="AO902">
            <v>0</v>
          </cell>
          <cell r="AP902">
            <v>0</v>
          </cell>
          <cell r="AQ902">
            <v>2</v>
          </cell>
          <cell r="AR902">
            <v>2</v>
          </cell>
          <cell r="BF902">
            <v>6</v>
          </cell>
          <cell r="BG902">
            <v>12.78</v>
          </cell>
          <cell r="BH902">
            <v>12.78</v>
          </cell>
          <cell r="BI902">
            <v>2</v>
          </cell>
          <cell r="BJ902">
            <v>2</v>
          </cell>
        </row>
        <row r="903">
          <cell r="D903" t="str">
            <v>Technická univerzita v Košiciach</v>
          </cell>
          <cell r="E903" t="str">
            <v>Fakulta elektrotechniky a informatiky</v>
          </cell>
          <cell r="AN903">
            <v>8</v>
          </cell>
          <cell r="AO903">
            <v>0</v>
          </cell>
          <cell r="AP903">
            <v>0</v>
          </cell>
          <cell r="AQ903">
            <v>8</v>
          </cell>
          <cell r="AR903">
            <v>8</v>
          </cell>
          <cell r="BF903">
            <v>24</v>
          </cell>
          <cell r="BG903">
            <v>51.12</v>
          </cell>
          <cell r="BH903">
            <v>51.12</v>
          </cell>
          <cell r="BI903">
            <v>8</v>
          </cell>
          <cell r="BJ903">
            <v>8</v>
          </cell>
        </row>
        <row r="904">
          <cell r="D904" t="str">
            <v>Technická univerzita v Košiciach</v>
          </cell>
          <cell r="E904" t="str">
            <v>Fakulta elektrotechniky a informatiky</v>
          </cell>
          <cell r="AN904">
            <v>290</v>
          </cell>
          <cell r="AO904">
            <v>303</v>
          </cell>
          <cell r="AP904">
            <v>0</v>
          </cell>
          <cell r="AQ904">
            <v>0</v>
          </cell>
          <cell r="AR904">
            <v>290</v>
          </cell>
          <cell r="BF904">
            <v>435</v>
          </cell>
          <cell r="BG904">
            <v>643.79999999999995</v>
          </cell>
          <cell r="BH904">
            <v>597.07258064516122</v>
          </cell>
          <cell r="BI904">
            <v>303</v>
          </cell>
          <cell r="BJ904">
            <v>0</v>
          </cell>
        </row>
        <row r="905">
          <cell r="D905" t="str">
            <v>Technická univerzita v Košiciach</v>
          </cell>
          <cell r="E905" t="str">
            <v>Fakulta elektrotechniky a informatiky</v>
          </cell>
          <cell r="AN905">
            <v>261</v>
          </cell>
          <cell r="AO905">
            <v>302</v>
          </cell>
          <cell r="AP905">
            <v>302</v>
          </cell>
          <cell r="AQ905">
            <v>261</v>
          </cell>
          <cell r="AR905">
            <v>261</v>
          </cell>
          <cell r="BF905">
            <v>218.39999999999998</v>
          </cell>
          <cell r="BG905">
            <v>323.23199999999997</v>
          </cell>
          <cell r="BH905">
            <v>323.23199999999997</v>
          </cell>
          <cell r="BI905">
            <v>302</v>
          </cell>
          <cell r="BJ905">
            <v>0</v>
          </cell>
        </row>
        <row r="906">
          <cell r="D906" t="str">
            <v>Technická univerzita v Košiciach</v>
          </cell>
          <cell r="E906" t="str">
            <v>Fakulta elektrotechniky a informatiky</v>
          </cell>
          <cell r="AN906">
            <v>102</v>
          </cell>
          <cell r="AO906">
            <v>113</v>
          </cell>
          <cell r="AP906">
            <v>113</v>
          </cell>
          <cell r="AQ906">
            <v>102</v>
          </cell>
          <cell r="AR906">
            <v>102</v>
          </cell>
          <cell r="BF906">
            <v>87.3</v>
          </cell>
          <cell r="BG906">
            <v>129.20400000000001</v>
          </cell>
          <cell r="BH906">
            <v>129.20400000000001</v>
          </cell>
          <cell r="BI906">
            <v>113</v>
          </cell>
          <cell r="BJ906">
            <v>0</v>
          </cell>
        </row>
        <row r="907">
          <cell r="D907" t="str">
            <v>Technická univerzita v Košiciach</v>
          </cell>
          <cell r="E907" t="str">
            <v>Fakulta elektrotechniky a informatiky</v>
          </cell>
          <cell r="AN907">
            <v>174</v>
          </cell>
          <cell r="AO907">
            <v>192</v>
          </cell>
          <cell r="AP907">
            <v>192</v>
          </cell>
          <cell r="AQ907">
            <v>174</v>
          </cell>
          <cell r="AR907">
            <v>174</v>
          </cell>
          <cell r="BF907">
            <v>147.30000000000001</v>
          </cell>
          <cell r="BG907">
            <v>218.00400000000002</v>
          </cell>
          <cell r="BH907">
            <v>218.00400000000002</v>
          </cell>
          <cell r="BI907">
            <v>192</v>
          </cell>
          <cell r="BJ907">
            <v>0</v>
          </cell>
        </row>
        <row r="908">
          <cell r="D908" t="str">
            <v>Technická univerzita v Košiciach</v>
          </cell>
          <cell r="E908" t="str">
            <v>Fakulta baníctva, ekológie, riadenia a geotechnológií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5</v>
          </cell>
          <cell r="BJ908">
            <v>0</v>
          </cell>
        </row>
        <row r="909">
          <cell r="D909" t="str">
            <v>Technická univerzita v Košiciach</v>
          </cell>
          <cell r="E909" t="str">
            <v>Fakulta baníctva, ekológie, riadenia a geotechnológií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15</v>
          </cell>
          <cell r="BJ909">
            <v>0</v>
          </cell>
        </row>
        <row r="910">
          <cell r="D910" t="str">
            <v>Technická univerzita v Košiciach</v>
          </cell>
          <cell r="E910" t="str">
            <v>Fakulta baníctva, ekológie, riadenia a geotechnológií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3</v>
          </cell>
          <cell r="BJ910">
            <v>0</v>
          </cell>
        </row>
        <row r="911">
          <cell r="D911" t="str">
            <v>Technická univerzita v Košiciach</v>
          </cell>
          <cell r="E911" t="str">
            <v>Fakulta baníctva, ekológie, riadenia a geotechnológií</v>
          </cell>
          <cell r="AN911">
            <v>59</v>
          </cell>
          <cell r="AO911">
            <v>62</v>
          </cell>
          <cell r="AP911">
            <v>0</v>
          </cell>
          <cell r="AQ911">
            <v>0</v>
          </cell>
          <cell r="AR911">
            <v>59</v>
          </cell>
          <cell r="BF911">
            <v>88.5</v>
          </cell>
          <cell r="BG911">
            <v>130.97999999999999</v>
          </cell>
          <cell r="BH911">
            <v>101.04171428571428</v>
          </cell>
          <cell r="BI911">
            <v>62</v>
          </cell>
          <cell r="BJ911">
            <v>0</v>
          </cell>
        </row>
        <row r="912">
          <cell r="D912" t="str">
            <v>Technická univerzita v Košiciach</v>
          </cell>
          <cell r="E912" t="str">
            <v>Fakulta baníctva, ekológie, riadenia a geotechnológií</v>
          </cell>
          <cell r="AN912">
            <v>38</v>
          </cell>
          <cell r="AO912">
            <v>48</v>
          </cell>
          <cell r="AP912">
            <v>0</v>
          </cell>
          <cell r="AQ912">
            <v>0</v>
          </cell>
          <cell r="AR912">
            <v>38</v>
          </cell>
          <cell r="BF912">
            <v>31.7</v>
          </cell>
          <cell r="BG912">
            <v>46.915999999999997</v>
          </cell>
          <cell r="BH912">
            <v>42.650909090909089</v>
          </cell>
          <cell r="BI912">
            <v>48</v>
          </cell>
          <cell r="BJ912">
            <v>0</v>
          </cell>
        </row>
        <row r="913">
          <cell r="D913" t="str">
            <v>Technická univerzita v Košiciach</v>
          </cell>
          <cell r="E913" t="str">
            <v>Fakulta baníctva, ekológie, riadenia a geotechnológií</v>
          </cell>
          <cell r="AN913">
            <v>1</v>
          </cell>
          <cell r="AO913">
            <v>3</v>
          </cell>
          <cell r="AP913">
            <v>3</v>
          </cell>
          <cell r="AQ913">
            <v>1</v>
          </cell>
          <cell r="AR913">
            <v>1</v>
          </cell>
          <cell r="BF913">
            <v>0.7</v>
          </cell>
          <cell r="BG913">
            <v>1.036</v>
          </cell>
          <cell r="BH913">
            <v>1.036</v>
          </cell>
          <cell r="BI913">
            <v>3</v>
          </cell>
          <cell r="BJ913">
            <v>0</v>
          </cell>
        </row>
        <row r="914">
          <cell r="D914" t="str">
            <v>Technická univerzita v Košiciach</v>
          </cell>
          <cell r="E914" t="str">
            <v>Fakulta baníctva, ekológie, riadenia a geotechnológií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7</v>
          </cell>
          <cell r="BJ914">
            <v>0</v>
          </cell>
        </row>
        <row r="915">
          <cell r="D915" t="str">
            <v>Technická univerzita v Košiciach</v>
          </cell>
          <cell r="E915" t="str">
            <v>Fakulta baníctva, ekológie, riadenia a geotechnológií</v>
          </cell>
          <cell r="AN915">
            <v>136</v>
          </cell>
          <cell r="AO915">
            <v>145</v>
          </cell>
          <cell r="AP915">
            <v>145</v>
          </cell>
          <cell r="AQ915">
            <v>136</v>
          </cell>
          <cell r="AR915">
            <v>136</v>
          </cell>
          <cell r="BF915">
            <v>111.4</v>
          </cell>
          <cell r="BG915">
            <v>164.87200000000001</v>
          </cell>
          <cell r="BH915">
            <v>164.87200000000001</v>
          </cell>
          <cell r="BI915">
            <v>145</v>
          </cell>
          <cell r="BJ915">
            <v>0</v>
          </cell>
        </row>
        <row r="916">
          <cell r="D916" t="str">
            <v>Technická univerzita v Košiciach</v>
          </cell>
          <cell r="E916" t="str">
            <v>Fakulta baníctva, ekológie, riadenia a geotechnológií</v>
          </cell>
          <cell r="AN916">
            <v>22</v>
          </cell>
          <cell r="AO916">
            <v>26</v>
          </cell>
          <cell r="AP916">
            <v>26</v>
          </cell>
          <cell r="AQ916">
            <v>22</v>
          </cell>
          <cell r="AR916">
            <v>22</v>
          </cell>
          <cell r="BF916">
            <v>17.799999999999997</v>
          </cell>
          <cell r="BG916">
            <v>26.343999999999994</v>
          </cell>
          <cell r="BH916">
            <v>26.343999999999994</v>
          </cell>
          <cell r="BI916">
            <v>26</v>
          </cell>
          <cell r="BJ916">
            <v>0</v>
          </cell>
        </row>
        <row r="917">
          <cell r="D917" t="str">
            <v>Technická univerzita v Košiciach</v>
          </cell>
          <cell r="E917" t="str">
            <v>Fakulta baníctva, ekológie, riadenia a geotechnológií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2</v>
          </cell>
          <cell r="BJ917">
            <v>0</v>
          </cell>
        </row>
        <row r="918">
          <cell r="D918" t="str">
            <v>Technická univerzita v Košiciach</v>
          </cell>
          <cell r="E918" t="str">
            <v>Fakulta baníctva, ekológie, riadenia a geotechnológií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3</v>
          </cell>
          <cell r="BJ918">
            <v>0</v>
          </cell>
        </row>
        <row r="919">
          <cell r="D919" t="str">
            <v>Univerzita Konštantína Filozofa v Nitre</v>
          </cell>
          <cell r="E919" t="str">
            <v>Fakulta prírodných vied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13</v>
          </cell>
          <cell r="BJ919">
            <v>0</v>
          </cell>
        </row>
        <row r="920">
          <cell r="D920" t="str">
            <v>Univerzita Konštantína Filozofa v Nitre</v>
          </cell>
          <cell r="E920" t="str">
            <v>Fakulta prírodných vied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10</v>
          </cell>
          <cell r="BJ920">
            <v>0</v>
          </cell>
        </row>
        <row r="921">
          <cell r="D921" t="str">
            <v>Univerzita Konštantína Filozofa v Nitre</v>
          </cell>
          <cell r="E921" t="str">
            <v>Fakulta prírodných vied</v>
          </cell>
          <cell r="AN921">
            <v>27</v>
          </cell>
          <cell r="AO921">
            <v>0</v>
          </cell>
          <cell r="AP921">
            <v>0</v>
          </cell>
          <cell r="AQ921">
            <v>0</v>
          </cell>
          <cell r="AR921">
            <v>27</v>
          </cell>
          <cell r="BF921">
            <v>81</v>
          </cell>
          <cell r="BG921">
            <v>172.53</v>
          </cell>
          <cell r="BH921">
            <v>147.88285714285715</v>
          </cell>
          <cell r="BI921">
            <v>27</v>
          </cell>
          <cell r="BJ921">
            <v>27</v>
          </cell>
        </row>
        <row r="922">
          <cell r="D922" t="str">
            <v>Univerzita Konštantína Filozofa v Nitre</v>
          </cell>
          <cell r="E922" t="str">
            <v>Fakulta prírodných vied</v>
          </cell>
          <cell r="AN922">
            <v>3</v>
          </cell>
          <cell r="AO922">
            <v>0</v>
          </cell>
          <cell r="AP922">
            <v>0</v>
          </cell>
          <cell r="AQ922">
            <v>3</v>
          </cell>
          <cell r="AR922">
            <v>3</v>
          </cell>
          <cell r="BF922">
            <v>9</v>
          </cell>
          <cell r="BG922">
            <v>19.169999999999998</v>
          </cell>
          <cell r="BH922">
            <v>19.169999999999998</v>
          </cell>
          <cell r="BI922">
            <v>3</v>
          </cell>
          <cell r="BJ922">
            <v>3</v>
          </cell>
        </row>
        <row r="923">
          <cell r="D923" t="str">
            <v>Univerzita Konštantína Filozofa v Nitre</v>
          </cell>
          <cell r="E923" t="str">
            <v>Fakulta prírodných vied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72</v>
          </cell>
          <cell r="BJ923">
            <v>0</v>
          </cell>
        </row>
        <row r="924">
          <cell r="D924" t="str">
            <v>Univerzita Konštantína Filozofa v Nitre</v>
          </cell>
          <cell r="E924" t="str">
            <v>Fakulta prírodných vied</v>
          </cell>
          <cell r="AN924">
            <v>8</v>
          </cell>
          <cell r="AO924">
            <v>0</v>
          </cell>
          <cell r="AP924">
            <v>0</v>
          </cell>
          <cell r="AQ924">
            <v>8</v>
          </cell>
          <cell r="AR924">
            <v>8</v>
          </cell>
          <cell r="BF924">
            <v>24</v>
          </cell>
          <cell r="BG924">
            <v>51.12</v>
          </cell>
          <cell r="BH924">
            <v>51.12</v>
          </cell>
          <cell r="BI924">
            <v>8</v>
          </cell>
          <cell r="BJ924">
            <v>8</v>
          </cell>
        </row>
        <row r="925">
          <cell r="D925" t="str">
            <v>Univerzita Konštantína Filozofa v Nitre</v>
          </cell>
          <cell r="E925" t="str">
            <v>Fakulta prírodných vied</v>
          </cell>
          <cell r="AN925">
            <v>5</v>
          </cell>
          <cell r="AO925">
            <v>0</v>
          </cell>
          <cell r="AP925">
            <v>0</v>
          </cell>
          <cell r="AQ925">
            <v>5</v>
          </cell>
          <cell r="AR925">
            <v>5</v>
          </cell>
          <cell r="BF925">
            <v>15</v>
          </cell>
          <cell r="BG925">
            <v>31.95</v>
          </cell>
          <cell r="BH925">
            <v>31.95</v>
          </cell>
          <cell r="BI925">
            <v>5</v>
          </cell>
          <cell r="BJ925">
            <v>5</v>
          </cell>
        </row>
        <row r="926">
          <cell r="D926" t="str">
            <v>Univerzita Konštantína Filozofa v Nitre</v>
          </cell>
          <cell r="E926" t="str">
            <v>Fakulta prírodných vied</v>
          </cell>
          <cell r="AN926">
            <v>8</v>
          </cell>
          <cell r="AO926">
            <v>0</v>
          </cell>
          <cell r="AP926">
            <v>0</v>
          </cell>
          <cell r="AQ926">
            <v>8</v>
          </cell>
          <cell r="AR926">
            <v>8</v>
          </cell>
          <cell r="BF926">
            <v>24</v>
          </cell>
          <cell r="BG926">
            <v>51.12</v>
          </cell>
          <cell r="BH926">
            <v>51.12</v>
          </cell>
          <cell r="BI926">
            <v>8</v>
          </cell>
          <cell r="BJ926">
            <v>8</v>
          </cell>
        </row>
        <row r="927">
          <cell r="D927" t="str">
            <v>Univerzita Konštantína Filozofa v Nitre</v>
          </cell>
          <cell r="E927" t="str">
            <v>Fakulta prírodných vied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10</v>
          </cell>
          <cell r="BJ927">
            <v>0</v>
          </cell>
        </row>
        <row r="928">
          <cell r="D928" t="str">
            <v>Univerzita Konštantína Filozofa v Nitre</v>
          </cell>
          <cell r="E928" t="str">
            <v>Fakulta prírodných vied</v>
          </cell>
          <cell r="AN928">
            <v>74</v>
          </cell>
          <cell r="AO928">
            <v>79</v>
          </cell>
          <cell r="AP928">
            <v>0</v>
          </cell>
          <cell r="AQ928">
            <v>0</v>
          </cell>
          <cell r="AR928">
            <v>74</v>
          </cell>
          <cell r="BF928">
            <v>111</v>
          </cell>
          <cell r="BG928">
            <v>164.28</v>
          </cell>
          <cell r="BH928">
            <v>151.13760000000002</v>
          </cell>
          <cell r="BI928">
            <v>79</v>
          </cell>
          <cell r="BJ928">
            <v>0</v>
          </cell>
        </row>
        <row r="929">
          <cell r="D929" t="str">
            <v>Univerzita Konštantína Filozofa v Nitre</v>
          </cell>
          <cell r="E929" t="str">
            <v>Fakulta prírodných vied</v>
          </cell>
          <cell r="AN929">
            <v>5.5</v>
          </cell>
          <cell r="AO929">
            <v>6</v>
          </cell>
          <cell r="AP929">
            <v>6</v>
          </cell>
          <cell r="AQ929">
            <v>5.5</v>
          </cell>
          <cell r="AR929">
            <v>5.5</v>
          </cell>
          <cell r="BF929">
            <v>8.25</v>
          </cell>
          <cell r="BG929">
            <v>9.817499999999999</v>
          </cell>
          <cell r="BH929">
            <v>9.817499999999999</v>
          </cell>
          <cell r="BI929">
            <v>6</v>
          </cell>
          <cell r="BJ929">
            <v>0</v>
          </cell>
        </row>
        <row r="930">
          <cell r="D930" t="str">
            <v>Univerzita Konštantína Filozofa v Nitre</v>
          </cell>
          <cell r="E930" t="str">
            <v>Filozofická fakulta</v>
          </cell>
          <cell r="AN930">
            <v>28.5</v>
          </cell>
          <cell r="AO930">
            <v>31</v>
          </cell>
          <cell r="AP930">
            <v>0</v>
          </cell>
          <cell r="AQ930">
            <v>0</v>
          </cell>
          <cell r="AR930">
            <v>28.5</v>
          </cell>
          <cell r="BF930">
            <v>42.75</v>
          </cell>
          <cell r="BG930">
            <v>46.597500000000004</v>
          </cell>
          <cell r="BH930">
            <v>46.597500000000004</v>
          </cell>
          <cell r="BI930">
            <v>31</v>
          </cell>
          <cell r="BJ930">
            <v>0</v>
          </cell>
        </row>
        <row r="931">
          <cell r="D931" t="str">
            <v>Univerzita Konštantína Filozofa v Nitre</v>
          </cell>
          <cell r="E931" t="str">
            <v>Fakulta prírodných vied</v>
          </cell>
          <cell r="AN931">
            <v>44.5</v>
          </cell>
          <cell r="AO931">
            <v>50.5</v>
          </cell>
          <cell r="AP931">
            <v>50.5</v>
          </cell>
          <cell r="AQ931">
            <v>44.5</v>
          </cell>
          <cell r="AR931">
            <v>44.5</v>
          </cell>
          <cell r="BF931">
            <v>36.700000000000003</v>
          </cell>
          <cell r="BG931">
            <v>52.847999999999999</v>
          </cell>
          <cell r="BH931">
            <v>52.847999999999999</v>
          </cell>
          <cell r="BI931">
            <v>50.5</v>
          </cell>
          <cell r="BJ931">
            <v>0</v>
          </cell>
        </row>
        <row r="932">
          <cell r="D932" t="str">
            <v>Univerzita Konštantína Filozofa v Nitre</v>
          </cell>
          <cell r="E932" t="str">
            <v>Fakulta prírodných vied</v>
          </cell>
          <cell r="AN932">
            <v>15</v>
          </cell>
          <cell r="AO932">
            <v>21</v>
          </cell>
          <cell r="AP932">
            <v>21</v>
          </cell>
          <cell r="AQ932">
            <v>15</v>
          </cell>
          <cell r="AR932">
            <v>15</v>
          </cell>
          <cell r="BF932">
            <v>13.5</v>
          </cell>
          <cell r="BG932">
            <v>19.98</v>
          </cell>
          <cell r="BH932">
            <v>19.98</v>
          </cell>
          <cell r="BI932">
            <v>21</v>
          </cell>
          <cell r="BJ932">
            <v>0</v>
          </cell>
        </row>
        <row r="933">
          <cell r="D933" t="str">
            <v>Univerzita Konštantína Filozofa v Nitre</v>
          </cell>
          <cell r="E933" t="str">
            <v>Fakulta prírodných vied</v>
          </cell>
          <cell r="AN933">
            <v>4</v>
          </cell>
          <cell r="AO933">
            <v>7</v>
          </cell>
          <cell r="AP933">
            <v>0</v>
          </cell>
          <cell r="AQ933">
            <v>0</v>
          </cell>
          <cell r="AR933">
            <v>4</v>
          </cell>
          <cell r="BF933">
            <v>3.4</v>
          </cell>
          <cell r="BG933">
            <v>4.8959999999999999</v>
          </cell>
          <cell r="BH933">
            <v>4.8959999999999999</v>
          </cell>
          <cell r="BI933">
            <v>7</v>
          </cell>
          <cell r="BJ933">
            <v>0</v>
          </cell>
        </row>
        <row r="934">
          <cell r="D934" t="str">
            <v>Univerzita Konštantína Filozofa v Nitre</v>
          </cell>
          <cell r="E934" t="str">
            <v>Filozofická fakulta</v>
          </cell>
          <cell r="AN934">
            <v>64</v>
          </cell>
          <cell r="AO934">
            <v>74</v>
          </cell>
          <cell r="AP934">
            <v>0</v>
          </cell>
          <cell r="AQ934">
            <v>0</v>
          </cell>
          <cell r="AR934">
            <v>64</v>
          </cell>
          <cell r="BF934">
            <v>55.45</v>
          </cell>
          <cell r="BG934">
            <v>60.440500000000007</v>
          </cell>
          <cell r="BH934">
            <v>60.440500000000007</v>
          </cell>
          <cell r="BI934">
            <v>74</v>
          </cell>
          <cell r="BJ934">
            <v>0</v>
          </cell>
        </row>
        <row r="935">
          <cell r="D935" t="str">
            <v>Univerzita Konštantína Filozofa v Nitre</v>
          </cell>
          <cell r="E935" t="str">
            <v>Fakulta prírodných vied</v>
          </cell>
          <cell r="AN935">
            <v>75.5</v>
          </cell>
          <cell r="AO935">
            <v>82</v>
          </cell>
          <cell r="AP935">
            <v>82</v>
          </cell>
          <cell r="AQ935">
            <v>75.5</v>
          </cell>
          <cell r="AR935">
            <v>75.5</v>
          </cell>
          <cell r="BF935">
            <v>65</v>
          </cell>
          <cell r="BG935">
            <v>93.6</v>
          </cell>
          <cell r="BH935">
            <v>90.763636363636365</v>
          </cell>
          <cell r="BI935">
            <v>82</v>
          </cell>
          <cell r="BJ935">
            <v>0</v>
          </cell>
        </row>
        <row r="936">
          <cell r="D936" t="str">
            <v>Univerzita Konštantína Filozofa v Nitre</v>
          </cell>
          <cell r="E936" t="str">
            <v>Fakulta prírodných vied</v>
          </cell>
          <cell r="AN936">
            <v>18</v>
          </cell>
          <cell r="AO936">
            <v>22</v>
          </cell>
          <cell r="AP936">
            <v>22</v>
          </cell>
          <cell r="AQ936">
            <v>18</v>
          </cell>
          <cell r="AR936">
            <v>18</v>
          </cell>
          <cell r="BF936">
            <v>15.899999999999999</v>
          </cell>
          <cell r="BG936">
            <v>22.895999999999997</v>
          </cell>
          <cell r="BH936">
            <v>22.895999999999997</v>
          </cell>
          <cell r="BI936">
            <v>22</v>
          </cell>
          <cell r="BJ936">
            <v>0</v>
          </cell>
        </row>
        <row r="937">
          <cell r="D937" t="str">
            <v>Univerzita Konštantína Filozofa v Nitre</v>
          </cell>
          <cell r="E937" t="str">
            <v>Fakulta prírodných vied</v>
          </cell>
          <cell r="AN937">
            <v>18.5</v>
          </cell>
          <cell r="AO937">
            <v>23.5</v>
          </cell>
          <cell r="AP937">
            <v>0</v>
          </cell>
          <cell r="AQ937">
            <v>0</v>
          </cell>
          <cell r="AR937">
            <v>18.5</v>
          </cell>
          <cell r="BF937">
            <v>16.25</v>
          </cell>
          <cell r="BG937">
            <v>19.337499999999999</v>
          </cell>
          <cell r="BH937">
            <v>16.574999999999999</v>
          </cell>
          <cell r="BI937">
            <v>23.5</v>
          </cell>
          <cell r="BJ937">
            <v>0</v>
          </cell>
        </row>
        <row r="938">
          <cell r="D938" t="str">
            <v>Univerzita Konštantína Filozofa v Nitre</v>
          </cell>
          <cell r="E938" t="str">
            <v>Fakulta prírodných vied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3</v>
          </cell>
          <cell r="BJ938">
            <v>0</v>
          </cell>
        </row>
        <row r="939">
          <cell r="D939" t="str">
            <v>Univerzita Konštantína Filozofa v Nitre</v>
          </cell>
          <cell r="E939" t="str">
            <v>Fakulta prírodných vied</v>
          </cell>
          <cell r="AN939">
            <v>14.5</v>
          </cell>
          <cell r="AO939">
            <v>18.5</v>
          </cell>
          <cell r="AP939">
            <v>0</v>
          </cell>
          <cell r="AQ939">
            <v>0</v>
          </cell>
          <cell r="AR939">
            <v>14.5</v>
          </cell>
          <cell r="BF939">
            <v>12.55</v>
          </cell>
          <cell r="BG939">
            <v>13.679500000000003</v>
          </cell>
          <cell r="BH939">
            <v>13.679500000000003</v>
          </cell>
          <cell r="BI939">
            <v>18.5</v>
          </cell>
          <cell r="BJ939">
            <v>0</v>
          </cell>
        </row>
        <row r="940">
          <cell r="D940" t="str">
            <v>Univerzita Konštantína Filozofa v Nitre</v>
          </cell>
          <cell r="E940" t="str">
            <v>Pedagogická fakulta</v>
          </cell>
          <cell r="AN940">
            <v>44</v>
          </cell>
          <cell r="AO940">
            <v>47</v>
          </cell>
          <cell r="AP940">
            <v>0</v>
          </cell>
          <cell r="AQ940">
            <v>0</v>
          </cell>
          <cell r="AR940">
            <v>44</v>
          </cell>
          <cell r="BF940">
            <v>36.950000000000003</v>
          </cell>
          <cell r="BG940">
            <v>43.970500000000001</v>
          </cell>
          <cell r="BH940">
            <v>43.970500000000001</v>
          </cell>
          <cell r="BI940">
            <v>47</v>
          </cell>
          <cell r="BJ940">
            <v>0</v>
          </cell>
        </row>
        <row r="941">
          <cell r="D941" t="str">
            <v>Univerzita Konštantína Filozofa v Nitre</v>
          </cell>
          <cell r="E941" t="str">
            <v>Filozofická fakulta</v>
          </cell>
          <cell r="AN941">
            <v>5</v>
          </cell>
          <cell r="AO941">
            <v>5.5</v>
          </cell>
          <cell r="AP941">
            <v>0</v>
          </cell>
          <cell r="AQ941">
            <v>0</v>
          </cell>
          <cell r="AR941">
            <v>5</v>
          </cell>
          <cell r="BF941">
            <v>4.4000000000000004</v>
          </cell>
          <cell r="BG941">
            <v>4.7960000000000012</v>
          </cell>
          <cell r="BH941">
            <v>4.7960000000000012</v>
          </cell>
          <cell r="BI941">
            <v>5.5</v>
          </cell>
          <cell r="BJ941">
            <v>0</v>
          </cell>
        </row>
        <row r="942">
          <cell r="D942" t="str">
            <v>Univerzita Konštantína Filozofa v Nitre</v>
          </cell>
          <cell r="E942" t="str">
            <v>Fakulta prírodných vied</v>
          </cell>
          <cell r="AN942">
            <v>71</v>
          </cell>
          <cell r="AO942">
            <v>79</v>
          </cell>
          <cell r="AP942">
            <v>79</v>
          </cell>
          <cell r="AQ942">
            <v>71</v>
          </cell>
          <cell r="AR942">
            <v>71</v>
          </cell>
          <cell r="BF942">
            <v>60.5</v>
          </cell>
          <cell r="BG942">
            <v>89.539999999999992</v>
          </cell>
          <cell r="BH942">
            <v>89.539999999999992</v>
          </cell>
          <cell r="BI942">
            <v>79</v>
          </cell>
          <cell r="BJ942">
            <v>0</v>
          </cell>
        </row>
        <row r="943">
          <cell r="D943" t="str">
            <v>Univerzita Konštantína Filozofa v Nitre</v>
          </cell>
          <cell r="E943" t="str">
            <v>Fakulta sociálnych vied a zdravotníctva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10</v>
          </cell>
          <cell r="BJ943">
            <v>0</v>
          </cell>
        </row>
        <row r="944">
          <cell r="D944" t="str">
            <v>Univerzita Konštantína Filozofa v Nitre</v>
          </cell>
          <cell r="E944" t="str">
            <v>Fakulta sociálnych vied a zdravotníctva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79</v>
          </cell>
          <cell r="BJ944">
            <v>0</v>
          </cell>
        </row>
        <row r="945">
          <cell r="D945" t="str">
            <v>Univerzita Konštantína Filozofa v Nitre</v>
          </cell>
          <cell r="E945" t="str">
            <v>Fakulta sociálnych vied a zdravotníctva</v>
          </cell>
          <cell r="AN945">
            <v>79</v>
          </cell>
          <cell r="AO945">
            <v>85</v>
          </cell>
          <cell r="AP945">
            <v>0</v>
          </cell>
          <cell r="AQ945">
            <v>0</v>
          </cell>
          <cell r="AR945">
            <v>79</v>
          </cell>
          <cell r="BF945">
            <v>118.5</v>
          </cell>
          <cell r="BG945">
            <v>118.5</v>
          </cell>
          <cell r="BH945">
            <v>105.03409090909091</v>
          </cell>
          <cell r="BI945">
            <v>85</v>
          </cell>
          <cell r="BJ945">
            <v>0</v>
          </cell>
        </row>
        <row r="946">
          <cell r="D946" t="str">
            <v>Univerzita Konštantína Filozofa v Nitre</v>
          </cell>
          <cell r="E946" t="str">
            <v>Fakulta sociálnych vied a zdravotníctva</v>
          </cell>
          <cell r="AN946">
            <v>198</v>
          </cell>
          <cell r="AO946">
            <v>207</v>
          </cell>
          <cell r="AP946">
            <v>207</v>
          </cell>
          <cell r="AQ946">
            <v>0</v>
          </cell>
          <cell r="AR946">
            <v>198</v>
          </cell>
          <cell r="BF946">
            <v>175.8</v>
          </cell>
          <cell r="BG946">
            <v>377.97</v>
          </cell>
          <cell r="BH946">
            <v>377.97</v>
          </cell>
          <cell r="BI946">
            <v>207</v>
          </cell>
          <cell r="BJ946">
            <v>0</v>
          </cell>
        </row>
        <row r="947">
          <cell r="D947" t="str">
            <v>Univerzita Konštantína Filozofa v Nitre</v>
          </cell>
          <cell r="E947" t="str">
            <v>Fakulta sociálnych vied a zdravotníctva</v>
          </cell>
          <cell r="AN947">
            <v>101</v>
          </cell>
          <cell r="AO947">
            <v>105</v>
          </cell>
          <cell r="AP947">
            <v>0</v>
          </cell>
          <cell r="AQ947">
            <v>0</v>
          </cell>
          <cell r="AR947">
            <v>101</v>
          </cell>
          <cell r="BF947">
            <v>84.8</v>
          </cell>
          <cell r="BG947">
            <v>182.32</v>
          </cell>
          <cell r="BH947">
            <v>171.27030303030304</v>
          </cell>
          <cell r="BI947">
            <v>105</v>
          </cell>
          <cell r="BJ947">
            <v>0</v>
          </cell>
        </row>
        <row r="948">
          <cell r="D948" t="str">
            <v>Univerzita Konštantína Filozofa v Nitre</v>
          </cell>
          <cell r="E948" t="str">
            <v>Fakulta sociálnych vied a zdravotníctva</v>
          </cell>
          <cell r="AN948">
            <v>70</v>
          </cell>
          <cell r="AO948">
            <v>85</v>
          </cell>
          <cell r="AP948">
            <v>0</v>
          </cell>
          <cell r="AQ948">
            <v>0</v>
          </cell>
          <cell r="AR948">
            <v>70</v>
          </cell>
          <cell r="BF948">
            <v>61</v>
          </cell>
          <cell r="BG948">
            <v>61</v>
          </cell>
          <cell r="BH948">
            <v>58.821428571428569</v>
          </cell>
          <cell r="BI948">
            <v>85</v>
          </cell>
          <cell r="BJ948">
            <v>0</v>
          </cell>
        </row>
        <row r="949">
          <cell r="D949" t="str">
            <v>Univerzita Konštantína Filozofa v Nitre</v>
          </cell>
          <cell r="E949" t="str">
            <v>Fakulta sociálnych vied a zdravotníctva</v>
          </cell>
          <cell r="AN949">
            <v>46</v>
          </cell>
          <cell r="AO949">
            <v>53</v>
          </cell>
          <cell r="AP949">
            <v>0</v>
          </cell>
          <cell r="AQ949">
            <v>0</v>
          </cell>
          <cell r="AR949">
            <v>46</v>
          </cell>
          <cell r="BF949">
            <v>40</v>
          </cell>
          <cell r="BG949">
            <v>40</v>
          </cell>
          <cell r="BH949">
            <v>40</v>
          </cell>
          <cell r="BI949">
            <v>53</v>
          </cell>
          <cell r="BJ949">
            <v>0</v>
          </cell>
        </row>
        <row r="950">
          <cell r="D950" t="str">
            <v>Univerzita Pavla Jozefa Šafárika v Košiciach</v>
          </cell>
          <cell r="E950" t="str">
            <v>Filozofická fakulta</v>
          </cell>
          <cell r="AN950">
            <v>9</v>
          </cell>
          <cell r="AO950">
            <v>0</v>
          </cell>
          <cell r="AP950">
            <v>0</v>
          </cell>
          <cell r="AQ950">
            <v>0</v>
          </cell>
          <cell r="AR950">
            <v>9</v>
          </cell>
          <cell r="BF950">
            <v>36</v>
          </cell>
          <cell r="BG950">
            <v>39.6</v>
          </cell>
          <cell r="BH950">
            <v>39.6</v>
          </cell>
          <cell r="BI950">
            <v>9</v>
          </cell>
          <cell r="BJ950">
            <v>9</v>
          </cell>
        </row>
        <row r="951">
          <cell r="D951" t="str">
            <v>Univerzita Pavla Jozefa Šafárika v Košiciach</v>
          </cell>
          <cell r="E951" t="str">
            <v>Filozofická fakulta</v>
          </cell>
          <cell r="AN951">
            <v>13</v>
          </cell>
          <cell r="AO951">
            <v>0</v>
          </cell>
          <cell r="AP951">
            <v>0</v>
          </cell>
          <cell r="AQ951">
            <v>0</v>
          </cell>
          <cell r="AR951">
            <v>13</v>
          </cell>
          <cell r="BF951">
            <v>52</v>
          </cell>
          <cell r="BG951">
            <v>57.2</v>
          </cell>
          <cell r="BH951">
            <v>57.2</v>
          </cell>
          <cell r="BI951">
            <v>14</v>
          </cell>
          <cell r="BJ951">
            <v>13</v>
          </cell>
        </row>
        <row r="952">
          <cell r="D952" t="str">
            <v>Univerzita Pavla Jozefa Šafárika v Košiciach</v>
          </cell>
          <cell r="E952" t="str">
            <v>Filozofická fakulta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14</v>
          </cell>
          <cell r="BJ952">
            <v>0</v>
          </cell>
        </row>
        <row r="953">
          <cell r="D953" t="str">
            <v>Univerzita Pavla Jozefa Šafárika v Košiciach</v>
          </cell>
          <cell r="E953" t="str">
            <v>Filozofická fakulta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2</v>
          </cell>
          <cell r="BJ953">
            <v>0</v>
          </cell>
        </row>
        <row r="954">
          <cell r="D954" t="str">
            <v>Univerzita Pavla Jozefa Šafárika v Košiciach</v>
          </cell>
          <cell r="E954" t="str">
            <v>Filozofická fakulta</v>
          </cell>
          <cell r="AN954">
            <v>52</v>
          </cell>
          <cell r="AO954">
            <v>56</v>
          </cell>
          <cell r="AP954">
            <v>0</v>
          </cell>
          <cell r="AQ954">
            <v>0</v>
          </cell>
          <cell r="AR954">
            <v>52</v>
          </cell>
          <cell r="BF954">
            <v>43</v>
          </cell>
          <cell r="BG954">
            <v>44.72</v>
          </cell>
          <cell r="BH954">
            <v>44.72</v>
          </cell>
          <cell r="BI954">
            <v>56</v>
          </cell>
          <cell r="BJ954">
            <v>0</v>
          </cell>
        </row>
        <row r="955">
          <cell r="D955" t="str">
            <v>Univerzita Pavla Jozefa Šafárika v Košiciach</v>
          </cell>
          <cell r="E955" t="str">
            <v>Filozofická fakulta</v>
          </cell>
          <cell r="AN955">
            <v>3</v>
          </cell>
          <cell r="AO955">
            <v>5</v>
          </cell>
          <cell r="AP955">
            <v>0</v>
          </cell>
          <cell r="AQ955">
            <v>0</v>
          </cell>
          <cell r="AR955">
            <v>3</v>
          </cell>
          <cell r="BF955">
            <v>2.0999999999999996</v>
          </cell>
          <cell r="BG955">
            <v>2.0999999999999996</v>
          </cell>
          <cell r="BH955">
            <v>2.0999999999999996</v>
          </cell>
          <cell r="BI955">
            <v>5</v>
          </cell>
          <cell r="BJ955">
            <v>0</v>
          </cell>
        </row>
        <row r="956">
          <cell r="D956" t="str">
            <v>Univerzita Pavla Jozefa Šafárika v Košiciach</v>
          </cell>
          <cell r="E956" t="str">
            <v>Filozofická fakulta</v>
          </cell>
          <cell r="AN956">
            <v>17</v>
          </cell>
          <cell r="AO956">
            <v>21</v>
          </cell>
          <cell r="AP956">
            <v>0</v>
          </cell>
          <cell r="AQ956">
            <v>0</v>
          </cell>
          <cell r="AR956">
            <v>17</v>
          </cell>
          <cell r="BF956">
            <v>14.899999999999999</v>
          </cell>
          <cell r="BG956">
            <v>14.899999999999999</v>
          </cell>
          <cell r="BH956">
            <v>14.899999999999999</v>
          </cell>
          <cell r="BI956">
            <v>21</v>
          </cell>
          <cell r="BJ956">
            <v>0</v>
          </cell>
        </row>
        <row r="957">
          <cell r="D957" t="str">
            <v>Univerzita Pavla Jozefa Šafárika v Košiciach</v>
          </cell>
          <cell r="E957" t="str">
            <v>Filozofická fakulta</v>
          </cell>
          <cell r="AN957">
            <v>19</v>
          </cell>
          <cell r="AO957">
            <v>21</v>
          </cell>
          <cell r="AP957">
            <v>21</v>
          </cell>
          <cell r="AQ957">
            <v>0</v>
          </cell>
          <cell r="AR957">
            <v>19</v>
          </cell>
          <cell r="BF957">
            <v>16</v>
          </cell>
          <cell r="BG957">
            <v>19.84</v>
          </cell>
          <cell r="BH957">
            <v>19.84</v>
          </cell>
          <cell r="BI957">
            <v>21</v>
          </cell>
          <cell r="BJ957">
            <v>0</v>
          </cell>
        </row>
        <row r="958">
          <cell r="D958" t="str">
            <v>Univerzita Pavla Jozefa Šafárika v Košiciach</v>
          </cell>
          <cell r="E958" t="str">
            <v>Filozofická fakulta</v>
          </cell>
          <cell r="AN958">
            <v>29</v>
          </cell>
          <cell r="AO958">
            <v>30</v>
          </cell>
          <cell r="AP958">
            <v>0</v>
          </cell>
          <cell r="AQ958">
            <v>0</v>
          </cell>
          <cell r="AR958">
            <v>29</v>
          </cell>
          <cell r="BF958">
            <v>24.5</v>
          </cell>
          <cell r="BG958">
            <v>36.75</v>
          </cell>
          <cell r="BH958">
            <v>34.889240506329109</v>
          </cell>
          <cell r="BI958">
            <v>30</v>
          </cell>
          <cell r="BJ958">
            <v>0</v>
          </cell>
        </row>
        <row r="959">
          <cell r="D959" t="str">
            <v>Univerzita Pavla Jozefa Šafárika v Košiciach</v>
          </cell>
          <cell r="E959" t="str">
            <v>Filozofická fakulta</v>
          </cell>
          <cell r="AN959">
            <v>87</v>
          </cell>
          <cell r="AO959">
            <v>101</v>
          </cell>
          <cell r="AP959">
            <v>0</v>
          </cell>
          <cell r="AQ959">
            <v>0</v>
          </cell>
          <cell r="AR959">
            <v>87</v>
          </cell>
          <cell r="BF959">
            <v>74.099999999999994</v>
          </cell>
          <cell r="BG959">
            <v>88.178999999999988</v>
          </cell>
          <cell r="BH959">
            <v>88.178999999999988</v>
          </cell>
          <cell r="BI959">
            <v>101</v>
          </cell>
          <cell r="BJ959">
            <v>0</v>
          </cell>
        </row>
        <row r="960">
          <cell r="D960" t="str">
            <v>Univerzita Pavla Jozefa Šafárika v Košiciach</v>
          </cell>
          <cell r="E960" t="str">
            <v>Filozofická fakulta</v>
          </cell>
          <cell r="AN960">
            <v>29</v>
          </cell>
          <cell r="AO960">
            <v>31</v>
          </cell>
          <cell r="AP960">
            <v>31</v>
          </cell>
          <cell r="AQ960">
            <v>0</v>
          </cell>
          <cell r="AR960">
            <v>29</v>
          </cell>
          <cell r="BF960">
            <v>23.299999999999997</v>
          </cell>
          <cell r="BG960">
            <v>29.357999999999997</v>
          </cell>
          <cell r="BH960">
            <v>29.357999999999997</v>
          </cell>
          <cell r="BI960">
            <v>31</v>
          </cell>
          <cell r="BJ960">
            <v>0</v>
          </cell>
        </row>
        <row r="961">
          <cell r="D961" t="str">
            <v>Univerzita Pavla Jozefa Šafárika v Košiciach</v>
          </cell>
          <cell r="E961" t="str">
            <v>Filozofická fakulta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7</v>
          </cell>
          <cell r="BJ961">
            <v>0</v>
          </cell>
        </row>
        <row r="962">
          <cell r="D962" t="str">
            <v>Univerzita Pavla Jozefa Šafárika v Košiciach</v>
          </cell>
          <cell r="E962" t="str">
            <v>Filozofická fakulta</v>
          </cell>
          <cell r="AN962">
            <v>19</v>
          </cell>
          <cell r="AO962">
            <v>23</v>
          </cell>
          <cell r="AP962">
            <v>23</v>
          </cell>
          <cell r="AQ962">
            <v>0</v>
          </cell>
          <cell r="AR962">
            <v>19</v>
          </cell>
          <cell r="BF962">
            <v>16.899999999999999</v>
          </cell>
          <cell r="BG962">
            <v>21.293999999999997</v>
          </cell>
          <cell r="BH962">
            <v>21.293999999999997</v>
          </cell>
          <cell r="BI962">
            <v>23</v>
          </cell>
          <cell r="BJ962">
            <v>0</v>
          </cell>
        </row>
        <row r="963">
          <cell r="D963" t="str">
            <v>Univerzita Pavla Jozefa Šafárika v Košiciach</v>
          </cell>
          <cell r="E963" t="str">
            <v>Filozofická fakulta</v>
          </cell>
          <cell r="AN963">
            <v>26</v>
          </cell>
          <cell r="AO963">
            <v>28</v>
          </cell>
          <cell r="AP963">
            <v>0</v>
          </cell>
          <cell r="AQ963">
            <v>0</v>
          </cell>
          <cell r="AR963">
            <v>26</v>
          </cell>
          <cell r="BF963">
            <v>23</v>
          </cell>
          <cell r="BG963">
            <v>23.46</v>
          </cell>
          <cell r="BH963">
            <v>23.46</v>
          </cell>
          <cell r="BI963">
            <v>28</v>
          </cell>
          <cell r="BJ963">
            <v>0</v>
          </cell>
        </row>
        <row r="964">
          <cell r="D964" t="str">
            <v>Univerzita Pavla Jozefa Šafárika v Košiciach</v>
          </cell>
          <cell r="E964" t="str">
            <v>Filozofická fakulta</v>
          </cell>
          <cell r="AN964">
            <v>24</v>
          </cell>
          <cell r="AO964">
            <v>28</v>
          </cell>
          <cell r="AP964">
            <v>0</v>
          </cell>
          <cell r="AQ964">
            <v>0</v>
          </cell>
          <cell r="AR964">
            <v>24</v>
          </cell>
          <cell r="BF964">
            <v>19.5</v>
          </cell>
          <cell r="BG964">
            <v>19.5</v>
          </cell>
          <cell r="BH964">
            <v>19.5</v>
          </cell>
          <cell r="BI964">
            <v>28</v>
          </cell>
          <cell r="BJ964">
            <v>0</v>
          </cell>
        </row>
        <row r="965">
          <cell r="D965" t="str">
            <v>Univerzita Pavla Jozefa Šafárika v Košiciach</v>
          </cell>
          <cell r="E965" t="str">
            <v>Filozofická fakulta</v>
          </cell>
          <cell r="AN965">
            <v>18</v>
          </cell>
          <cell r="AO965">
            <v>20</v>
          </cell>
          <cell r="AP965">
            <v>0</v>
          </cell>
          <cell r="AQ965">
            <v>0</v>
          </cell>
          <cell r="AR965">
            <v>18</v>
          </cell>
          <cell r="BF965">
            <v>15.899999999999999</v>
          </cell>
          <cell r="BG965">
            <v>23.849999999999998</v>
          </cell>
          <cell r="BH965">
            <v>23.849999999999998</v>
          </cell>
          <cell r="BI965">
            <v>20</v>
          </cell>
          <cell r="BJ965">
            <v>0</v>
          </cell>
        </row>
        <row r="966">
          <cell r="D966" t="str">
            <v>Univerzita Pavla Jozefa Šafárika v Košiciach</v>
          </cell>
          <cell r="E966" t="str">
            <v>Filozofická fakulta</v>
          </cell>
          <cell r="AN966">
            <v>10</v>
          </cell>
          <cell r="AO966">
            <v>10</v>
          </cell>
          <cell r="AP966">
            <v>10</v>
          </cell>
          <cell r="AQ966">
            <v>0</v>
          </cell>
          <cell r="AR966">
            <v>10</v>
          </cell>
          <cell r="BF966">
            <v>8.1999999999999993</v>
          </cell>
          <cell r="BG966">
            <v>10.331999999999999</v>
          </cell>
          <cell r="BH966">
            <v>10.331999999999999</v>
          </cell>
          <cell r="BI966">
            <v>10</v>
          </cell>
          <cell r="BJ966">
            <v>0</v>
          </cell>
        </row>
        <row r="967">
          <cell r="D967" t="str">
            <v>Univerzita Pavla Jozefa Šafárika v Košiciach</v>
          </cell>
          <cell r="E967" t="str">
            <v>Filozofická fakulta</v>
          </cell>
          <cell r="AN967">
            <v>6</v>
          </cell>
          <cell r="AO967">
            <v>9</v>
          </cell>
          <cell r="AP967">
            <v>0</v>
          </cell>
          <cell r="AQ967">
            <v>0</v>
          </cell>
          <cell r="AR967">
            <v>6</v>
          </cell>
          <cell r="BF967">
            <v>4.8</v>
          </cell>
          <cell r="BG967">
            <v>4.8</v>
          </cell>
          <cell r="BH967">
            <v>4.8</v>
          </cell>
          <cell r="BI967">
            <v>9</v>
          </cell>
          <cell r="BJ967">
            <v>0</v>
          </cell>
        </row>
        <row r="968">
          <cell r="D968" t="str">
            <v>Univerzita Pavla Jozefa Šafárika v Košiciach</v>
          </cell>
          <cell r="E968" t="str">
            <v>Filozofická fakulta</v>
          </cell>
          <cell r="AN968">
            <v>14</v>
          </cell>
          <cell r="AO968">
            <v>15</v>
          </cell>
          <cell r="AP968">
            <v>0</v>
          </cell>
          <cell r="AQ968">
            <v>0</v>
          </cell>
          <cell r="AR968">
            <v>14</v>
          </cell>
          <cell r="BF968">
            <v>10.7</v>
          </cell>
          <cell r="BG968">
            <v>10.914</v>
          </cell>
          <cell r="BH968">
            <v>10.914</v>
          </cell>
          <cell r="BI968">
            <v>15</v>
          </cell>
          <cell r="BJ968">
            <v>0</v>
          </cell>
        </row>
        <row r="969">
          <cell r="D969" t="str">
            <v>Katolícka univerzita v Ružomberku</v>
          </cell>
          <cell r="E969" t="str">
            <v>Fakulta zdravotníctva</v>
          </cell>
          <cell r="AN969">
            <v>3</v>
          </cell>
          <cell r="AO969">
            <v>0</v>
          </cell>
          <cell r="AP969">
            <v>0</v>
          </cell>
          <cell r="AQ969">
            <v>0</v>
          </cell>
          <cell r="AR969">
            <v>3</v>
          </cell>
          <cell r="BF969">
            <v>12</v>
          </cell>
          <cell r="BG969">
            <v>25.56</v>
          </cell>
          <cell r="BH969">
            <v>25.56</v>
          </cell>
          <cell r="BI969">
            <v>4</v>
          </cell>
          <cell r="BJ969">
            <v>3</v>
          </cell>
        </row>
        <row r="970">
          <cell r="D970" t="str">
            <v>Katolícka univerzita v Ružomberku</v>
          </cell>
          <cell r="E970" t="str">
            <v>Fakulta zdravotníctva</v>
          </cell>
          <cell r="AN970">
            <v>32</v>
          </cell>
          <cell r="AO970">
            <v>42</v>
          </cell>
          <cell r="AP970">
            <v>0</v>
          </cell>
          <cell r="AQ970">
            <v>0</v>
          </cell>
          <cell r="AR970">
            <v>32</v>
          </cell>
          <cell r="BF970">
            <v>29.6</v>
          </cell>
          <cell r="BG970">
            <v>63.64</v>
          </cell>
          <cell r="BH970">
            <v>63.64</v>
          </cell>
          <cell r="BI970">
            <v>42</v>
          </cell>
          <cell r="BJ970">
            <v>0</v>
          </cell>
        </row>
        <row r="971">
          <cell r="D971" t="str">
            <v>Katolícka univerzita v Ružomberku</v>
          </cell>
          <cell r="E971" t="str">
            <v>Fakulta zdravotníctva</v>
          </cell>
          <cell r="AN971">
            <v>88</v>
          </cell>
          <cell r="AO971">
            <v>95</v>
          </cell>
          <cell r="AP971">
            <v>0</v>
          </cell>
          <cell r="AQ971">
            <v>0</v>
          </cell>
          <cell r="AR971">
            <v>88</v>
          </cell>
          <cell r="BF971">
            <v>76.900000000000006</v>
          </cell>
          <cell r="BG971">
            <v>113.81200000000001</v>
          </cell>
          <cell r="BH971">
            <v>113.81200000000001</v>
          </cell>
          <cell r="BI971">
            <v>95</v>
          </cell>
          <cell r="BJ971">
            <v>0</v>
          </cell>
        </row>
        <row r="972">
          <cell r="D972" t="str">
            <v>Univerzita Konštantína Filozofa v Nitre</v>
          </cell>
          <cell r="E972" t="str">
            <v>Filozofická fakulta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39</v>
          </cell>
          <cell r="BJ972">
            <v>0</v>
          </cell>
        </row>
        <row r="973">
          <cell r="D973" t="str">
            <v>Univerzita Konštantína Filozofa v Nitre</v>
          </cell>
          <cell r="E973" t="str">
            <v>Filozofická fakulta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59</v>
          </cell>
          <cell r="BJ973">
            <v>0</v>
          </cell>
        </row>
        <row r="974">
          <cell r="D974" t="str">
            <v>Univerzita Konštantína Filozofa v Nitre</v>
          </cell>
          <cell r="E974" t="str">
            <v>Filozofická fakulta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3</v>
          </cell>
          <cell r="BJ974">
            <v>0</v>
          </cell>
        </row>
        <row r="975">
          <cell r="D975" t="str">
            <v>Univerzita Konštantína Filozofa v Nitre</v>
          </cell>
          <cell r="E975" t="str">
            <v>Filozofická fakulta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31</v>
          </cell>
          <cell r="BJ975">
            <v>0</v>
          </cell>
        </row>
        <row r="976">
          <cell r="D976" t="str">
            <v>Univerzita Konštantína Filozofa v Nitre</v>
          </cell>
          <cell r="E976" t="str">
            <v>Filozofická fakulta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48</v>
          </cell>
          <cell r="BJ976">
            <v>0</v>
          </cell>
        </row>
        <row r="977">
          <cell r="D977" t="str">
            <v>Univerzita Konštantína Filozofa v Nitre</v>
          </cell>
          <cell r="E977" t="str">
            <v>Filozofická fakulta</v>
          </cell>
          <cell r="AN977">
            <v>6</v>
          </cell>
          <cell r="AO977">
            <v>0</v>
          </cell>
          <cell r="AP977">
            <v>0</v>
          </cell>
          <cell r="AQ977">
            <v>0</v>
          </cell>
          <cell r="AR977">
            <v>6</v>
          </cell>
          <cell r="BF977">
            <v>24</v>
          </cell>
          <cell r="BG977">
            <v>26.400000000000002</v>
          </cell>
          <cell r="BH977">
            <v>26.400000000000002</v>
          </cell>
          <cell r="BI977">
            <v>7</v>
          </cell>
          <cell r="BJ977">
            <v>6</v>
          </cell>
        </row>
        <row r="978">
          <cell r="D978" t="str">
            <v>Univerzita Konštantína Filozofa v Nitre</v>
          </cell>
          <cell r="E978" t="str">
            <v>Filozofická fakulta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28</v>
          </cell>
          <cell r="BJ978">
            <v>0</v>
          </cell>
        </row>
        <row r="979">
          <cell r="D979" t="str">
            <v>Univerzita Konštantína Filozofa v Nitre</v>
          </cell>
          <cell r="E979" t="str">
            <v>Filozofická fakulta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2</v>
          </cell>
          <cell r="BJ979">
            <v>0</v>
          </cell>
        </row>
        <row r="980">
          <cell r="D980" t="str">
            <v>Univerzita Konštantína Filozofa v Nitre</v>
          </cell>
          <cell r="E980" t="str">
            <v>Filozofická fakulta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0.5</v>
          </cell>
          <cell r="BJ980">
            <v>0</v>
          </cell>
        </row>
        <row r="981">
          <cell r="D981" t="str">
            <v>Univerzita Konštantína Filozofa v Nitre</v>
          </cell>
          <cell r="E981" t="str">
            <v>Filozofická fakulta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3</v>
          </cell>
          <cell r="BJ981">
            <v>0</v>
          </cell>
        </row>
        <row r="982">
          <cell r="D982" t="str">
            <v>Univerzita Konštantína Filozofa v Nitre</v>
          </cell>
          <cell r="E982" t="str">
            <v>Filozofická fakulta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16</v>
          </cell>
          <cell r="BJ982">
            <v>0</v>
          </cell>
        </row>
        <row r="983">
          <cell r="D983" t="str">
            <v>Univerzita Konštantína Filozofa v Nitre</v>
          </cell>
          <cell r="E983" t="str">
            <v>Filozofická fakulta</v>
          </cell>
          <cell r="AN983">
            <v>4</v>
          </cell>
          <cell r="AO983">
            <v>0</v>
          </cell>
          <cell r="AP983">
            <v>0</v>
          </cell>
          <cell r="AQ983">
            <v>0</v>
          </cell>
          <cell r="AR983">
            <v>4</v>
          </cell>
          <cell r="BF983">
            <v>16</v>
          </cell>
          <cell r="BG983">
            <v>17.600000000000001</v>
          </cell>
          <cell r="BH983">
            <v>17.600000000000001</v>
          </cell>
          <cell r="BI983">
            <v>5</v>
          </cell>
          <cell r="BJ983">
            <v>4</v>
          </cell>
        </row>
        <row r="984">
          <cell r="D984" t="str">
            <v>Univerzita Konštantína Filozofa v Nitre</v>
          </cell>
          <cell r="E984" t="str">
            <v>Filozofická fakulta</v>
          </cell>
          <cell r="AN984">
            <v>7</v>
          </cell>
          <cell r="AO984">
            <v>0</v>
          </cell>
          <cell r="AP984">
            <v>0</v>
          </cell>
          <cell r="AQ984">
            <v>0</v>
          </cell>
          <cell r="AR984">
            <v>7</v>
          </cell>
          <cell r="BF984">
            <v>28</v>
          </cell>
          <cell r="BG984">
            <v>30.800000000000004</v>
          </cell>
          <cell r="BH984">
            <v>30.800000000000004</v>
          </cell>
          <cell r="BI984">
            <v>8</v>
          </cell>
          <cell r="BJ984">
            <v>7</v>
          </cell>
        </row>
        <row r="985">
          <cell r="D985" t="str">
            <v>Univerzita Konštantína Filozofa v Nitre</v>
          </cell>
          <cell r="E985" t="str">
            <v>Filozofická fakulta</v>
          </cell>
          <cell r="AN985">
            <v>6</v>
          </cell>
          <cell r="AO985">
            <v>7</v>
          </cell>
          <cell r="AP985">
            <v>0</v>
          </cell>
          <cell r="AQ985">
            <v>0</v>
          </cell>
          <cell r="AR985">
            <v>6</v>
          </cell>
          <cell r="BF985">
            <v>9</v>
          </cell>
          <cell r="BG985">
            <v>9</v>
          </cell>
          <cell r="BH985">
            <v>6.4285714285714288</v>
          </cell>
          <cell r="BI985">
            <v>7</v>
          </cell>
          <cell r="BJ985">
            <v>0</v>
          </cell>
        </row>
        <row r="986">
          <cell r="D986" t="str">
            <v>Univerzita Konštantína Filozofa v Nitre</v>
          </cell>
          <cell r="E986" t="str">
            <v>Filozofická fakulta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7</v>
          </cell>
          <cell r="BJ986">
            <v>0</v>
          </cell>
        </row>
        <row r="987">
          <cell r="D987" t="str">
            <v>Univerzita Konštantína Filozofa v Nitre</v>
          </cell>
          <cell r="E987" t="str">
            <v>Filozofická fakulta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82</v>
          </cell>
          <cell r="BJ987">
            <v>0</v>
          </cell>
        </row>
        <row r="988">
          <cell r="D988" t="str">
            <v>Univerzita Konštantína Filozofa v Nitre</v>
          </cell>
          <cell r="E988" t="str">
            <v>Filozofická fakulta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6</v>
          </cell>
          <cell r="BJ988">
            <v>0</v>
          </cell>
        </row>
        <row r="989">
          <cell r="D989" t="str">
            <v>Univerzita Konštantína Filozofa v Nitre</v>
          </cell>
          <cell r="E989" t="str">
            <v>Filozofická fakulta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3.5</v>
          </cell>
          <cell r="BJ989">
            <v>0</v>
          </cell>
        </row>
        <row r="990">
          <cell r="D990" t="str">
            <v>Univerzita Konštantína Filozofa v Nitre</v>
          </cell>
          <cell r="E990" t="str">
            <v>Filozofická fakulta</v>
          </cell>
          <cell r="AN990">
            <v>62</v>
          </cell>
          <cell r="AO990">
            <v>68</v>
          </cell>
          <cell r="AP990">
            <v>0</v>
          </cell>
          <cell r="AQ990">
            <v>0</v>
          </cell>
          <cell r="AR990">
            <v>62</v>
          </cell>
          <cell r="BF990">
            <v>53.3</v>
          </cell>
          <cell r="BG990">
            <v>55.432000000000002</v>
          </cell>
          <cell r="BH990">
            <v>55.432000000000002</v>
          </cell>
          <cell r="BI990">
            <v>68</v>
          </cell>
          <cell r="BJ990">
            <v>0</v>
          </cell>
        </row>
        <row r="991">
          <cell r="D991" t="str">
            <v>Univerzita Konštantína Filozofa v Nitre</v>
          </cell>
          <cell r="E991" t="str">
            <v>Filozofická fakulta</v>
          </cell>
          <cell r="AN991">
            <v>8</v>
          </cell>
          <cell r="AO991">
            <v>15</v>
          </cell>
          <cell r="AP991">
            <v>0</v>
          </cell>
          <cell r="AQ991">
            <v>0</v>
          </cell>
          <cell r="AR991">
            <v>8</v>
          </cell>
          <cell r="BF991">
            <v>7.1</v>
          </cell>
          <cell r="BG991">
            <v>7.1</v>
          </cell>
          <cell r="BH991">
            <v>7.1</v>
          </cell>
          <cell r="BI991">
            <v>15</v>
          </cell>
          <cell r="BJ991">
            <v>0</v>
          </cell>
        </row>
        <row r="992">
          <cell r="D992" t="str">
            <v>Univerzita Konštantína Filozofa v Nitre</v>
          </cell>
          <cell r="E992" t="str">
            <v>Filozofická fakulta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38</v>
          </cell>
          <cell r="BJ992">
            <v>0</v>
          </cell>
        </row>
        <row r="993">
          <cell r="D993" t="str">
            <v>Univerzita Konštantína Filozofa v Nitre</v>
          </cell>
          <cell r="E993" t="str">
            <v>Filozofická fakulta</v>
          </cell>
          <cell r="AN993">
            <v>2</v>
          </cell>
          <cell r="AO993">
            <v>4</v>
          </cell>
          <cell r="AP993">
            <v>0</v>
          </cell>
          <cell r="AQ993">
            <v>0</v>
          </cell>
          <cell r="AR993">
            <v>2</v>
          </cell>
          <cell r="BF993">
            <v>2</v>
          </cell>
          <cell r="BG993">
            <v>2</v>
          </cell>
          <cell r="BH993">
            <v>2</v>
          </cell>
          <cell r="BI993">
            <v>4</v>
          </cell>
          <cell r="BJ993">
            <v>0</v>
          </cell>
        </row>
        <row r="994">
          <cell r="D994" t="str">
            <v>Univerzita Konštantína Filozofa v Nitre</v>
          </cell>
          <cell r="E994" t="str">
            <v>Filozofická fakulta</v>
          </cell>
          <cell r="AN994">
            <v>34.5</v>
          </cell>
          <cell r="AO994">
            <v>46</v>
          </cell>
          <cell r="AP994">
            <v>0</v>
          </cell>
          <cell r="AQ994">
            <v>0</v>
          </cell>
          <cell r="AR994">
            <v>34.5</v>
          </cell>
          <cell r="BF994">
            <v>29.4</v>
          </cell>
          <cell r="BG994">
            <v>32.045999999999999</v>
          </cell>
          <cell r="BH994">
            <v>32.045999999999999</v>
          </cell>
          <cell r="BI994">
            <v>46</v>
          </cell>
          <cell r="BJ994">
            <v>0</v>
          </cell>
        </row>
        <row r="995">
          <cell r="D995" t="str">
            <v>Univerzita Konštantína Filozofa v Nitre</v>
          </cell>
          <cell r="E995" t="str">
            <v>Filozofická fakulta</v>
          </cell>
          <cell r="AN995">
            <v>33</v>
          </cell>
          <cell r="AO995">
            <v>34</v>
          </cell>
          <cell r="AP995">
            <v>0</v>
          </cell>
          <cell r="AQ995">
            <v>0</v>
          </cell>
          <cell r="AR995">
            <v>33</v>
          </cell>
          <cell r="BF995">
            <v>27.9</v>
          </cell>
          <cell r="BG995">
            <v>29.015999999999998</v>
          </cell>
          <cell r="BH995">
            <v>29.015999999999998</v>
          </cell>
          <cell r="BI995">
            <v>34</v>
          </cell>
          <cell r="BJ995">
            <v>0</v>
          </cell>
        </row>
        <row r="996">
          <cell r="D996" t="str">
            <v>Univerzita Konštantína Filozofa v Nitre</v>
          </cell>
          <cell r="E996" t="str">
            <v>Filozofická fakulta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14</v>
          </cell>
          <cell r="BJ996">
            <v>0</v>
          </cell>
        </row>
        <row r="997">
          <cell r="D997" t="str">
            <v>Univerzita Konštantína Filozofa v Nitre</v>
          </cell>
          <cell r="E997" t="str">
            <v>Filozofická fakulta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2</v>
          </cell>
          <cell r="BJ997">
            <v>0</v>
          </cell>
        </row>
        <row r="998">
          <cell r="D998" t="str">
            <v>Univerzita Konštantína Filozofa v Nitre</v>
          </cell>
          <cell r="E998" t="str">
            <v>Filozofická fakulta</v>
          </cell>
          <cell r="AN998">
            <v>30.5</v>
          </cell>
          <cell r="AO998">
            <v>32</v>
          </cell>
          <cell r="AP998">
            <v>0</v>
          </cell>
          <cell r="AQ998">
            <v>0</v>
          </cell>
          <cell r="AR998">
            <v>30.5</v>
          </cell>
          <cell r="BF998">
            <v>26.299999999999997</v>
          </cell>
          <cell r="BG998">
            <v>28.666999999999998</v>
          </cell>
          <cell r="BH998">
            <v>28.666999999999998</v>
          </cell>
          <cell r="BI998">
            <v>32</v>
          </cell>
          <cell r="BJ998">
            <v>0</v>
          </cell>
        </row>
        <row r="999">
          <cell r="D999" t="str">
            <v>Univerzita Konštantína Filozofa v Nitre</v>
          </cell>
          <cell r="E999" t="str">
            <v>Filozofická fakulta</v>
          </cell>
          <cell r="AN999">
            <v>22</v>
          </cell>
          <cell r="AO999">
            <v>27</v>
          </cell>
          <cell r="AP999">
            <v>0</v>
          </cell>
          <cell r="AQ999">
            <v>0</v>
          </cell>
          <cell r="AR999">
            <v>22</v>
          </cell>
          <cell r="BF999">
            <v>19.3</v>
          </cell>
          <cell r="BG999">
            <v>19.3</v>
          </cell>
          <cell r="BH999">
            <v>19.3</v>
          </cell>
          <cell r="BI999">
            <v>27</v>
          </cell>
          <cell r="BJ999">
            <v>0</v>
          </cell>
        </row>
        <row r="1000">
          <cell r="D1000" t="str">
            <v>Univerzita Konštantína Filozofa v Nitre</v>
          </cell>
          <cell r="E1000" t="str">
            <v>Filozofická fakulta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BF1000">
            <v>0</v>
          </cell>
          <cell r="BG1000">
            <v>0</v>
          </cell>
          <cell r="BH1000">
            <v>0</v>
          </cell>
          <cell r="BI1000">
            <v>2</v>
          </cell>
          <cell r="BJ1000">
            <v>0</v>
          </cell>
        </row>
        <row r="1001">
          <cell r="D1001" t="str">
            <v>Univerzita Konštantína Filozofa v Nitre</v>
          </cell>
          <cell r="E1001" t="str">
            <v>Filozofická fakulta</v>
          </cell>
          <cell r="AN1001">
            <v>9.5</v>
          </cell>
          <cell r="AO1001">
            <v>13.5</v>
          </cell>
          <cell r="AP1001">
            <v>0</v>
          </cell>
          <cell r="AQ1001">
            <v>0</v>
          </cell>
          <cell r="AR1001">
            <v>9.5</v>
          </cell>
          <cell r="BF1001">
            <v>7.85</v>
          </cell>
          <cell r="BG1001">
            <v>11.774999999999999</v>
          </cell>
          <cell r="BH1001">
            <v>11.774999999999999</v>
          </cell>
          <cell r="BI1001">
            <v>13.5</v>
          </cell>
          <cell r="BJ1001">
            <v>0</v>
          </cell>
        </row>
        <row r="1002">
          <cell r="D1002" t="str">
            <v>Univerzita Konštantína Filozofa v Nitre</v>
          </cell>
          <cell r="E1002" t="str">
            <v>Filozofická fakulta</v>
          </cell>
          <cell r="AN1002">
            <v>156</v>
          </cell>
          <cell r="AO1002">
            <v>161</v>
          </cell>
          <cell r="AP1002">
            <v>0</v>
          </cell>
          <cell r="AQ1002">
            <v>0</v>
          </cell>
          <cell r="AR1002">
            <v>156</v>
          </cell>
          <cell r="BF1002">
            <v>142.5</v>
          </cell>
          <cell r="BG1002">
            <v>169.57499999999999</v>
          </cell>
          <cell r="BH1002">
            <v>165.33562499999999</v>
          </cell>
          <cell r="BI1002">
            <v>161</v>
          </cell>
          <cell r="BJ1002">
            <v>0</v>
          </cell>
        </row>
        <row r="1003">
          <cell r="D1003" t="str">
            <v>Univerzita Konštantína Filozofa v Nitre</v>
          </cell>
          <cell r="E1003" t="str">
            <v>Filozofická fakulta</v>
          </cell>
          <cell r="AN1003">
            <v>162</v>
          </cell>
          <cell r="AO1003">
            <v>170</v>
          </cell>
          <cell r="AP1003">
            <v>0</v>
          </cell>
          <cell r="AQ1003">
            <v>0</v>
          </cell>
          <cell r="AR1003">
            <v>162</v>
          </cell>
          <cell r="BF1003">
            <v>137.4</v>
          </cell>
          <cell r="BG1003">
            <v>137.4</v>
          </cell>
          <cell r="BH1003">
            <v>137.4</v>
          </cell>
          <cell r="BI1003">
            <v>170</v>
          </cell>
          <cell r="BJ1003">
            <v>0</v>
          </cell>
        </row>
        <row r="1004">
          <cell r="D1004" t="str">
            <v>Univerzita Konštantína Filozofa v Nitre</v>
          </cell>
          <cell r="E1004" t="str">
            <v>Filozofická fakulta</v>
          </cell>
          <cell r="AN1004">
            <v>11.5</v>
          </cell>
          <cell r="AO1004">
            <v>13.5</v>
          </cell>
          <cell r="AP1004">
            <v>0</v>
          </cell>
          <cell r="AQ1004">
            <v>0</v>
          </cell>
          <cell r="AR1004">
            <v>11.5</v>
          </cell>
          <cell r="BF1004">
            <v>9.85</v>
          </cell>
          <cell r="BG1004">
            <v>10.736500000000001</v>
          </cell>
          <cell r="BH1004">
            <v>10.736500000000001</v>
          </cell>
          <cell r="BI1004">
            <v>13.5</v>
          </cell>
          <cell r="BJ1004">
            <v>0</v>
          </cell>
        </row>
        <row r="1005">
          <cell r="D1005" t="str">
            <v>Univerzita Konštantína Filozofa v Nitre</v>
          </cell>
          <cell r="E1005" t="str">
            <v>Filozofická fakulta</v>
          </cell>
          <cell r="AN1005">
            <v>69</v>
          </cell>
          <cell r="AO1005">
            <v>76</v>
          </cell>
          <cell r="AP1005">
            <v>0</v>
          </cell>
          <cell r="AQ1005">
            <v>0</v>
          </cell>
          <cell r="AR1005">
            <v>69</v>
          </cell>
          <cell r="BF1005">
            <v>60.599999999999994</v>
          </cell>
          <cell r="BG1005">
            <v>72.11399999999999</v>
          </cell>
          <cell r="BH1005">
            <v>72.11399999999999</v>
          </cell>
          <cell r="BI1005">
            <v>76</v>
          </cell>
          <cell r="BJ1005">
            <v>0</v>
          </cell>
        </row>
        <row r="1006">
          <cell r="D1006" t="str">
            <v>Univerzita Konštantína Filozofa v Nitre</v>
          </cell>
          <cell r="E1006" t="str">
            <v>Filozofická fakulta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28</v>
          </cell>
          <cell r="BJ1006">
            <v>0</v>
          </cell>
        </row>
        <row r="1007">
          <cell r="D1007" t="str">
            <v>Univerzita Konštantína Filozofa v Nitre</v>
          </cell>
          <cell r="E1007" t="str">
            <v>Filozofická fakulta</v>
          </cell>
          <cell r="AN1007">
            <v>6</v>
          </cell>
          <cell r="AO1007">
            <v>9</v>
          </cell>
          <cell r="AP1007">
            <v>0</v>
          </cell>
          <cell r="AQ1007">
            <v>0</v>
          </cell>
          <cell r="AR1007">
            <v>6</v>
          </cell>
          <cell r="BF1007">
            <v>5.0999999999999996</v>
          </cell>
          <cell r="BG1007">
            <v>5.3039999999999994</v>
          </cell>
          <cell r="BH1007">
            <v>5.3039999999999994</v>
          </cell>
          <cell r="BI1007">
            <v>9</v>
          </cell>
          <cell r="BJ1007">
            <v>0</v>
          </cell>
        </row>
        <row r="1008">
          <cell r="D1008" t="str">
            <v>Univerzita Konštantína Filozofa v Nitre</v>
          </cell>
          <cell r="E1008" t="str">
            <v>Filozofická fakulta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BF1008">
            <v>0</v>
          </cell>
          <cell r="BG1008">
            <v>0</v>
          </cell>
          <cell r="BH1008">
            <v>0</v>
          </cell>
          <cell r="BI1008">
            <v>0.5</v>
          </cell>
          <cell r="BJ1008">
            <v>0</v>
          </cell>
        </row>
        <row r="1009">
          <cell r="D1009" t="str">
            <v>Univerzita Konštantína Filozofa v Nitre</v>
          </cell>
          <cell r="E1009" t="str">
            <v>Filozofická fakulta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BF1009">
            <v>0</v>
          </cell>
          <cell r="BG1009">
            <v>0</v>
          </cell>
          <cell r="BH1009">
            <v>0</v>
          </cell>
          <cell r="BI1009">
            <v>1</v>
          </cell>
          <cell r="BJ1009">
            <v>0</v>
          </cell>
        </row>
        <row r="1010">
          <cell r="D1010" t="str">
            <v>Univerzita Konštantína Filozofa v Nitre</v>
          </cell>
          <cell r="E1010" t="str">
            <v>Pedagogická fakulta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200</v>
          </cell>
          <cell r="BJ1010">
            <v>0</v>
          </cell>
        </row>
        <row r="1011">
          <cell r="D1011" t="str">
            <v>Univerzita Konštantína Filozofa v Nitre</v>
          </cell>
          <cell r="E1011" t="str">
            <v>Pedagogická fakulta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65</v>
          </cell>
          <cell r="BJ1011">
            <v>0</v>
          </cell>
        </row>
        <row r="1012">
          <cell r="D1012" t="str">
            <v>Univerzita Konštantína Filozofa v Nitre</v>
          </cell>
          <cell r="E1012" t="str">
            <v>Pedagogická fakulta</v>
          </cell>
          <cell r="AN1012">
            <v>1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BF1012">
            <v>0</v>
          </cell>
          <cell r="BG1012">
            <v>0</v>
          </cell>
          <cell r="BH1012">
            <v>0</v>
          </cell>
          <cell r="BI1012">
            <v>38</v>
          </cell>
          <cell r="BJ1012">
            <v>0</v>
          </cell>
        </row>
        <row r="1013">
          <cell r="D1013" t="str">
            <v>Univerzita Konštantína Filozofa v Nitre</v>
          </cell>
          <cell r="E1013" t="str">
            <v>Pedagogická fakulta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72</v>
          </cell>
          <cell r="BJ1013">
            <v>0</v>
          </cell>
        </row>
        <row r="1014">
          <cell r="D1014" t="str">
            <v>Univerzita Konštantína Filozofa v Nitre</v>
          </cell>
          <cell r="E1014" t="str">
            <v>Pedagogická fakulta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11</v>
          </cell>
          <cell r="BJ1014">
            <v>0</v>
          </cell>
        </row>
        <row r="1015">
          <cell r="D1015" t="str">
            <v>Univerzita Konštantína Filozofa v Nitre</v>
          </cell>
          <cell r="E1015" t="str">
            <v>Pedagogická fakulta</v>
          </cell>
          <cell r="AN1015">
            <v>2</v>
          </cell>
          <cell r="AO1015">
            <v>4</v>
          </cell>
          <cell r="AP1015">
            <v>0</v>
          </cell>
          <cell r="AQ1015">
            <v>0</v>
          </cell>
          <cell r="AR1015">
            <v>2</v>
          </cell>
          <cell r="BF1015">
            <v>3</v>
          </cell>
          <cell r="BG1015">
            <v>3</v>
          </cell>
          <cell r="BH1015">
            <v>2.5333333333333332</v>
          </cell>
          <cell r="BI1015">
            <v>4</v>
          </cell>
          <cell r="BJ1015">
            <v>0</v>
          </cell>
        </row>
        <row r="1016">
          <cell r="D1016" t="str">
            <v>Univerzita Konštantína Filozofa v Nitre</v>
          </cell>
          <cell r="E1016" t="str">
            <v>Pedagogická fakulta</v>
          </cell>
          <cell r="AN1016">
            <v>9.5</v>
          </cell>
          <cell r="AO1016">
            <v>15.5</v>
          </cell>
          <cell r="AP1016">
            <v>0</v>
          </cell>
          <cell r="AQ1016">
            <v>0</v>
          </cell>
          <cell r="AR1016">
            <v>9.5</v>
          </cell>
          <cell r="BF1016">
            <v>14.25</v>
          </cell>
          <cell r="BG1016">
            <v>30.637499999999999</v>
          </cell>
          <cell r="BH1016">
            <v>26.260714285714286</v>
          </cell>
          <cell r="BI1016">
            <v>15.5</v>
          </cell>
          <cell r="BJ1016">
            <v>0</v>
          </cell>
        </row>
        <row r="1017">
          <cell r="D1017" t="str">
            <v>Univerzita Konštantína Filozofa v Nitre</v>
          </cell>
          <cell r="E1017" t="str">
            <v>Filozofická fakulta</v>
          </cell>
          <cell r="AN1017">
            <v>5</v>
          </cell>
          <cell r="AO1017">
            <v>7.5</v>
          </cell>
          <cell r="AP1017">
            <v>0</v>
          </cell>
          <cell r="AQ1017">
            <v>0</v>
          </cell>
          <cell r="AR1017">
            <v>5</v>
          </cell>
          <cell r="BF1017">
            <v>7.5</v>
          </cell>
          <cell r="BG1017">
            <v>8.1750000000000007</v>
          </cell>
          <cell r="BH1017">
            <v>8.1750000000000007</v>
          </cell>
          <cell r="BI1017">
            <v>7.5</v>
          </cell>
          <cell r="BJ1017">
            <v>0</v>
          </cell>
        </row>
        <row r="1018">
          <cell r="D1018" t="str">
            <v>Univerzita Konštantína Filozofa v Nitre</v>
          </cell>
          <cell r="E1018" t="str">
            <v>Pedagogická fakulta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16</v>
          </cell>
          <cell r="BJ1018">
            <v>0</v>
          </cell>
        </row>
        <row r="1019">
          <cell r="D1019" t="str">
            <v>Univerzita Konštantína Filozofa v Nitre</v>
          </cell>
          <cell r="E1019" t="str">
            <v>Pedagogická fakulta</v>
          </cell>
          <cell r="AN1019">
            <v>7</v>
          </cell>
          <cell r="AO1019">
            <v>11</v>
          </cell>
          <cell r="AP1019">
            <v>0</v>
          </cell>
          <cell r="AQ1019">
            <v>0</v>
          </cell>
          <cell r="AR1019">
            <v>7</v>
          </cell>
          <cell r="BF1019">
            <v>10.5</v>
          </cell>
          <cell r="BG1019">
            <v>22.574999999999999</v>
          </cell>
          <cell r="BH1019">
            <v>22.574999999999999</v>
          </cell>
          <cell r="BI1019">
            <v>11</v>
          </cell>
          <cell r="BJ1019">
            <v>0</v>
          </cell>
        </row>
        <row r="1020">
          <cell r="D1020" t="str">
            <v>Univerzita Konštantína Filozofa v Nitre</v>
          </cell>
          <cell r="E1020" t="str">
            <v>Pedagogická fakulta</v>
          </cell>
          <cell r="AN1020">
            <v>4</v>
          </cell>
          <cell r="AO1020">
            <v>5</v>
          </cell>
          <cell r="AP1020">
            <v>0</v>
          </cell>
          <cell r="AQ1020">
            <v>0</v>
          </cell>
          <cell r="AR1020">
            <v>4</v>
          </cell>
          <cell r="BF1020">
            <v>6</v>
          </cell>
          <cell r="BG1020">
            <v>12.899999999999999</v>
          </cell>
          <cell r="BH1020">
            <v>12.899999999999999</v>
          </cell>
          <cell r="BI1020">
            <v>5</v>
          </cell>
          <cell r="BJ1020">
            <v>0</v>
          </cell>
        </row>
        <row r="1021">
          <cell r="D1021" t="str">
            <v>Univerzita Konštantína Filozofa v Nitre</v>
          </cell>
          <cell r="E1021" t="str">
            <v>Pedagogická fakulta</v>
          </cell>
          <cell r="AN1021">
            <v>32</v>
          </cell>
          <cell r="AO1021">
            <v>37</v>
          </cell>
          <cell r="AP1021">
            <v>0</v>
          </cell>
          <cell r="AQ1021">
            <v>0</v>
          </cell>
          <cell r="AR1021">
            <v>32</v>
          </cell>
          <cell r="BF1021">
            <v>28.4</v>
          </cell>
          <cell r="BG1021">
            <v>28.4</v>
          </cell>
          <cell r="BH1021">
            <v>28.4</v>
          </cell>
          <cell r="BI1021">
            <v>37</v>
          </cell>
          <cell r="BJ1021">
            <v>0</v>
          </cell>
        </row>
        <row r="1022">
          <cell r="D1022" t="str">
            <v>Univerzita Konštantína Filozofa v Nitre</v>
          </cell>
          <cell r="E1022" t="str">
            <v>Pedagogická fakulta</v>
          </cell>
          <cell r="AN1022">
            <v>35</v>
          </cell>
          <cell r="AO1022">
            <v>41</v>
          </cell>
          <cell r="AP1022">
            <v>0</v>
          </cell>
          <cell r="AQ1022">
            <v>0</v>
          </cell>
          <cell r="AR1022">
            <v>35</v>
          </cell>
          <cell r="BF1022">
            <v>29.9</v>
          </cell>
          <cell r="BG1022">
            <v>35.580999999999996</v>
          </cell>
          <cell r="BH1022">
            <v>33.357187499999995</v>
          </cell>
          <cell r="BI1022">
            <v>41</v>
          </cell>
          <cell r="BJ1022">
            <v>0</v>
          </cell>
        </row>
        <row r="1023">
          <cell r="D1023" t="str">
            <v>Univerzita Konštantína Filozofa v Nitre</v>
          </cell>
          <cell r="E1023" t="str">
            <v>Pedagogická fakulta</v>
          </cell>
          <cell r="AN1023">
            <v>57</v>
          </cell>
          <cell r="AO1023">
            <v>67</v>
          </cell>
          <cell r="AP1023">
            <v>0</v>
          </cell>
          <cell r="AQ1023">
            <v>0</v>
          </cell>
          <cell r="AR1023">
            <v>57</v>
          </cell>
          <cell r="BF1023">
            <v>48</v>
          </cell>
          <cell r="BG1023">
            <v>57.12</v>
          </cell>
          <cell r="BH1023">
            <v>57.12</v>
          </cell>
          <cell r="BI1023">
            <v>67</v>
          </cell>
          <cell r="BJ1023">
            <v>0</v>
          </cell>
        </row>
        <row r="1024">
          <cell r="D1024" t="str">
            <v>Univerzita Konštantína Filozofa v Nitre</v>
          </cell>
          <cell r="E1024" t="str">
            <v>Pedagogická fakulta</v>
          </cell>
          <cell r="AN1024">
            <v>24</v>
          </cell>
          <cell r="AO1024">
            <v>30</v>
          </cell>
          <cell r="AP1024">
            <v>0</v>
          </cell>
          <cell r="AQ1024">
            <v>0</v>
          </cell>
          <cell r="AR1024">
            <v>24</v>
          </cell>
          <cell r="BF1024">
            <v>21.9</v>
          </cell>
          <cell r="BG1024">
            <v>47.084999999999994</v>
          </cell>
          <cell r="BH1024">
            <v>47.084999999999994</v>
          </cell>
          <cell r="BI1024">
            <v>30</v>
          </cell>
          <cell r="BJ1024">
            <v>0</v>
          </cell>
        </row>
        <row r="1025">
          <cell r="D1025" t="str">
            <v>Univerzita Konštantína Filozofa v Nitre</v>
          </cell>
          <cell r="E1025" t="str">
            <v>Pedagogická fakulta</v>
          </cell>
          <cell r="AN1025">
            <v>8.5</v>
          </cell>
          <cell r="AO1025">
            <v>10.5</v>
          </cell>
          <cell r="AP1025">
            <v>0</v>
          </cell>
          <cell r="AQ1025">
            <v>0</v>
          </cell>
          <cell r="AR1025">
            <v>8.5</v>
          </cell>
          <cell r="BF1025">
            <v>7</v>
          </cell>
          <cell r="BG1025">
            <v>15.049999999999999</v>
          </cell>
          <cell r="BH1025">
            <v>10.033333333333333</v>
          </cell>
          <cell r="BI1025">
            <v>10.5</v>
          </cell>
          <cell r="BJ1025">
            <v>0</v>
          </cell>
        </row>
        <row r="1026">
          <cell r="D1026" t="str">
            <v>Univerzita Konštantína Filozofa v Nitre</v>
          </cell>
          <cell r="E1026" t="str">
            <v>Pedagogická fakulta</v>
          </cell>
          <cell r="AN1026">
            <v>20</v>
          </cell>
          <cell r="AO1026">
            <v>22</v>
          </cell>
          <cell r="AP1026">
            <v>0</v>
          </cell>
          <cell r="AQ1026">
            <v>0</v>
          </cell>
          <cell r="AR1026">
            <v>20</v>
          </cell>
          <cell r="BF1026">
            <v>17.899999999999999</v>
          </cell>
          <cell r="BG1026">
            <v>25.775999999999996</v>
          </cell>
          <cell r="BH1026">
            <v>25.775999999999996</v>
          </cell>
          <cell r="BI1026">
            <v>22</v>
          </cell>
          <cell r="BJ1026">
            <v>0</v>
          </cell>
        </row>
        <row r="1027">
          <cell r="D1027" t="str">
            <v>Univerzita Konštantína Filozofa v Nitre</v>
          </cell>
          <cell r="E1027" t="str">
            <v>Pedagogická fakulta</v>
          </cell>
          <cell r="AN1027">
            <v>37</v>
          </cell>
          <cell r="AO1027">
            <v>43</v>
          </cell>
          <cell r="AP1027">
            <v>0</v>
          </cell>
          <cell r="AQ1027">
            <v>0</v>
          </cell>
          <cell r="AR1027">
            <v>37</v>
          </cell>
          <cell r="BF1027">
            <v>32.200000000000003</v>
          </cell>
          <cell r="BG1027">
            <v>69.23</v>
          </cell>
          <cell r="BH1027">
            <v>69.23</v>
          </cell>
          <cell r="BI1027">
            <v>43</v>
          </cell>
          <cell r="BJ1027">
            <v>0</v>
          </cell>
        </row>
        <row r="1028">
          <cell r="D1028" t="str">
            <v>Univerzita Konštantína Filozofa v Nitre</v>
          </cell>
          <cell r="E1028" t="str">
            <v>Pedagogická fakulta</v>
          </cell>
          <cell r="AN1028">
            <v>25</v>
          </cell>
          <cell r="AO1028">
            <v>30</v>
          </cell>
          <cell r="AP1028">
            <v>0</v>
          </cell>
          <cell r="AQ1028">
            <v>0</v>
          </cell>
          <cell r="AR1028">
            <v>25</v>
          </cell>
          <cell r="BF1028">
            <v>20.65</v>
          </cell>
          <cell r="BG1028">
            <v>22.508500000000002</v>
          </cell>
          <cell r="BH1028">
            <v>20.777076923076926</v>
          </cell>
          <cell r="BI1028">
            <v>30</v>
          </cell>
          <cell r="BJ1028">
            <v>0</v>
          </cell>
        </row>
        <row r="1029">
          <cell r="D1029" t="str">
            <v>Univerzita Konštantína Filozofa v Nitre</v>
          </cell>
          <cell r="E1029" t="str">
            <v>Pedagogická fakulta</v>
          </cell>
          <cell r="AN1029">
            <v>6</v>
          </cell>
          <cell r="AO1029">
            <v>8</v>
          </cell>
          <cell r="AP1029">
            <v>0</v>
          </cell>
          <cell r="AQ1029">
            <v>0</v>
          </cell>
          <cell r="AR1029">
            <v>6</v>
          </cell>
          <cell r="BF1029">
            <v>5.25</v>
          </cell>
          <cell r="BG1029">
            <v>7.56</v>
          </cell>
          <cell r="BH1029">
            <v>7.56</v>
          </cell>
          <cell r="BI1029">
            <v>8</v>
          </cell>
          <cell r="BJ1029">
            <v>0</v>
          </cell>
        </row>
        <row r="1030">
          <cell r="D1030" t="str">
            <v>Univerzita Konštantína Filozofa v Nitre</v>
          </cell>
          <cell r="E1030" t="str">
            <v>Pedagogická fakulta</v>
          </cell>
          <cell r="AN1030">
            <v>50</v>
          </cell>
          <cell r="AO1030">
            <v>58</v>
          </cell>
          <cell r="AP1030">
            <v>0</v>
          </cell>
          <cell r="AQ1030">
            <v>0</v>
          </cell>
          <cell r="AR1030">
            <v>50</v>
          </cell>
          <cell r="BF1030">
            <v>41.9</v>
          </cell>
          <cell r="BG1030">
            <v>49.860999999999997</v>
          </cell>
          <cell r="BH1030">
            <v>49.860999999999997</v>
          </cell>
          <cell r="BI1030">
            <v>58</v>
          </cell>
          <cell r="BJ1030">
            <v>0</v>
          </cell>
        </row>
        <row r="1031">
          <cell r="D1031" t="str">
            <v>Univerzita Konštantína Filozofa v Nitre</v>
          </cell>
          <cell r="E1031" t="str">
            <v>Pedagogická fakulta</v>
          </cell>
          <cell r="AN1031">
            <v>12</v>
          </cell>
          <cell r="AO1031">
            <v>16.5</v>
          </cell>
          <cell r="AP1031">
            <v>0</v>
          </cell>
          <cell r="AQ1031">
            <v>0</v>
          </cell>
          <cell r="AR1031">
            <v>12</v>
          </cell>
          <cell r="BF1031">
            <v>10.199999999999999</v>
          </cell>
          <cell r="BG1031">
            <v>12.137999999999998</v>
          </cell>
          <cell r="BH1031">
            <v>12.137999999999998</v>
          </cell>
          <cell r="BI1031">
            <v>16.5</v>
          </cell>
          <cell r="BJ1031">
            <v>0</v>
          </cell>
        </row>
        <row r="1032">
          <cell r="D1032" t="str">
            <v>Univerzita Konštantína Filozofa v Nitre</v>
          </cell>
          <cell r="E1032" t="str">
            <v>Filozofická fakulta</v>
          </cell>
          <cell r="AN1032">
            <v>1.5</v>
          </cell>
          <cell r="AO1032">
            <v>2</v>
          </cell>
          <cell r="AP1032">
            <v>0</v>
          </cell>
          <cell r="AQ1032">
            <v>0</v>
          </cell>
          <cell r="AR1032">
            <v>1.5</v>
          </cell>
          <cell r="BF1032">
            <v>1.5</v>
          </cell>
          <cell r="BG1032">
            <v>1.6350000000000002</v>
          </cell>
          <cell r="BH1032">
            <v>1.6350000000000002</v>
          </cell>
          <cell r="BI1032">
            <v>2</v>
          </cell>
          <cell r="BJ1032">
            <v>0</v>
          </cell>
        </row>
        <row r="1033">
          <cell r="D1033" t="str">
            <v>Univerzita Konštantína Filozofa v Nitre</v>
          </cell>
          <cell r="E1033" t="str">
            <v>Pedagogická fakulta</v>
          </cell>
          <cell r="AN1033">
            <v>24</v>
          </cell>
          <cell r="AO1033">
            <v>26</v>
          </cell>
          <cell r="AP1033">
            <v>0</v>
          </cell>
          <cell r="AQ1033">
            <v>0</v>
          </cell>
          <cell r="AR1033">
            <v>24</v>
          </cell>
          <cell r="BF1033">
            <v>36</v>
          </cell>
          <cell r="BG1033">
            <v>42.839999999999996</v>
          </cell>
          <cell r="BH1033">
            <v>25.703999999999997</v>
          </cell>
          <cell r="BI1033">
            <v>26</v>
          </cell>
          <cell r="BJ1033">
            <v>0</v>
          </cell>
        </row>
        <row r="1034">
          <cell r="D1034" t="str">
            <v>Univerzita Konštantína Filozofa v Nitre</v>
          </cell>
          <cell r="E1034" t="str">
            <v>Pedagogická fakulta</v>
          </cell>
          <cell r="AN1034">
            <v>11</v>
          </cell>
          <cell r="AO1034">
            <v>14</v>
          </cell>
          <cell r="AP1034">
            <v>0</v>
          </cell>
          <cell r="AQ1034">
            <v>0</v>
          </cell>
          <cell r="AR1034">
            <v>11</v>
          </cell>
          <cell r="BF1034">
            <v>10.1</v>
          </cell>
          <cell r="BG1034">
            <v>12.018999999999998</v>
          </cell>
          <cell r="BH1034">
            <v>12.018999999999998</v>
          </cell>
          <cell r="BI1034">
            <v>14</v>
          </cell>
          <cell r="BJ1034">
            <v>0</v>
          </cell>
        </row>
        <row r="1035">
          <cell r="D1035" t="str">
            <v>Univerzita Konštantína Filozofa v Nitre</v>
          </cell>
          <cell r="E1035" t="str">
            <v>Pedagogická fakulta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BF1035">
            <v>0</v>
          </cell>
          <cell r="BG1035">
            <v>0</v>
          </cell>
          <cell r="BH1035">
            <v>0</v>
          </cell>
          <cell r="BI1035">
            <v>3</v>
          </cell>
          <cell r="BJ1035">
            <v>0</v>
          </cell>
        </row>
        <row r="1036">
          <cell r="D1036" t="str">
            <v>Univerzita Konštantína Filozofa v Nitre</v>
          </cell>
          <cell r="E1036" t="str">
            <v>Pedagogická fakulta</v>
          </cell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BF1036">
            <v>0</v>
          </cell>
          <cell r="BG1036">
            <v>0</v>
          </cell>
          <cell r="BH1036">
            <v>0</v>
          </cell>
          <cell r="BI1036">
            <v>3</v>
          </cell>
          <cell r="BJ1036">
            <v>0</v>
          </cell>
        </row>
        <row r="1037">
          <cell r="D1037" t="str">
            <v>Univerzita Konštantína Filozofa v Nitre</v>
          </cell>
          <cell r="E1037" t="str">
            <v>Pedagogická fakulta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BF1037">
            <v>0</v>
          </cell>
          <cell r="BG1037">
            <v>0</v>
          </cell>
          <cell r="BH1037">
            <v>0</v>
          </cell>
          <cell r="BI1037">
            <v>9</v>
          </cell>
          <cell r="BJ1037">
            <v>0</v>
          </cell>
        </row>
        <row r="1038">
          <cell r="D1038" t="str">
            <v>Univerzita Konštantína Filozofa v Nitre</v>
          </cell>
          <cell r="E1038" t="str">
            <v>Fakulta stredoeurópskych štúdií</v>
          </cell>
          <cell r="AN1038">
            <v>3</v>
          </cell>
          <cell r="AO1038">
            <v>0</v>
          </cell>
          <cell r="AP1038">
            <v>0</v>
          </cell>
          <cell r="AQ1038">
            <v>0</v>
          </cell>
          <cell r="AR1038">
            <v>3</v>
          </cell>
          <cell r="BF1038">
            <v>12</v>
          </cell>
          <cell r="BG1038">
            <v>13.200000000000001</v>
          </cell>
          <cell r="BH1038">
            <v>13.200000000000001</v>
          </cell>
          <cell r="BI1038">
            <v>4</v>
          </cell>
          <cell r="BJ1038">
            <v>3</v>
          </cell>
        </row>
        <row r="1039">
          <cell r="D1039" t="str">
            <v>Univerzita Konštantína Filozofa v Nitre</v>
          </cell>
          <cell r="E1039" t="str">
            <v>Fakulta stredoeurópskych štúdií</v>
          </cell>
          <cell r="AN1039">
            <v>65</v>
          </cell>
          <cell r="AO1039">
            <v>68</v>
          </cell>
          <cell r="AP1039">
            <v>0</v>
          </cell>
          <cell r="AQ1039">
            <v>0</v>
          </cell>
          <cell r="AR1039">
            <v>65</v>
          </cell>
          <cell r="BF1039">
            <v>56</v>
          </cell>
          <cell r="BG1039">
            <v>58.24</v>
          </cell>
          <cell r="BH1039">
            <v>49.920000000000009</v>
          </cell>
          <cell r="BI1039">
            <v>68</v>
          </cell>
          <cell r="BJ1039">
            <v>0</v>
          </cell>
        </row>
        <row r="1040">
          <cell r="D1040" t="str">
            <v>Vysoká škola zdravotníctva a sociálnej práce sv. Alžbety v Bratislave, n. o.</v>
          </cell>
          <cell r="E1040">
            <v>0</v>
          </cell>
          <cell r="AN1040">
            <v>102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BF1040">
            <v>0</v>
          </cell>
          <cell r="BG1040">
            <v>0</v>
          </cell>
          <cell r="BH1040">
            <v>0</v>
          </cell>
          <cell r="BI1040">
            <v>102</v>
          </cell>
          <cell r="BJ1040">
            <v>0</v>
          </cell>
        </row>
        <row r="1041">
          <cell r="D1041" t="str">
            <v>Vysoká škola zdravotníctva a sociálnej práce sv. Alžbety v Bratislave, n. o.</v>
          </cell>
          <cell r="E1041">
            <v>0</v>
          </cell>
          <cell r="AN1041">
            <v>147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BF1041">
            <v>0</v>
          </cell>
          <cell r="BG1041">
            <v>0</v>
          </cell>
          <cell r="BH1041">
            <v>0</v>
          </cell>
          <cell r="BI1041">
            <v>147</v>
          </cell>
          <cell r="BJ1041">
            <v>0</v>
          </cell>
        </row>
        <row r="1042">
          <cell r="D1042" t="str">
            <v>Vysoká škola zdravotníctva a sociálnej práce sv. Alžbety v Bratislave, n. o.</v>
          </cell>
          <cell r="E1042">
            <v>0</v>
          </cell>
          <cell r="AN1042">
            <v>121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121</v>
          </cell>
          <cell r="BJ1042">
            <v>0</v>
          </cell>
        </row>
        <row r="1043">
          <cell r="D1043" t="str">
            <v>Vysoká škola zdravotníctva a sociálnej práce sv. Alžbety v Bratislave, n. o.</v>
          </cell>
          <cell r="E1043">
            <v>0</v>
          </cell>
          <cell r="AN1043">
            <v>2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BF1043">
            <v>0</v>
          </cell>
          <cell r="BG1043">
            <v>0</v>
          </cell>
          <cell r="BH1043">
            <v>0</v>
          </cell>
          <cell r="BI1043">
            <v>2</v>
          </cell>
          <cell r="BJ1043">
            <v>0</v>
          </cell>
        </row>
        <row r="1044">
          <cell r="D1044" t="str">
            <v>Vysoká škola zdravotníctva a sociálnej práce sv. Alžbety v Bratislave, n. o.</v>
          </cell>
          <cell r="E1044">
            <v>0</v>
          </cell>
          <cell r="AN1044">
            <v>63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BF1044">
            <v>0</v>
          </cell>
          <cell r="BG1044">
            <v>0</v>
          </cell>
          <cell r="BH1044">
            <v>0</v>
          </cell>
          <cell r="BI1044">
            <v>63</v>
          </cell>
          <cell r="BJ1044">
            <v>0</v>
          </cell>
        </row>
        <row r="1045">
          <cell r="D1045" t="str">
            <v>Vysoká škola zdravotníctva a sociálnej práce sv. Alžbety v Bratislave, n. o.</v>
          </cell>
          <cell r="E1045">
            <v>0</v>
          </cell>
          <cell r="AN1045">
            <v>14</v>
          </cell>
          <cell r="AO1045">
            <v>14</v>
          </cell>
          <cell r="AP1045">
            <v>0</v>
          </cell>
          <cell r="AQ1045">
            <v>0</v>
          </cell>
          <cell r="AR1045">
            <v>14</v>
          </cell>
          <cell r="BF1045">
            <v>12.8</v>
          </cell>
          <cell r="BG1045">
            <v>12.8</v>
          </cell>
          <cell r="BH1045">
            <v>12.8</v>
          </cell>
          <cell r="BI1045">
            <v>14</v>
          </cell>
          <cell r="BJ1045">
            <v>0</v>
          </cell>
        </row>
        <row r="1046">
          <cell r="D1046" t="str">
            <v>Vysoká škola zdravotníctva a sociálnej práce sv. Alžbety v Bratislave, n. o.</v>
          </cell>
          <cell r="E1046">
            <v>0</v>
          </cell>
          <cell r="AN1046">
            <v>148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BF1046">
            <v>0</v>
          </cell>
          <cell r="BG1046">
            <v>0</v>
          </cell>
          <cell r="BH1046">
            <v>0</v>
          </cell>
          <cell r="BI1046">
            <v>148</v>
          </cell>
          <cell r="BJ1046">
            <v>0</v>
          </cell>
        </row>
        <row r="1047">
          <cell r="D1047" t="str">
            <v>Vysoká škola zdravotníctva a sociálnej práce sv. Alžbety v Bratislave, n. o.</v>
          </cell>
          <cell r="E1047">
            <v>0</v>
          </cell>
          <cell r="AN1047">
            <v>431</v>
          </cell>
          <cell r="AO1047">
            <v>431</v>
          </cell>
          <cell r="AP1047">
            <v>431</v>
          </cell>
          <cell r="AQ1047">
            <v>0</v>
          </cell>
          <cell r="AR1047">
            <v>431</v>
          </cell>
          <cell r="BF1047">
            <v>381.8</v>
          </cell>
          <cell r="BG1047">
            <v>820.87</v>
          </cell>
          <cell r="BH1047">
            <v>820.87</v>
          </cell>
          <cell r="BI1047">
            <v>431</v>
          </cell>
          <cell r="BJ1047">
            <v>0</v>
          </cell>
        </row>
        <row r="1048">
          <cell r="D1048" t="str">
            <v>Vysoká škola zdravotníctva a sociálnej práce sv. Alžbety v Bratislave, n. o.</v>
          </cell>
          <cell r="E1048">
            <v>0</v>
          </cell>
          <cell r="AN1048">
            <v>198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198</v>
          </cell>
          <cell r="BJ1048">
            <v>0</v>
          </cell>
        </row>
        <row r="1049">
          <cell r="D1049" t="str">
            <v>Vysoká škola zdravotníctva a sociálnej práce sv. Alžbety v Bratislave, n. o.</v>
          </cell>
          <cell r="E1049">
            <v>0</v>
          </cell>
          <cell r="AN1049">
            <v>100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100</v>
          </cell>
          <cell r="BJ1049">
            <v>0</v>
          </cell>
        </row>
        <row r="1050">
          <cell r="D1050" t="str">
            <v>Vysoká škola zdravotníctva a sociálnej práce sv. Alžbety v Bratislave, n. o.</v>
          </cell>
          <cell r="E1050">
            <v>0</v>
          </cell>
          <cell r="AN1050">
            <v>25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25</v>
          </cell>
          <cell r="BJ1050">
            <v>0</v>
          </cell>
        </row>
        <row r="1051">
          <cell r="D1051" t="str">
            <v>Vysoká škola zdravotníctva a sociálnej práce sv. Alžbety v Bratislave, n. o.</v>
          </cell>
          <cell r="E1051">
            <v>0</v>
          </cell>
          <cell r="AN1051">
            <v>2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BF1051">
            <v>0</v>
          </cell>
          <cell r="BG1051">
            <v>0</v>
          </cell>
          <cell r="BH1051">
            <v>0</v>
          </cell>
          <cell r="BI1051">
            <v>2</v>
          </cell>
          <cell r="BJ1051">
            <v>0</v>
          </cell>
        </row>
        <row r="1052">
          <cell r="D1052" t="str">
            <v>Vysoká škola zdravotníctva a sociálnej práce sv. Alžbety v Bratislave, n. o.</v>
          </cell>
          <cell r="E1052">
            <v>0</v>
          </cell>
          <cell r="AN1052">
            <v>367</v>
          </cell>
          <cell r="AO1052">
            <v>367</v>
          </cell>
          <cell r="AP1052">
            <v>0</v>
          </cell>
          <cell r="AQ1052">
            <v>0</v>
          </cell>
          <cell r="AR1052">
            <v>367</v>
          </cell>
          <cell r="BF1052">
            <v>318.10000000000002</v>
          </cell>
          <cell r="BG1052">
            <v>318.10000000000002</v>
          </cell>
          <cell r="BH1052">
            <v>289.18181818181819</v>
          </cell>
          <cell r="BI1052">
            <v>367</v>
          </cell>
          <cell r="BJ1052">
            <v>0</v>
          </cell>
        </row>
        <row r="1053">
          <cell r="D1053" t="str">
            <v>Vysoká škola zdravotníctva a sociálnej práce sv. Alžbety v Bratislave, n. o.</v>
          </cell>
          <cell r="E1053">
            <v>0</v>
          </cell>
          <cell r="AN1053">
            <v>82</v>
          </cell>
          <cell r="AO1053">
            <v>82</v>
          </cell>
          <cell r="AP1053">
            <v>0</v>
          </cell>
          <cell r="AQ1053">
            <v>0</v>
          </cell>
          <cell r="AR1053">
            <v>82</v>
          </cell>
          <cell r="BF1053">
            <v>66.699999999999989</v>
          </cell>
          <cell r="BG1053">
            <v>66.699999999999989</v>
          </cell>
          <cell r="BH1053">
            <v>66.699999999999989</v>
          </cell>
          <cell r="BI1053">
            <v>82</v>
          </cell>
          <cell r="BJ1053">
            <v>0</v>
          </cell>
        </row>
        <row r="1054">
          <cell r="D1054" t="str">
            <v>Katolícka univerzita v Ružomberku</v>
          </cell>
          <cell r="E1054" t="str">
            <v>Teologická fakulta v Košiciach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14</v>
          </cell>
          <cell r="BJ1054">
            <v>0</v>
          </cell>
        </row>
        <row r="1055">
          <cell r="D1055" t="str">
            <v>Katolícka univerzita v Ružomberku</v>
          </cell>
          <cell r="E1055" t="str">
            <v>Teologická fakulta v Košiciach</v>
          </cell>
          <cell r="AN1055">
            <v>3</v>
          </cell>
          <cell r="AO1055">
            <v>6</v>
          </cell>
          <cell r="AP1055">
            <v>0</v>
          </cell>
          <cell r="AQ1055">
            <v>0</v>
          </cell>
          <cell r="AR1055">
            <v>3</v>
          </cell>
          <cell r="BF1055">
            <v>4.5</v>
          </cell>
          <cell r="BG1055">
            <v>4.9050000000000002</v>
          </cell>
          <cell r="BH1055">
            <v>4.9050000000000002</v>
          </cell>
          <cell r="BI1055">
            <v>6</v>
          </cell>
          <cell r="BJ1055">
            <v>0</v>
          </cell>
        </row>
        <row r="1056">
          <cell r="D1056" t="str">
            <v>Katolícka univerzita v Ružomberku</v>
          </cell>
          <cell r="E1056" t="str">
            <v>Teologická fakulta v Košiciach</v>
          </cell>
          <cell r="AN1056">
            <v>25</v>
          </cell>
          <cell r="AO1056">
            <v>34</v>
          </cell>
          <cell r="AP1056">
            <v>0</v>
          </cell>
          <cell r="AQ1056">
            <v>0</v>
          </cell>
          <cell r="AR1056">
            <v>25</v>
          </cell>
          <cell r="BF1056">
            <v>27.5</v>
          </cell>
          <cell r="BG1056">
            <v>27.5</v>
          </cell>
          <cell r="BH1056">
            <v>27.5</v>
          </cell>
          <cell r="BI1056">
            <v>34</v>
          </cell>
          <cell r="BJ1056">
            <v>0</v>
          </cell>
        </row>
        <row r="1057">
          <cell r="D1057" t="str">
            <v>Katolícka univerzita v Ružomberku</v>
          </cell>
          <cell r="E1057" t="str">
            <v>Teologická fakulta v Košiciach</v>
          </cell>
          <cell r="AN1057">
            <v>85</v>
          </cell>
          <cell r="AO1057">
            <v>90</v>
          </cell>
          <cell r="AP1057">
            <v>0</v>
          </cell>
          <cell r="AQ1057">
            <v>0</v>
          </cell>
          <cell r="AR1057">
            <v>85</v>
          </cell>
          <cell r="BF1057">
            <v>73.900000000000006</v>
          </cell>
          <cell r="BG1057">
            <v>73.900000000000006</v>
          </cell>
          <cell r="BH1057">
            <v>73.900000000000006</v>
          </cell>
          <cell r="BI1057">
            <v>90</v>
          </cell>
          <cell r="BJ1057">
            <v>0</v>
          </cell>
        </row>
        <row r="1058">
          <cell r="D1058" t="str">
            <v>Trenčianska univerzita Alexandra Dubčeka v Trenčíne</v>
          </cell>
          <cell r="E1058" t="str">
            <v>Fakulta špeciálnej techniky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7</v>
          </cell>
          <cell r="BJ1058">
            <v>0</v>
          </cell>
        </row>
        <row r="1059">
          <cell r="D1059" t="str">
            <v>Trenčianska univerzita Alexandra Dubčeka v Trenčíne</v>
          </cell>
          <cell r="E1059" t="str">
            <v>Fakulta špeciálnej techniky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1</v>
          </cell>
          <cell r="BJ1059">
            <v>0</v>
          </cell>
        </row>
        <row r="1060">
          <cell r="D1060" t="str">
            <v>Trenčianska univerzita Alexandra Dubčeka v Trenčíne</v>
          </cell>
          <cell r="E1060" t="str">
            <v>Fakulta sociálno-ekonomických vzťahov</v>
          </cell>
          <cell r="AN1060">
            <v>4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167</v>
          </cell>
          <cell r="BJ1060">
            <v>0</v>
          </cell>
        </row>
        <row r="1061">
          <cell r="D1061" t="str">
            <v>Trenčianska univerzita Alexandra Dubčeka v Trenčíne</v>
          </cell>
          <cell r="E1061" t="str">
            <v>Fakulta priemyselných technológií v Púchove</v>
          </cell>
          <cell r="AN1061">
            <v>6</v>
          </cell>
          <cell r="AO1061">
            <v>0</v>
          </cell>
          <cell r="AP1061">
            <v>0</v>
          </cell>
          <cell r="AQ1061">
            <v>6</v>
          </cell>
          <cell r="AR1061">
            <v>6</v>
          </cell>
          <cell r="BF1061">
            <v>18</v>
          </cell>
          <cell r="BG1061">
            <v>38.339999999999996</v>
          </cell>
          <cell r="BH1061">
            <v>38.339999999999996</v>
          </cell>
          <cell r="BI1061">
            <v>6</v>
          </cell>
          <cell r="BJ1061">
            <v>6</v>
          </cell>
        </row>
        <row r="1062">
          <cell r="D1062" t="str">
            <v>Trenčianska univerzita Alexandra Dubčeka v Trenčíne</v>
          </cell>
          <cell r="E1062" t="str">
            <v>Fakulta priemyselných technológií v Púchove</v>
          </cell>
          <cell r="AN1062">
            <v>1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1</v>
          </cell>
          <cell r="BJ1062">
            <v>0</v>
          </cell>
        </row>
        <row r="1063">
          <cell r="D1063" t="str">
            <v>Trenčianska univerzita Alexandra Dubčeka v Trenčíne</v>
          </cell>
          <cell r="E1063" t="str">
            <v>Fakulta zdravotníctva</v>
          </cell>
          <cell r="AN1063">
            <v>125</v>
          </cell>
          <cell r="AO1063">
            <v>140</v>
          </cell>
          <cell r="AP1063">
            <v>0</v>
          </cell>
          <cell r="AQ1063">
            <v>0</v>
          </cell>
          <cell r="AR1063">
            <v>125</v>
          </cell>
          <cell r="BF1063">
            <v>106.4</v>
          </cell>
          <cell r="BG1063">
            <v>228.76</v>
          </cell>
          <cell r="BH1063">
            <v>214.46249999999998</v>
          </cell>
          <cell r="BI1063">
            <v>140</v>
          </cell>
          <cell r="BJ1063">
            <v>0</v>
          </cell>
        </row>
        <row r="1064">
          <cell r="D1064" t="str">
            <v>Trenčianska univerzita Alexandra Dubčeka v Trenčíne</v>
          </cell>
          <cell r="E1064" t="str">
            <v>Fakulta priemyselných technológií v Púchove</v>
          </cell>
          <cell r="AN1064">
            <v>78</v>
          </cell>
          <cell r="AO1064">
            <v>83</v>
          </cell>
          <cell r="AP1064">
            <v>0</v>
          </cell>
          <cell r="AQ1064">
            <v>0</v>
          </cell>
          <cell r="AR1064">
            <v>78</v>
          </cell>
          <cell r="BF1064">
            <v>117</v>
          </cell>
          <cell r="BG1064">
            <v>173.16</v>
          </cell>
          <cell r="BH1064">
            <v>147.81951219512194</v>
          </cell>
          <cell r="BI1064">
            <v>83</v>
          </cell>
          <cell r="BJ1064">
            <v>0</v>
          </cell>
        </row>
        <row r="1065">
          <cell r="D1065" t="str">
            <v>Trenčianska univerzita Alexandra Dubčeka v Trenčíne</v>
          </cell>
          <cell r="E1065" t="str">
            <v>Fakulta sociálno-ekonomických vzťahov</v>
          </cell>
          <cell r="AN1065">
            <v>26</v>
          </cell>
          <cell r="AO1065">
            <v>32</v>
          </cell>
          <cell r="AP1065">
            <v>0</v>
          </cell>
          <cell r="AQ1065">
            <v>0</v>
          </cell>
          <cell r="AR1065">
            <v>26</v>
          </cell>
          <cell r="BF1065">
            <v>22.7</v>
          </cell>
          <cell r="BG1065">
            <v>23.608000000000001</v>
          </cell>
          <cell r="BH1065">
            <v>23.608000000000001</v>
          </cell>
          <cell r="BI1065">
            <v>32</v>
          </cell>
          <cell r="BJ1065">
            <v>0</v>
          </cell>
        </row>
        <row r="1066">
          <cell r="D1066" t="str">
            <v>Trenčianska univerzita Alexandra Dubčeka v Trenčíne</v>
          </cell>
          <cell r="E1066" t="str">
            <v>Fakulta špeciálnej techniky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4</v>
          </cell>
          <cell r="BJ1066">
            <v>0</v>
          </cell>
        </row>
        <row r="1067">
          <cell r="D1067" t="str">
            <v>Trenčianska univerzita Alexandra Dubčeka v Trenčíne</v>
          </cell>
          <cell r="E1067" t="str">
            <v>Fakulta sociálno-ekonomických vzťahov</v>
          </cell>
          <cell r="AN1067">
            <v>297</v>
          </cell>
          <cell r="AO1067">
            <v>316</v>
          </cell>
          <cell r="AP1067">
            <v>0</v>
          </cell>
          <cell r="AQ1067">
            <v>0</v>
          </cell>
          <cell r="AR1067">
            <v>297</v>
          </cell>
          <cell r="BF1067">
            <v>243.89999999999998</v>
          </cell>
          <cell r="BG1067">
            <v>253.65599999999998</v>
          </cell>
          <cell r="BH1067">
            <v>253.65599999999998</v>
          </cell>
          <cell r="BI1067">
            <v>316</v>
          </cell>
          <cell r="BJ1067">
            <v>0</v>
          </cell>
        </row>
        <row r="1068">
          <cell r="D1068" t="str">
            <v>Trenčianska univerzita Alexandra Dubčeka v Trenčíne</v>
          </cell>
          <cell r="E1068" t="str">
            <v>Fakulta zdravotníctva</v>
          </cell>
          <cell r="AN1068">
            <v>172</v>
          </cell>
          <cell r="AO1068">
            <v>184</v>
          </cell>
          <cell r="AP1068">
            <v>0</v>
          </cell>
          <cell r="AQ1068">
            <v>0</v>
          </cell>
          <cell r="AR1068">
            <v>172</v>
          </cell>
          <cell r="BF1068">
            <v>154.30000000000001</v>
          </cell>
          <cell r="BG1068">
            <v>331.745</v>
          </cell>
          <cell r="BH1068">
            <v>321.84216417910449</v>
          </cell>
          <cell r="BI1068">
            <v>184</v>
          </cell>
          <cell r="BJ1068">
            <v>0</v>
          </cell>
        </row>
        <row r="1069">
          <cell r="D1069" t="str">
            <v>Trenčianska univerzita Alexandra Dubčeka v Trenčíne</v>
          </cell>
          <cell r="E1069" t="str">
            <v>Fakulta sociálno-ekonomických vzťahov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23</v>
          </cell>
          <cell r="BJ1069">
            <v>0</v>
          </cell>
        </row>
        <row r="1070">
          <cell r="D1070" t="str">
            <v>Trenčianska univerzita Alexandra Dubčeka v Trenčíne</v>
          </cell>
          <cell r="E1070" t="str">
            <v>Fakulta špeciálnej techniky</v>
          </cell>
          <cell r="AN1070">
            <v>96</v>
          </cell>
          <cell r="AO1070">
            <v>111</v>
          </cell>
          <cell r="AP1070">
            <v>111</v>
          </cell>
          <cell r="AQ1070">
            <v>96</v>
          </cell>
          <cell r="AR1070">
            <v>96</v>
          </cell>
          <cell r="BF1070">
            <v>78.900000000000006</v>
          </cell>
          <cell r="BG1070">
            <v>116.77200000000001</v>
          </cell>
          <cell r="BH1070">
            <v>116.77200000000001</v>
          </cell>
          <cell r="BI1070">
            <v>111</v>
          </cell>
          <cell r="BJ1070">
            <v>0</v>
          </cell>
        </row>
        <row r="1071">
          <cell r="D1071" t="str">
            <v>Trenčianska univerzita Alexandra Dubčeka v Trenčíne</v>
          </cell>
          <cell r="E1071" t="str">
            <v>Fakulta zdravotníctva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84</v>
          </cell>
          <cell r="BJ1071">
            <v>0</v>
          </cell>
        </row>
        <row r="1072">
          <cell r="D1072" t="str">
            <v>Trenčianska univerzita Alexandra Dubčeka v Trenčíne</v>
          </cell>
          <cell r="E1072" t="str">
            <v>Fakulta priemyselných technológií v Púchove</v>
          </cell>
          <cell r="AN1072">
            <v>17</v>
          </cell>
          <cell r="AO1072">
            <v>19</v>
          </cell>
          <cell r="AP1072">
            <v>19</v>
          </cell>
          <cell r="AQ1072">
            <v>17</v>
          </cell>
          <cell r="AR1072">
            <v>17</v>
          </cell>
          <cell r="BF1072">
            <v>14.6</v>
          </cell>
          <cell r="BG1072">
            <v>21.608000000000001</v>
          </cell>
          <cell r="BH1072">
            <v>21.608000000000001</v>
          </cell>
          <cell r="BI1072">
            <v>19</v>
          </cell>
          <cell r="BJ1072">
            <v>0</v>
          </cell>
        </row>
        <row r="1073">
          <cell r="D1073" t="str">
            <v>Trenčianska univerzita Alexandra Dubčeka v Trenčíne</v>
          </cell>
          <cell r="E1073" t="str">
            <v>Fakulta priemyselných technológií v Púchove</v>
          </cell>
          <cell r="AN1073">
            <v>33</v>
          </cell>
          <cell r="AO1073">
            <v>43</v>
          </cell>
          <cell r="AP1073">
            <v>43</v>
          </cell>
          <cell r="AQ1073">
            <v>33</v>
          </cell>
          <cell r="AR1073">
            <v>33</v>
          </cell>
          <cell r="BF1073">
            <v>27</v>
          </cell>
          <cell r="BG1073">
            <v>39.96</v>
          </cell>
          <cell r="BH1073">
            <v>39.96</v>
          </cell>
          <cell r="BI1073">
            <v>43</v>
          </cell>
          <cell r="BJ1073">
            <v>0</v>
          </cell>
        </row>
        <row r="1074">
          <cell r="D1074" t="str">
            <v>Trenčianska univerzita Alexandra Dubčeka v Trenčíne</v>
          </cell>
          <cell r="E1074" t="str">
            <v>Fakulta sociálno-ekonomických vzťahov</v>
          </cell>
          <cell r="AN1074">
            <v>1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1</v>
          </cell>
          <cell r="BJ1074">
            <v>0</v>
          </cell>
        </row>
        <row r="1075">
          <cell r="D1075" t="str">
            <v>Trenčianska univerzita Alexandra Dubčeka v Trenčíne</v>
          </cell>
          <cell r="E1075">
            <v>0</v>
          </cell>
          <cell r="AN1075">
            <v>52</v>
          </cell>
          <cell r="AO1075">
            <v>53</v>
          </cell>
          <cell r="AP1075">
            <v>0</v>
          </cell>
          <cell r="AQ1075">
            <v>0</v>
          </cell>
          <cell r="AR1075">
            <v>52</v>
          </cell>
          <cell r="BF1075">
            <v>41.2</v>
          </cell>
          <cell r="BG1075">
            <v>41.2</v>
          </cell>
          <cell r="BH1075">
            <v>41.2</v>
          </cell>
          <cell r="BI1075">
            <v>53</v>
          </cell>
          <cell r="BJ1075">
            <v>0</v>
          </cell>
        </row>
        <row r="1076">
          <cell r="D1076" t="str">
            <v>Trenčianska univerzita Alexandra Dubčeka v Trenčíne</v>
          </cell>
          <cell r="E1076">
            <v>0</v>
          </cell>
          <cell r="AN1076">
            <v>9</v>
          </cell>
          <cell r="AO1076">
            <v>0</v>
          </cell>
          <cell r="AP1076">
            <v>0</v>
          </cell>
          <cell r="AQ1076">
            <v>9</v>
          </cell>
          <cell r="AR1076">
            <v>9</v>
          </cell>
          <cell r="BF1076">
            <v>27</v>
          </cell>
          <cell r="BG1076">
            <v>57.51</v>
          </cell>
          <cell r="BH1076">
            <v>57.51</v>
          </cell>
          <cell r="BI1076">
            <v>9</v>
          </cell>
          <cell r="BJ1076">
            <v>9</v>
          </cell>
        </row>
        <row r="1077">
          <cell r="D1077" t="str">
            <v>Trnavská univerzita v Trnave</v>
          </cell>
          <cell r="E1077" t="str">
            <v>Fakulta zdravotníctva a sociálnej práce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12</v>
          </cell>
          <cell r="BJ1077">
            <v>0</v>
          </cell>
        </row>
        <row r="1078">
          <cell r="D1078" t="str">
            <v>Trnavská univerzita v Trnave</v>
          </cell>
          <cell r="E1078" t="str">
            <v>Fakulta zdravotníctva a sociálnej práce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30</v>
          </cell>
          <cell r="BJ1078">
            <v>0</v>
          </cell>
        </row>
        <row r="1079">
          <cell r="D1079" t="str">
            <v>Trnavská univerzita v Trnave</v>
          </cell>
          <cell r="E1079" t="str">
            <v>Fakulta zdravotníctva a sociálnej práce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102</v>
          </cell>
          <cell r="BJ1079">
            <v>0</v>
          </cell>
        </row>
        <row r="1080">
          <cell r="D1080" t="str">
            <v>Trnavská univerzita v Trnave</v>
          </cell>
          <cell r="E1080" t="str">
            <v>Fakulta zdravotníctva a sociálnej práce</v>
          </cell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BF1080">
            <v>0</v>
          </cell>
          <cell r="BG1080">
            <v>0</v>
          </cell>
          <cell r="BH1080">
            <v>0</v>
          </cell>
          <cell r="BI1080">
            <v>1</v>
          </cell>
          <cell r="BJ1080">
            <v>0</v>
          </cell>
        </row>
        <row r="1081">
          <cell r="D1081" t="str">
            <v>Trnavská univerzita v Trnave</v>
          </cell>
          <cell r="E1081" t="str">
            <v>Fakulta zdravotníctva a sociálnej práce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4</v>
          </cell>
          <cell r="BJ1081">
            <v>0</v>
          </cell>
        </row>
        <row r="1082">
          <cell r="D1082" t="str">
            <v>Trnavská univerzita v Trnave</v>
          </cell>
          <cell r="E1082" t="str">
            <v>Fakulta zdravotníctva a sociálnej práce</v>
          </cell>
          <cell r="AN1082">
            <v>33</v>
          </cell>
          <cell r="AO1082">
            <v>35</v>
          </cell>
          <cell r="AP1082">
            <v>0</v>
          </cell>
          <cell r="AQ1082">
            <v>0</v>
          </cell>
          <cell r="AR1082">
            <v>33</v>
          </cell>
          <cell r="BF1082">
            <v>30</v>
          </cell>
          <cell r="BG1082">
            <v>30</v>
          </cell>
          <cell r="BH1082">
            <v>30</v>
          </cell>
          <cell r="BI1082">
            <v>35</v>
          </cell>
          <cell r="BJ1082">
            <v>0</v>
          </cell>
        </row>
        <row r="1083">
          <cell r="D1083" t="str">
            <v>Trnavská univerzita v Trnave</v>
          </cell>
          <cell r="E1083" t="str">
            <v>Fakulta zdravotníctva a sociálnej práce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77</v>
          </cell>
          <cell r="BJ1083">
            <v>0</v>
          </cell>
        </row>
        <row r="1084">
          <cell r="D1084" t="str">
            <v>Trnavská univerzita v Trnave</v>
          </cell>
          <cell r="E1084" t="str">
            <v>Fakulta zdravotníctva a sociálnej práce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7</v>
          </cell>
          <cell r="BJ1084">
            <v>0</v>
          </cell>
        </row>
        <row r="1085">
          <cell r="D1085" t="str">
            <v>Trnavská univerzita v Trnave</v>
          </cell>
          <cell r="E1085" t="str">
            <v>Fakulta zdravotníctva a sociálnej práce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10</v>
          </cell>
          <cell r="BJ1085">
            <v>0</v>
          </cell>
        </row>
        <row r="1086">
          <cell r="D1086" t="str">
            <v>Trnavská univerzita v Trnave</v>
          </cell>
          <cell r="E1086" t="str">
            <v>Pedagogická fakulta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241</v>
          </cell>
          <cell r="BJ1086">
            <v>0</v>
          </cell>
        </row>
        <row r="1087">
          <cell r="D1087" t="str">
            <v>Trnavská univerzita v Trnave</v>
          </cell>
          <cell r="E1087" t="str">
            <v>Pedagogická fakulta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31</v>
          </cell>
          <cell r="BJ1087">
            <v>0</v>
          </cell>
        </row>
        <row r="1088">
          <cell r="D1088" t="str">
            <v>Trnavská univerzita v Trnave</v>
          </cell>
          <cell r="E1088" t="str">
            <v>Pedagogická fakulta</v>
          </cell>
          <cell r="AN1088">
            <v>32</v>
          </cell>
          <cell r="AO1088">
            <v>33</v>
          </cell>
          <cell r="AP1088">
            <v>33</v>
          </cell>
          <cell r="AQ1088">
            <v>32</v>
          </cell>
          <cell r="AR1088">
            <v>32</v>
          </cell>
          <cell r="BF1088">
            <v>48</v>
          </cell>
          <cell r="BG1088">
            <v>69.12</v>
          </cell>
          <cell r="BH1088">
            <v>66.890322580645162</v>
          </cell>
          <cell r="BI1088">
            <v>33</v>
          </cell>
          <cell r="BJ1088">
            <v>0</v>
          </cell>
        </row>
        <row r="1089">
          <cell r="D1089" t="str">
            <v>Trnavská univerzita v Trnave</v>
          </cell>
          <cell r="E1089" t="str">
            <v>Pedagogická fakulta</v>
          </cell>
          <cell r="AN1089">
            <v>15</v>
          </cell>
          <cell r="AO1089">
            <v>16</v>
          </cell>
          <cell r="AP1089">
            <v>16</v>
          </cell>
          <cell r="AQ1089">
            <v>15</v>
          </cell>
          <cell r="AR1089">
            <v>15</v>
          </cell>
          <cell r="BF1089">
            <v>22.5</v>
          </cell>
          <cell r="BG1089">
            <v>32.4</v>
          </cell>
          <cell r="BH1089">
            <v>32.4</v>
          </cell>
          <cell r="BI1089">
            <v>16</v>
          </cell>
          <cell r="BJ1089">
            <v>0</v>
          </cell>
        </row>
        <row r="1090">
          <cell r="D1090" t="str">
            <v>Trnavská univerzita v Trnave</v>
          </cell>
          <cell r="E1090" t="str">
            <v>Pedagogická fakulta</v>
          </cell>
          <cell r="AN1090">
            <v>17</v>
          </cell>
          <cell r="AO1090">
            <v>21.5</v>
          </cell>
          <cell r="AP1090">
            <v>21.5</v>
          </cell>
          <cell r="AQ1090">
            <v>17</v>
          </cell>
          <cell r="AR1090">
            <v>17</v>
          </cell>
          <cell r="BF1090">
            <v>15.2</v>
          </cell>
          <cell r="BG1090">
            <v>18.087999999999997</v>
          </cell>
          <cell r="BH1090">
            <v>18.087999999999997</v>
          </cell>
          <cell r="BI1090">
            <v>21.5</v>
          </cell>
          <cell r="BJ1090">
            <v>0</v>
          </cell>
        </row>
        <row r="1091">
          <cell r="D1091" t="str">
            <v>Trnavská univerzita v Trnave</v>
          </cell>
          <cell r="E1091" t="str">
            <v>Pedagogická fakulta</v>
          </cell>
          <cell r="AN1091">
            <v>15</v>
          </cell>
          <cell r="AO1091">
            <v>20</v>
          </cell>
          <cell r="AP1091">
            <v>0</v>
          </cell>
          <cell r="AQ1091">
            <v>0</v>
          </cell>
          <cell r="AR1091">
            <v>15</v>
          </cell>
          <cell r="BF1091">
            <v>12.899999999999999</v>
          </cell>
          <cell r="BG1091">
            <v>14.061</v>
          </cell>
          <cell r="BH1091">
            <v>14.061</v>
          </cell>
          <cell r="BI1091">
            <v>20</v>
          </cell>
          <cell r="BJ1091">
            <v>0</v>
          </cell>
        </row>
        <row r="1092">
          <cell r="D1092" t="str">
            <v>Trnavská univerzita v Trnave</v>
          </cell>
          <cell r="E1092" t="str">
            <v>Pedagogická fakulta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96</v>
          </cell>
          <cell r="BJ1092">
            <v>0</v>
          </cell>
        </row>
        <row r="1093">
          <cell r="D1093" t="str">
            <v>Trnavská univerzita v Trnave</v>
          </cell>
          <cell r="E1093" t="str">
            <v>Pedagogická fakulta</v>
          </cell>
          <cell r="AN1093">
            <v>22</v>
          </cell>
          <cell r="AO1093">
            <v>23</v>
          </cell>
          <cell r="AP1093">
            <v>0</v>
          </cell>
          <cell r="AQ1093">
            <v>0</v>
          </cell>
          <cell r="AR1093">
            <v>22</v>
          </cell>
          <cell r="BF1093">
            <v>33</v>
          </cell>
          <cell r="BG1093">
            <v>35.970000000000006</v>
          </cell>
          <cell r="BH1093">
            <v>35.970000000000006</v>
          </cell>
          <cell r="BI1093">
            <v>23</v>
          </cell>
          <cell r="BJ1093">
            <v>0</v>
          </cell>
        </row>
        <row r="1094">
          <cell r="D1094" t="str">
            <v>Trnavská univerzita v Trnave</v>
          </cell>
          <cell r="E1094" t="str">
            <v>Pedagogická fakulta</v>
          </cell>
          <cell r="AN1094">
            <v>89</v>
          </cell>
          <cell r="AO1094">
            <v>94</v>
          </cell>
          <cell r="AP1094">
            <v>0</v>
          </cell>
          <cell r="AQ1094">
            <v>0</v>
          </cell>
          <cell r="AR1094">
            <v>89</v>
          </cell>
          <cell r="BF1094">
            <v>133.5</v>
          </cell>
          <cell r="BG1094">
            <v>158.86499999999998</v>
          </cell>
          <cell r="BH1094">
            <v>154.57135135135135</v>
          </cell>
          <cell r="BI1094">
            <v>94</v>
          </cell>
          <cell r="BJ1094">
            <v>0</v>
          </cell>
        </row>
        <row r="1095">
          <cell r="D1095" t="str">
            <v>Trnavská univerzita v Trnave</v>
          </cell>
          <cell r="E1095" t="str">
            <v>Pedagogická fakulta</v>
          </cell>
          <cell r="AN1095">
            <v>10</v>
          </cell>
          <cell r="AO1095">
            <v>15</v>
          </cell>
          <cell r="AP1095">
            <v>15</v>
          </cell>
          <cell r="AQ1095">
            <v>10</v>
          </cell>
          <cell r="AR1095">
            <v>10</v>
          </cell>
          <cell r="BF1095">
            <v>8.35</v>
          </cell>
          <cell r="BG1095">
            <v>9.9364999999999988</v>
          </cell>
          <cell r="BH1095">
            <v>9.9364999999999988</v>
          </cell>
          <cell r="BI1095">
            <v>15</v>
          </cell>
          <cell r="BJ1095">
            <v>0</v>
          </cell>
        </row>
        <row r="1096">
          <cell r="D1096" t="str">
            <v>Trnavská univerzita v Trnave</v>
          </cell>
          <cell r="E1096" t="str">
            <v>Pedagogická fakulta</v>
          </cell>
          <cell r="AN1096">
            <v>18</v>
          </cell>
          <cell r="AO1096">
            <v>20.5</v>
          </cell>
          <cell r="AP1096">
            <v>0</v>
          </cell>
          <cell r="AQ1096">
            <v>0</v>
          </cell>
          <cell r="AR1096">
            <v>18</v>
          </cell>
          <cell r="BF1096">
            <v>14.25</v>
          </cell>
          <cell r="BG1096">
            <v>30.637499999999999</v>
          </cell>
          <cell r="BH1096">
            <v>30.637499999999999</v>
          </cell>
          <cell r="BI1096">
            <v>20.5</v>
          </cell>
          <cell r="BJ1096">
            <v>0</v>
          </cell>
        </row>
        <row r="1097">
          <cell r="D1097" t="str">
            <v>Trnavská univerzita v Trnave</v>
          </cell>
          <cell r="E1097" t="str">
            <v>Pedagogická fakulta</v>
          </cell>
          <cell r="AN1097">
            <v>51.5</v>
          </cell>
          <cell r="AO1097">
            <v>58.5</v>
          </cell>
          <cell r="AP1097">
            <v>0</v>
          </cell>
          <cell r="AQ1097">
            <v>0</v>
          </cell>
          <cell r="AR1097">
            <v>51.5</v>
          </cell>
          <cell r="BF1097">
            <v>43.099999999999994</v>
          </cell>
          <cell r="BG1097">
            <v>46.978999999999999</v>
          </cell>
          <cell r="BH1097">
            <v>45.555393939393937</v>
          </cell>
          <cell r="BI1097">
            <v>58.5</v>
          </cell>
          <cell r="BJ1097">
            <v>0</v>
          </cell>
        </row>
        <row r="1098">
          <cell r="D1098" t="str">
            <v>Trnavská univerzita v Trnave</v>
          </cell>
          <cell r="E1098" t="str">
            <v>Pedagogická fakulta</v>
          </cell>
          <cell r="AN1098">
            <v>15</v>
          </cell>
          <cell r="AO1098">
            <v>21</v>
          </cell>
          <cell r="AP1098">
            <v>21</v>
          </cell>
          <cell r="AQ1098">
            <v>15</v>
          </cell>
          <cell r="AR1098">
            <v>15</v>
          </cell>
          <cell r="BF1098">
            <v>13.05</v>
          </cell>
          <cell r="BG1098">
            <v>18.792000000000002</v>
          </cell>
          <cell r="BH1098">
            <v>17.748000000000001</v>
          </cell>
          <cell r="BI1098">
            <v>21</v>
          </cell>
          <cell r="BJ1098">
            <v>0</v>
          </cell>
        </row>
        <row r="1099">
          <cell r="D1099" t="str">
            <v>Trnavská univerzita v Trnave</v>
          </cell>
          <cell r="E1099" t="str">
            <v>Pedagogická fakulta</v>
          </cell>
          <cell r="AN1099">
            <v>55</v>
          </cell>
          <cell r="AO1099">
            <v>65</v>
          </cell>
          <cell r="AP1099">
            <v>0</v>
          </cell>
          <cell r="AQ1099">
            <v>0</v>
          </cell>
          <cell r="AR1099">
            <v>55</v>
          </cell>
          <cell r="BF1099">
            <v>47.5</v>
          </cell>
          <cell r="BG1099">
            <v>51.775000000000006</v>
          </cell>
          <cell r="BH1099">
            <v>51.775000000000006</v>
          </cell>
          <cell r="BI1099">
            <v>65</v>
          </cell>
          <cell r="BJ1099">
            <v>0</v>
          </cell>
        </row>
        <row r="1100">
          <cell r="D1100" t="str">
            <v>Trnavská univerzita v Trnave</v>
          </cell>
          <cell r="E1100" t="str">
            <v>Pedagogická fakulta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56</v>
          </cell>
          <cell r="BJ1100">
            <v>0</v>
          </cell>
        </row>
        <row r="1101">
          <cell r="D1101" t="str">
            <v>Trnavská univerzita v Trnave</v>
          </cell>
          <cell r="E1101" t="str">
            <v>Pedagogická fakulta</v>
          </cell>
          <cell r="AN1101">
            <v>51</v>
          </cell>
          <cell r="AO1101">
            <v>57</v>
          </cell>
          <cell r="AP1101">
            <v>0</v>
          </cell>
          <cell r="AQ1101">
            <v>0</v>
          </cell>
          <cell r="AR1101">
            <v>51</v>
          </cell>
          <cell r="BF1101">
            <v>76.5</v>
          </cell>
          <cell r="BG1101">
            <v>91.034999999999997</v>
          </cell>
          <cell r="BH1101">
            <v>83.118913043478258</v>
          </cell>
          <cell r="BI1101">
            <v>57</v>
          </cell>
          <cell r="BJ1101">
            <v>0</v>
          </cell>
        </row>
        <row r="1102">
          <cell r="D1102" t="str">
            <v>Trnavská univerzita v Trnave</v>
          </cell>
          <cell r="E1102" t="str">
            <v>Pedagogická fakulta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33</v>
          </cell>
          <cell r="BJ1102">
            <v>0</v>
          </cell>
        </row>
        <row r="1103">
          <cell r="D1103" t="str">
            <v>Trnavská univerzita v Trnave</v>
          </cell>
          <cell r="E1103" t="str">
            <v>Pedagogická fakulta</v>
          </cell>
          <cell r="AN1103">
            <v>0</v>
          </cell>
          <cell r="AO1103">
            <v>1</v>
          </cell>
          <cell r="AP1103">
            <v>0</v>
          </cell>
          <cell r="AQ1103">
            <v>0</v>
          </cell>
          <cell r="AR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0</v>
          </cell>
        </row>
        <row r="1104">
          <cell r="D1104" t="str">
            <v>Trnavská univerzita v Trnave</v>
          </cell>
          <cell r="E1104" t="str">
            <v>Právnická fakulta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20</v>
          </cell>
          <cell r="BJ1104">
            <v>0</v>
          </cell>
        </row>
        <row r="1105">
          <cell r="D1105" t="str">
            <v>Trnavská univerzita v Trnave</v>
          </cell>
          <cell r="E1105" t="str">
            <v>Právnická fakulta</v>
          </cell>
          <cell r="AN1105">
            <v>230</v>
          </cell>
          <cell r="AO1105">
            <v>257</v>
          </cell>
          <cell r="AP1105">
            <v>0</v>
          </cell>
          <cell r="AQ1105">
            <v>0</v>
          </cell>
          <cell r="AR1105">
            <v>230</v>
          </cell>
          <cell r="BF1105">
            <v>345</v>
          </cell>
          <cell r="BG1105">
            <v>345</v>
          </cell>
          <cell r="BH1105">
            <v>286.34999999999997</v>
          </cell>
          <cell r="BI1105">
            <v>257</v>
          </cell>
          <cell r="BJ1105">
            <v>0</v>
          </cell>
        </row>
        <row r="1106">
          <cell r="D1106" t="str">
            <v>Trnavská univerzita v Trnave</v>
          </cell>
          <cell r="E1106" t="str">
            <v>Právnická fakulta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</row>
        <row r="1107">
          <cell r="D1107" t="str">
            <v>Trnavská univerzita v Trnave</v>
          </cell>
          <cell r="E1107" t="str">
            <v>Právnická fakulta</v>
          </cell>
          <cell r="AN1107">
            <v>1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62</v>
          </cell>
          <cell r="BJ1107">
            <v>0</v>
          </cell>
        </row>
        <row r="1108">
          <cell r="D1108" t="str">
            <v>Trnavská univerzita v Trnave</v>
          </cell>
          <cell r="E1108" t="str">
            <v>Právnická fakulta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122</v>
          </cell>
          <cell r="BJ1108">
            <v>0</v>
          </cell>
        </row>
        <row r="1109">
          <cell r="D1109" t="str">
            <v>Trnavská univerzita v Trnave</v>
          </cell>
          <cell r="E1109" t="str">
            <v>Právnická fakulta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4</v>
          </cell>
          <cell r="BJ1109">
            <v>0</v>
          </cell>
        </row>
        <row r="1110">
          <cell r="D1110" t="str">
            <v>Trnavská univerzita v Trnave</v>
          </cell>
          <cell r="E1110" t="str">
            <v>Právnická fakulta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1</v>
          </cell>
          <cell r="BJ1110">
            <v>0</v>
          </cell>
        </row>
        <row r="1111">
          <cell r="D1111" t="str">
            <v>Trnavská univerzita v Trnave</v>
          </cell>
          <cell r="E1111" t="str">
            <v>Filozofická fakulta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17</v>
          </cell>
          <cell r="BJ1111">
            <v>0</v>
          </cell>
        </row>
        <row r="1112">
          <cell r="D1112" t="str">
            <v>Trnavská univerzita v Trnave</v>
          </cell>
          <cell r="E1112" t="str">
            <v>Filozofická fakulta</v>
          </cell>
          <cell r="AN1112">
            <v>1</v>
          </cell>
          <cell r="AO1112">
            <v>0</v>
          </cell>
          <cell r="AP1112">
            <v>0</v>
          </cell>
          <cell r="AQ1112">
            <v>0</v>
          </cell>
          <cell r="AR1112">
            <v>1</v>
          </cell>
          <cell r="BF1112">
            <v>4</v>
          </cell>
          <cell r="BG1112">
            <v>4.4000000000000004</v>
          </cell>
          <cell r="BH1112">
            <v>4.4000000000000004</v>
          </cell>
          <cell r="BI1112">
            <v>2</v>
          </cell>
          <cell r="BJ1112">
            <v>1</v>
          </cell>
        </row>
        <row r="1113">
          <cell r="D1113" t="str">
            <v>Trnavská univerzita v Trnave</v>
          </cell>
          <cell r="E1113" t="str">
            <v>Filozofická fakulta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145</v>
          </cell>
          <cell r="BJ1113">
            <v>0</v>
          </cell>
        </row>
        <row r="1114">
          <cell r="D1114" t="str">
            <v>Trnavská univerzita v Trnave</v>
          </cell>
          <cell r="E1114" t="str">
            <v>Filozofická fakulta</v>
          </cell>
          <cell r="AN1114">
            <v>179</v>
          </cell>
          <cell r="AO1114">
            <v>204</v>
          </cell>
          <cell r="AP1114">
            <v>0</v>
          </cell>
          <cell r="AQ1114">
            <v>0</v>
          </cell>
          <cell r="AR1114">
            <v>179</v>
          </cell>
          <cell r="BF1114">
            <v>155.9</v>
          </cell>
          <cell r="BG1114">
            <v>155.9</v>
          </cell>
          <cell r="BH1114">
            <v>148.64883720930234</v>
          </cell>
          <cell r="BI1114">
            <v>204</v>
          </cell>
          <cell r="BJ1114">
            <v>0</v>
          </cell>
        </row>
        <row r="1115">
          <cell r="D1115" t="str">
            <v>Trnavská univerzita v Trnave</v>
          </cell>
          <cell r="E1115" t="str">
            <v>Filozofická fakulta</v>
          </cell>
          <cell r="AN1115">
            <v>52</v>
          </cell>
          <cell r="AO1115">
            <v>56</v>
          </cell>
          <cell r="AP1115">
            <v>0</v>
          </cell>
          <cell r="AQ1115">
            <v>0</v>
          </cell>
          <cell r="AR1115">
            <v>52</v>
          </cell>
          <cell r="BF1115">
            <v>47.2</v>
          </cell>
          <cell r="BG1115">
            <v>47.2</v>
          </cell>
          <cell r="BH1115">
            <v>47.2</v>
          </cell>
          <cell r="BI1115">
            <v>56</v>
          </cell>
          <cell r="BJ1115">
            <v>0</v>
          </cell>
        </row>
        <row r="1116">
          <cell r="D1116" t="str">
            <v>Trnavská univerzita v Trnave</v>
          </cell>
          <cell r="E1116" t="str">
            <v>Filozofická fakulta</v>
          </cell>
          <cell r="AN1116">
            <v>27</v>
          </cell>
          <cell r="AO1116">
            <v>31</v>
          </cell>
          <cell r="AP1116">
            <v>0</v>
          </cell>
          <cell r="AQ1116">
            <v>0</v>
          </cell>
          <cell r="AR1116">
            <v>27</v>
          </cell>
          <cell r="BF1116">
            <v>22.2</v>
          </cell>
          <cell r="BG1116">
            <v>22.2</v>
          </cell>
          <cell r="BH1116">
            <v>22.2</v>
          </cell>
          <cell r="BI1116">
            <v>31</v>
          </cell>
          <cell r="BJ1116">
            <v>0</v>
          </cell>
        </row>
        <row r="1117">
          <cell r="D1117" t="str">
            <v>Trnavská univerzita v Trnave</v>
          </cell>
          <cell r="E1117" t="str">
            <v>Filozofická fakulta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6</v>
          </cell>
          <cell r="BJ1117">
            <v>0</v>
          </cell>
        </row>
        <row r="1118">
          <cell r="D1118" t="str">
            <v>Trnavská univerzita v Trnave</v>
          </cell>
          <cell r="E1118" t="str">
            <v>Filozofická fakulta</v>
          </cell>
          <cell r="AN1118">
            <v>1</v>
          </cell>
          <cell r="AO1118">
            <v>0</v>
          </cell>
          <cell r="AP1118">
            <v>0</v>
          </cell>
          <cell r="AQ1118">
            <v>0</v>
          </cell>
          <cell r="AR1118">
            <v>1</v>
          </cell>
          <cell r="BF1118">
            <v>4</v>
          </cell>
          <cell r="BG1118">
            <v>4.4000000000000004</v>
          </cell>
          <cell r="BH1118">
            <v>4.4000000000000004</v>
          </cell>
          <cell r="BI1118">
            <v>2</v>
          </cell>
          <cell r="BJ1118">
            <v>1</v>
          </cell>
        </row>
        <row r="1119">
          <cell r="D1119" t="str">
            <v>Vysoká škola manažmentu</v>
          </cell>
          <cell r="E1119">
            <v>0</v>
          </cell>
          <cell r="AN1119">
            <v>3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3</v>
          </cell>
          <cell r="BJ1119">
            <v>0</v>
          </cell>
        </row>
        <row r="1120">
          <cell r="D1120" t="str">
            <v>Akadémia Policajného zboru</v>
          </cell>
          <cell r="E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12</v>
          </cell>
          <cell r="BJ1120">
            <v>0</v>
          </cell>
        </row>
        <row r="1121">
          <cell r="D1121" t="str">
            <v>Akadémia Policajného zboru</v>
          </cell>
          <cell r="E1121">
            <v>0</v>
          </cell>
          <cell r="AN1121">
            <v>2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56</v>
          </cell>
          <cell r="BJ1121">
            <v>0</v>
          </cell>
        </row>
        <row r="1122">
          <cell r="D1122" t="str">
            <v>Akadémia Policajného zboru</v>
          </cell>
          <cell r="E1122">
            <v>0</v>
          </cell>
          <cell r="AN1122">
            <v>1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219</v>
          </cell>
          <cell r="BJ1122">
            <v>0</v>
          </cell>
        </row>
        <row r="1123">
          <cell r="D1123" t="str">
            <v>Akadémia Policajného zboru</v>
          </cell>
          <cell r="E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55</v>
          </cell>
          <cell r="BJ1123">
            <v>0</v>
          </cell>
        </row>
        <row r="1124">
          <cell r="D1124" t="str">
            <v>Akadémia Policajného zboru</v>
          </cell>
          <cell r="E1124">
            <v>0</v>
          </cell>
          <cell r="AN1124">
            <v>290</v>
          </cell>
          <cell r="AO1124">
            <v>298</v>
          </cell>
          <cell r="AP1124">
            <v>0</v>
          </cell>
          <cell r="AQ1124">
            <v>0</v>
          </cell>
          <cell r="AR1124">
            <v>290</v>
          </cell>
          <cell r="BF1124">
            <v>259.7</v>
          </cell>
          <cell r="BG1124">
            <v>384.35599999999999</v>
          </cell>
          <cell r="BH1124">
            <v>384.35599999999999</v>
          </cell>
          <cell r="BI1124">
            <v>298</v>
          </cell>
          <cell r="BJ1124">
            <v>0</v>
          </cell>
        </row>
        <row r="1125">
          <cell r="D1125" t="str">
            <v>Akadémia Policajného zboru</v>
          </cell>
          <cell r="E1125">
            <v>0</v>
          </cell>
          <cell r="AN1125">
            <v>1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72</v>
          </cell>
          <cell r="BJ1125">
            <v>0</v>
          </cell>
        </row>
        <row r="1126">
          <cell r="D1126" t="str">
            <v>Slovenská poľnohospodárska univerzita v Nitre</v>
          </cell>
          <cell r="E1126" t="str">
            <v>Fakulta záhradníctva a krajinného inžinierstva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45</v>
          </cell>
          <cell r="BJ1126">
            <v>0</v>
          </cell>
        </row>
        <row r="1127">
          <cell r="D1127" t="str">
            <v>Slovenská poľnohospodárska univerzita v Nitre</v>
          </cell>
          <cell r="E1127" t="str">
            <v>Fakulta európskych štúdií a regionálneho rozvoja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7</v>
          </cell>
          <cell r="BJ1127">
            <v>0</v>
          </cell>
        </row>
        <row r="1128">
          <cell r="D1128" t="str">
            <v>Slovenská poľnohospodárska univerzita v Nitre</v>
          </cell>
          <cell r="E1128" t="str">
            <v>Fakulta záhradníctva a krajinného inžinierstva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BF1128">
            <v>0</v>
          </cell>
          <cell r="BG1128">
            <v>0</v>
          </cell>
          <cell r="BH1128">
            <v>0</v>
          </cell>
          <cell r="BI1128">
            <v>1</v>
          </cell>
          <cell r="BJ1128">
            <v>0</v>
          </cell>
        </row>
        <row r="1129">
          <cell r="D1129" t="str">
            <v>Slovenská poľnohospodárska univerzita v Nitre</v>
          </cell>
          <cell r="E1129" t="str">
            <v>Technická fakulta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2</v>
          </cell>
          <cell r="BJ1129">
            <v>0</v>
          </cell>
        </row>
        <row r="1130">
          <cell r="D1130" t="str">
            <v>Slovenská poľnohospodárska univerzita v Nitre</v>
          </cell>
          <cell r="E1130" t="str">
            <v>Fakulta biotechnológie a potravinárstva</v>
          </cell>
          <cell r="AN1130">
            <v>8</v>
          </cell>
          <cell r="AO1130">
            <v>0</v>
          </cell>
          <cell r="AP1130">
            <v>0</v>
          </cell>
          <cell r="AQ1130">
            <v>8</v>
          </cell>
          <cell r="AR1130">
            <v>8</v>
          </cell>
          <cell r="BF1130">
            <v>24</v>
          </cell>
          <cell r="BG1130">
            <v>51.12</v>
          </cell>
          <cell r="BH1130">
            <v>51.12</v>
          </cell>
          <cell r="BI1130">
            <v>8</v>
          </cell>
          <cell r="BJ1130">
            <v>8</v>
          </cell>
        </row>
        <row r="1131">
          <cell r="D1131" t="str">
            <v>Slovenská poľnohospodárska univerzita v Nitre</v>
          </cell>
          <cell r="E1131" t="str">
            <v>Fakulta biotechnológie a potravinárstva</v>
          </cell>
          <cell r="AN1131">
            <v>11</v>
          </cell>
          <cell r="AO1131">
            <v>0</v>
          </cell>
          <cell r="AP1131">
            <v>0</v>
          </cell>
          <cell r="AQ1131">
            <v>11</v>
          </cell>
          <cell r="AR1131">
            <v>11</v>
          </cell>
          <cell r="BF1131">
            <v>33</v>
          </cell>
          <cell r="BG1131">
            <v>70.289999999999992</v>
          </cell>
          <cell r="BH1131">
            <v>70.289999999999992</v>
          </cell>
          <cell r="BI1131">
            <v>11</v>
          </cell>
          <cell r="BJ1131">
            <v>11</v>
          </cell>
        </row>
        <row r="1132">
          <cell r="D1132" t="str">
            <v>Slovenská poľnohospodárska univerzita v Nitre</v>
          </cell>
          <cell r="E1132" t="str">
            <v>Fakulta záhradníctva a krajinného inžinierstva</v>
          </cell>
          <cell r="AN1132">
            <v>3</v>
          </cell>
          <cell r="AO1132">
            <v>0</v>
          </cell>
          <cell r="AP1132">
            <v>0</v>
          </cell>
          <cell r="AQ1132">
            <v>0</v>
          </cell>
          <cell r="AR1132">
            <v>3</v>
          </cell>
          <cell r="BF1132">
            <v>12</v>
          </cell>
          <cell r="BG1132">
            <v>25.56</v>
          </cell>
          <cell r="BH1132">
            <v>20.91272727272727</v>
          </cell>
          <cell r="BI1132">
            <v>4</v>
          </cell>
          <cell r="BJ1132">
            <v>3</v>
          </cell>
        </row>
        <row r="1133">
          <cell r="D1133" t="str">
            <v>Slovenská poľnohospodárska univerzita v Nitre</v>
          </cell>
          <cell r="E1133" t="str">
            <v>Fakulta agrobiológie a potravinových zdrojov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3</v>
          </cell>
          <cell r="BJ1133">
            <v>0</v>
          </cell>
        </row>
        <row r="1134">
          <cell r="D1134" t="str">
            <v>Slovenská poľnohospodárska univerzita v Nitre</v>
          </cell>
          <cell r="E1134" t="str">
            <v>Technická fakulta</v>
          </cell>
          <cell r="AN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BF1134">
            <v>0</v>
          </cell>
          <cell r="BG1134">
            <v>0</v>
          </cell>
          <cell r="BH1134">
            <v>0</v>
          </cell>
          <cell r="BI1134">
            <v>49</v>
          </cell>
          <cell r="BJ1134">
            <v>0</v>
          </cell>
        </row>
        <row r="1135">
          <cell r="D1135" t="str">
            <v>Slovenská poľnohospodárska univerzita v Nitre</v>
          </cell>
          <cell r="E1135" t="str">
            <v>Technická fakulta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5</v>
          </cell>
          <cell r="BJ1135">
            <v>0</v>
          </cell>
        </row>
        <row r="1136">
          <cell r="D1136" t="str">
            <v>Slovenská poľnohospodárska univerzita v Nitre</v>
          </cell>
          <cell r="E1136" t="str">
            <v>Technická fakulta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6</v>
          </cell>
          <cell r="BJ1136">
            <v>0</v>
          </cell>
        </row>
        <row r="1137">
          <cell r="D1137" t="str">
            <v>Slovenská poľnohospodárska univerzita v Nitre</v>
          </cell>
          <cell r="E1137" t="str">
            <v>Fakulta agrobiológie a potravinových zdrojov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20</v>
          </cell>
          <cell r="BJ1137">
            <v>0</v>
          </cell>
        </row>
        <row r="1138">
          <cell r="D1138" t="str">
            <v>Slovenská poľnohospodárska univerzita v Nitre</v>
          </cell>
          <cell r="E1138" t="str">
            <v>Fakulta agrobiológie a potravinových zdrojov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6</v>
          </cell>
          <cell r="BJ1138">
            <v>0</v>
          </cell>
        </row>
        <row r="1139">
          <cell r="D1139" t="str">
            <v>Slovenská poľnohospodárska univerzita v Nitre</v>
          </cell>
          <cell r="E1139" t="str">
            <v>Fakulta agrobiológie a potravinových zdrojov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3</v>
          </cell>
          <cell r="BJ1139">
            <v>0</v>
          </cell>
        </row>
        <row r="1140">
          <cell r="D1140" t="str">
            <v>Slovenská poľnohospodárska univerzita v Nitre</v>
          </cell>
          <cell r="E1140" t="str">
            <v>Fakulta ekonomiky a manažmentu</v>
          </cell>
          <cell r="AN1140">
            <v>1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41</v>
          </cell>
          <cell r="BJ1140">
            <v>0</v>
          </cell>
        </row>
        <row r="1141">
          <cell r="D1141" t="str">
            <v>Slovenská poľnohospodárska univerzita v Nitre</v>
          </cell>
          <cell r="E1141" t="str">
            <v>Fakulta agrobiológie a potravinových zdrojov</v>
          </cell>
          <cell r="AN1141">
            <v>1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39</v>
          </cell>
          <cell r="BJ1141">
            <v>0</v>
          </cell>
        </row>
        <row r="1142">
          <cell r="D1142" t="str">
            <v>Slovenská poľnohospodárska univerzita v Nitre</v>
          </cell>
          <cell r="E1142" t="str">
            <v>Technická fakulta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8</v>
          </cell>
          <cell r="BJ1142">
            <v>0</v>
          </cell>
        </row>
        <row r="1143">
          <cell r="D1143" t="str">
            <v>Slovenská poľnohospodárska univerzita v Nitre</v>
          </cell>
          <cell r="E1143" t="str">
            <v>Fakulta európskych štúdií a regionálneho rozvoja</v>
          </cell>
          <cell r="AN1143">
            <v>1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17</v>
          </cell>
          <cell r="BJ1143">
            <v>0</v>
          </cell>
        </row>
        <row r="1144">
          <cell r="D1144" t="str">
            <v>Slovenská poľnohospodárska univerzita v Nitre</v>
          </cell>
          <cell r="E1144" t="str">
            <v>Technická fakulta</v>
          </cell>
          <cell r="AN1144">
            <v>1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BF1144">
            <v>0</v>
          </cell>
          <cell r="BG1144">
            <v>0</v>
          </cell>
          <cell r="BH1144">
            <v>0</v>
          </cell>
          <cell r="BI1144">
            <v>21</v>
          </cell>
          <cell r="BJ1144">
            <v>0</v>
          </cell>
        </row>
        <row r="1145">
          <cell r="D1145" t="str">
            <v>Slovenská poľnohospodárska univerzita v Nitre</v>
          </cell>
          <cell r="E1145" t="str">
            <v>Fakulta agrobiológie a potravinových zdrojov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33</v>
          </cell>
          <cell r="BJ1145">
            <v>0</v>
          </cell>
        </row>
        <row r="1146">
          <cell r="D1146" t="str">
            <v>Slovenská poľnohospodárska univerzita v Nitre</v>
          </cell>
          <cell r="E1146" t="str">
            <v>Fakulta agrobiológie a potravinových zdrojov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BF1146">
            <v>0</v>
          </cell>
          <cell r="BG1146">
            <v>0</v>
          </cell>
          <cell r="BH1146">
            <v>0</v>
          </cell>
          <cell r="BI1146">
            <v>42</v>
          </cell>
          <cell r="BJ1146">
            <v>0</v>
          </cell>
        </row>
        <row r="1147">
          <cell r="D1147" t="str">
            <v>Slovenská poľnohospodárska univerzita v Nitre</v>
          </cell>
          <cell r="E1147" t="str">
            <v>Fakulta ekonomiky a manažmentu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30</v>
          </cell>
          <cell r="BJ1147">
            <v>0</v>
          </cell>
        </row>
        <row r="1148">
          <cell r="D1148" t="str">
            <v>Slovenská poľnohospodárska univerzita v Nitre</v>
          </cell>
          <cell r="E1148" t="str">
            <v>Technická fakulta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BF1148">
            <v>0</v>
          </cell>
          <cell r="BG1148">
            <v>0</v>
          </cell>
          <cell r="BH1148">
            <v>0</v>
          </cell>
          <cell r="BI1148">
            <v>10</v>
          </cell>
          <cell r="BJ1148">
            <v>0</v>
          </cell>
        </row>
        <row r="1149">
          <cell r="D1149" t="str">
            <v>Slovenská poľnohospodárska univerzita v Nitre</v>
          </cell>
          <cell r="E1149" t="str">
            <v>Technická fakulta</v>
          </cell>
          <cell r="AN1149">
            <v>31</v>
          </cell>
          <cell r="AO1149">
            <v>37</v>
          </cell>
          <cell r="AP1149">
            <v>37</v>
          </cell>
          <cell r="AQ1149">
            <v>31</v>
          </cell>
          <cell r="AR1149">
            <v>31</v>
          </cell>
          <cell r="BF1149">
            <v>31</v>
          </cell>
          <cell r="BG1149">
            <v>45.88</v>
          </cell>
          <cell r="BH1149">
            <v>45.88</v>
          </cell>
          <cell r="BI1149">
            <v>37</v>
          </cell>
          <cell r="BJ1149">
            <v>0</v>
          </cell>
        </row>
        <row r="1150">
          <cell r="D1150" t="str">
            <v>Slovenská poľnohospodárska univerzita v Nitre</v>
          </cell>
          <cell r="E1150" t="str">
            <v>Fakulta agrobiológie a potravinových zdrojov</v>
          </cell>
          <cell r="AN1150">
            <v>78</v>
          </cell>
          <cell r="AO1150">
            <v>85</v>
          </cell>
          <cell r="AP1150">
            <v>0</v>
          </cell>
          <cell r="AQ1150">
            <v>0</v>
          </cell>
          <cell r="AR1150">
            <v>78</v>
          </cell>
          <cell r="BF1150">
            <v>66.3</v>
          </cell>
          <cell r="BG1150">
            <v>105.417</v>
          </cell>
          <cell r="BH1150">
            <v>105.417</v>
          </cell>
          <cell r="BI1150">
            <v>85</v>
          </cell>
          <cell r="BJ1150">
            <v>0</v>
          </cell>
        </row>
        <row r="1151">
          <cell r="D1151" t="str">
            <v>Slovenská poľnohospodárska univerzita v Nitre</v>
          </cell>
          <cell r="E1151" t="str">
            <v>Fakulta agrobiológie a potravinových zdrojov</v>
          </cell>
          <cell r="AN1151">
            <v>59</v>
          </cell>
          <cell r="AO1151">
            <v>68</v>
          </cell>
          <cell r="AP1151">
            <v>0</v>
          </cell>
          <cell r="AQ1151">
            <v>0</v>
          </cell>
          <cell r="AR1151">
            <v>59</v>
          </cell>
          <cell r="BF1151">
            <v>48.5</v>
          </cell>
          <cell r="BG1151">
            <v>77.115000000000009</v>
          </cell>
          <cell r="BH1151">
            <v>66.098571428571447</v>
          </cell>
          <cell r="BI1151">
            <v>68</v>
          </cell>
          <cell r="BJ1151">
            <v>0</v>
          </cell>
        </row>
        <row r="1152">
          <cell r="D1152" t="str">
            <v>Slovenská poľnohospodárska univerzita v Nitre</v>
          </cell>
          <cell r="E1152" t="str">
            <v>Technická fakulta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BF1152">
            <v>0</v>
          </cell>
          <cell r="BG1152">
            <v>0</v>
          </cell>
          <cell r="BH1152">
            <v>0</v>
          </cell>
          <cell r="BI1152">
            <v>18</v>
          </cell>
          <cell r="BJ1152">
            <v>0</v>
          </cell>
        </row>
        <row r="1153">
          <cell r="D1153" t="str">
            <v>Slovenská poľnohospodárska univerzita v Nitre</v>
          </cell>
          <cell r="E1153" t="str">
            <v>Fakulta ekonomiky a manažmentu</v>
          </cell>
          <cell r="AN1153">
            <v>5</v>
          </cell>
          <cell r="AO1153">
            <v>33</v>
          </cell>
          <cell r="AP1153">
            <v>0</v>
          </cell>
          <cell r="AQ1153">
            <v>0</v>
          </cell>
          <cell r="AR1153">
            <v>5</v>
          </cell>
          <cell r="BF1153">
            <v>5</v>
          </cell>
          <cell r="BG1153">
            <v>5.2</v>
          </cell>
          <cell r="BH1153">
            <v>5.2</v>
          </cell>
          <cell r="BI1153">
            <v>33</v>
          </cell>
          <cell r="BJ1153">
            <v>0</v>
          </cell>
        </row>
        <row r="1154">
          <cell r="D1154" t="str">
            <v>Slovenská poľnohospodárska univerzita v Nitre</v>
          </cell>
          <cell r="E1154" t="str">
            <v>Fakulta agrobiológie a potravinových zdrojov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BF1154">
            <v>0</v>
          </cell>
          <cell r="BG1154">
            <v>0</v>
          </cell>
          <cell r="BH1154">
            <v>0</v>
          </cell>
          <cell r="BI1154">
            <v>14</v>
          </cell>
          <cell r="BJ1154">
            <v>0</v>
          </cell>
        </row>
        <row r="1155">
          <cell r="D1155" t="str">
            <v>Slovenská poľnohospodárska univerzita v Nitre</v>
          </cell>
          <cell r="E1155" t="str">
            <v>Fakulta agrobiológie a potravinových zdrojov</v>
          </cell>
          <cell r="AN1155">
            <v>126</v>
          </cell>
          <cell r="AO1155">
            <v>138</v>
          </cell>
          <cell r="AP1155">
            <v>0</v>
          </cell>
          <cell r="AQ1155">
            <v>0</v>
          </cell>
          <cell r="AR1155">
            <v>126</v>
          </cell>
          <cell r="BF1155">
            <v>105.3</v>
          </cell>
          <cell r="BG1155">
            <v>167.42699999999999</v>
          </cell>
          <cell r="BH1155">
            <v>167.42699999999999</v>
          </cell>
          <cell r="BI1155">
            <v>138</v>
          </cell>
          <cell r="BJ1155">
            <v>0</v>
          </cell>
        </row>
        <row r="1156">
          <cell r="D1156" t="str">
            <v>Slovenská poľnohospodárska univerzita v Nitre</v>
          </cell>
          <cell r="E1156" t="str">
            <v>Fakulta agrobiológie a potravinových zdrojov</v>
          </cell>
          <cell r="AN1156">
            <v>12</v>
          </cell>
          <cell r="AO1156">
            <v>13</v>
          </cell>
          <cell r="AP1156">
            <v>0</v>
          </cell>
          <cell r="AQ1156">
            <v>0</v>
          </cell>
          <cell r="AR1156">
            <v>12</v>
          </cell>
          <cell r="BF1156">
            <v>12</v>
          </cell>
          <cell r="BG1156">
            <v>19.080000000000002</v>
          </cell>
          <cell r="BH1156">
            <v>19.080000000000002</v>
          </cell>
          <cell r="BI1156">
            <v>13</v>
          </cell>
          <cell r="BJ1156">
            <v>0</v>
          </cell>
        </row>
        <row r="1157">
          <cell r="D1157" t="str">
            <v>Slovenská poľnohospodárska univerzita v Nitre</v>
          </cell>
          <cell r="E1157" t="str">
            <v>Fakulta európskych štúdií a regionálneho rozvoja</v>
          </cell>
          <cell r="AN1157">
            <v>77</v>
          </cell>
          <cell r="AO1157">
            <v>90</v>
          </cell>
          <cell r="AP1157">
            <v>0</v>
          </cell>
          <cell r="AQ1157">
            <v>0</v>
          </cell>
          <cell r="AR1157">
            <v>77</v>
          </cell>
          <cell r="BF1157">
            <v>66.8</v>
          </cell>
          <cell r="BG1157">
            <v>69.471999999999994</v>
          </cell>
          <cell r="BH1157">
            <v>69.471999999999994</v>
          </cell>
          <cell r="BI1157">
            <v>90</v>
          </cell>
          <cell r="BJ1157">
            <v>0</v>
          </cell>
        </row>
        <row r="1158">
          <cell r="D1158" t="str">
            <v>Slovenská poľnohospodárska univerzita v Nitre</v>
          </cell>
          <cell r="E1158" t="str">
            <v>Fakulta biotechnológie a potravinárstva</v>
          </cell>
          <cell r="AN1158">
            <v>162</v>
          </cell>
          <cell r="AO1158">
            <v>188</v>
          </cell>
          <cell r="AP1158">
            <v>188</v>
          </cell>
          <cell r="AQ1158">
            <v>162</v>
          </cell>
          <cell r="AR1158">
            <v>162</v>
          </cell>
          <cell r="BF1158">
            <v>143.4</v>
          </cell>
          <cell r="BG1158">
            <v>212.232</v>
          </cell>
          <cell r="BH1158">
            <v>212.232</v>
          </cell>
          <cell r="BI1158">
            <v>188</v>
          </cell>
          <cell r="BJ1158">
            <v>0</v>
          </cell>
        </row>
        <row r="1159">
          <cell r="D1159" t="str">
            <v>Slovenská poľnohospodárska univerzita v Nitre</v>
          </cell>
          <cell r="E1159" t="str">
            <v>Technická fakulta</v>
          </cell>
          <cell r="AN1159">
            <v>149</v>
          </cell>
          <cell r="AO1159">
            <v>173</v>
          </cell>
          <cell r="AP1159">
            <v>173</v>
          </cell>
          <cell r="AQ1159">
            <v>149</v>
          </cell>
          <cell r="AR1159">
            <v>149</v>
          </cell>
          <cell r="BF1159">
            <v>122.3</v>
          </cell>
          <cell r="BG1159">
            <v>181.00399999999999</v>
          </cell>
          <cell r="BH1159">
            <v>181.00399999999999</v>
          </cell>
          <cell r="BI1159">
            <v>173</v>
          </cell>
          <cell r="BJ1159">
            <v>0</v>
          </cell>
        </row>
        <row r="1160">
          <cell r="D1160" t="str">
            <v>Slovenská poľnohospodárska univerzita v Nitre</v>
          </cell>
          <cell r="E1160" t="str">
            <v>Fakulta agrobiológie a potravinových zdrojov</v>
          </cell>
          <cell r="AN1160">
            <v>0</v>
          </cell>
          <cell r="AO1160">
            <v>1</v>
          </cell>
          <cell r="AP1160">
            <v>0</v>
          </cell>
          <cell r="AQ1160">
            <v>0</v>
          </cell>
          <cell r="AR1160">
            <v>0</v>
          </cell>
          <cell r="BF1160">
            <v>0</v>
          </cell>
          <cell r="BG1160">
            <v>0</v>
          </cell>
          <cell r="BH1160">
            <v>0</v>
          </cell>
          <cell r="BI1160">
            <v>1</v>
          </cell>
          <cell r="BJ1160">
            <v>0</v>
          </cell>
        </row>
        <row r="1161">
          <cell r="D1161" t="str">
            <v>Slovenská poľnohospodárska univerzita v Nitre</v>
          </cell>
          <cell r="E1161" t="str">
            <v>Fakulta ekonomiky a manažmentu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36</v>
          </cell>
          <cell r="BJ1161">
            <v>0</v>
          </cell>
        </row>
        <row r="1162">
          <cell r="D1162" t="str">
            <v>Slovenská poľnohospodárska univerzita v Nitre</v>
          </cell>
          <cell r="E1162" t="str">
            <v>Fakulta európskych štúdií a regionálneho rozvoja</v>
          </cell>
          <cell r="AN1162">
            <v>43</v>
          </cell>
          <cell r="AO1162">
            <v>51</v>
          </cell>
          <cell r="AP1162">
            <v>0</v>
          </cell>
          <cell r="AQ1162">
            <v>0</v>
          </cell>
          <cell r="AR1162">
            <v>43</v>
          </cell>
          <cell r="BF1162">
            <v>37.6</v>
          </cell>
          <cell r="BG1162">
            <v>39.104000000000006</v>
          </cell>
          <cell r="BH1162">
            <v>39.104000000000006</v>
          </cell>
          <cell r="BI1162">
            <v>51</v>
          </cell>
          <cell r="BJ1162">
            <v>0</v>
          </cell>
        </row>
        <row r="1163">
          <cell r="D1163" t="str">
            <v>Slovenská poľnohospodárska univerzita v Nitre</v>
          </cell>
          <cell r="E1163" t="str">
            <v>Fakulta ekonomiky a manažmentu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13</v>
          </cell>
          <cell r="BJ1163">
            <v>0</v>
          </cell>
        </row>
        <row r="1164">
          <cell r="D1164" t="str">
            <v>Slovenská poľnohospodárska univerzita v Nitre</v>
          </cell>
          <cell r="E1164" t="str">
            <v>Fakulta biotechnológie a potravinárstva</v>
          </cell>
          <cell r="AN1164">
            <v>42</v>
          </cell>
          <cell r="AO1164">
            <v>54</v>
          </cell>
          <cell r="AP1164">
            <v>54</v>
          </cell>
          <cell r="AQ1164">
            <v>42</v>
          </cell>
          <cell r="AR1164">
            <v>42</v>
          </cell>
          <cell r="BF1164">
            <v>35.700000000000003</v>
          </cell>
          <cell r="BG1164">
            <v>52.836000000000006</v>
          </cell>
          <cell r="BH1164">
            <v>49.900666666666673</v>
          </cell>
          <cell r="BI1164">
            <v>54</v>
          </cell>
          <cell r="BJ1164">
            <v>0</v>
          </cell>
        </row>
        <row r="1165">
          <cell r="D1165" t="str">
            <v>Slovenská poľnohospodárska univerzita v Nitre</v>
          </cell>
          <cell r="E1165" t="str">
            <v>Fakulta ekonomiky a manažmentu</v>
          </cell>
          <cell r="AN1165">
            <v>111</v>
          </cell>
          <cell r="AO1165">
            <v>118</v>
          </cell>
          <cell r="AP1165">
            <v>0</v>
          </cell>
          <cell r="AQ1165">
            <v>0</v>
          </cell>
          <cell r="AR1165">
            <v>111</v>
          </cell>
          <cell r="BF1165">
            <v>97.8</v>
          </cell>
          <cell r="BG1165">
            <v>101.712</v>
          </cell>
          <cell r="BH1165">
            <v>99.71764705882353</v>
          </cell>
          <cell r="BI1165">
            <v>118</v>
          </cell>
          <cell r="BJ1165">
            <v>0</v>
          </cell>
        </row>
        <row r="1166">
          <cell r="D1166" t="str">
            <v>Slovenská poľnohospodárska univerzita v Nitre</v>
          </cell>
          <cell r="E1166" t="str">
            <v>Technická fakulta</v>
          </cell>
          <cell r="AN1166">
            <v>128</v>
          </cell>
          <cell r="AO1166">
            <v>149</v>
          </cell>
          <cell r="AP1166">
            <v>149</v>
          </cell>
          <cell r="AQ1166">
            <v>128</v>
          </cell>
          <cell r="AR1166">
            <v>128</v>
          </cell>
          <cell r="BF1166">
            <v>103.1</v>
          </cell>
          <cell r="BG1166">
            <v>152.58799999999999</v>
          </cell>
          <cell r="BH1166">
            <v>152.58799999999999</v>
          </cell>
          <cell r="BI1166">
            <v>149</v>
          </cell>
          <cell r="BJ1166">
            <v>0</v>
          </cell>
        </row>
        <row r="1167">
          <cell r="D1167" t="str">
            <v>Slovenská poľnohospodárska univerzita v Nitre</v>
          </cell>
          <cell r="E1167" t="str">
            <v>Fakulta ekonomiky a manažmentu</v>
          </cell>
          <cell r="AN1167">
            <v>177</v>
          </cell>
          <cell r="AO1167">
            <v>190</v>
          </cell>
          <cell r="AP1167">
            <v>0</v>
          </cell>
          <cell r="AQ1167">
            <v>0</v>
          </cell>
          <cell r="AR1167">
            <v>177</v>
          </cell>
          <cell r="BF1167">
            <v>155.1</v>
          </cell>
          <cell r="BG1167">
            <v>161.304</v>
          </cell>
          <cell r="BH1167">
            <v>161.304</v>
          </cell>
          <cell r="BI1167">
            <v>190</v>
          </cell>
          <cell r="BJ1167">
            <v>0</v>
          </cell>
        </row>
        <row r="1168">
          <cell r="D1168" t="str">
            <v>Slovenská poľnohospodárska univerzita v Nitre</v>
          </cell>
          <cell r="E1168" t="str">
            <v>Fakulta ekonomiky a manažmentu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BF1168">
            <v>0</v>
          </cell>
          <cell r="BG1168">
            <v>0</v>
          </cell>
          <cell r="BH1168">
            <v>0</v>
          </cell>
          <cell r="BI1168">
            <v>4</v>
          </cell>
          <cell r="BJ1168">
            <v>0</v>
          </cell>
        </row>
        <row r="1169">
          <cell r="D1169" t="str">
            <v>Slovenská poľnohospodárska univerzita v Nitre</v>
          </cell>
          <cell r="E1169" t="str">
            <v>Technická fakulta</v>
          </cell>
          <cell r="AN1169">
            <v>62</v>
          </cell>
          <cell r="AO1169">
            <v>68</v>
          </cell>
          <cell r="AP1169">
            <v>68</v>
          </cell>
          <cell r="AQ1169">
            <v>62</v>
          </cell>
          <cell r="AR1169">
            <v>62</v>
          </cell>
          <cell r="BF1169">
            <v>52.099999999999994</v>
          </cell>
          <cell r="BG1169">
            <v>77.10799999999999</v>
          </cell>
          <cell r="BH1169">
            <v>77.10799999999999</v>
          </cell>
          <cell r="BI1169">
            <v>68</v>
          </cell>
          <cell r="BJ1169">
            <v>0</v>
          </cell>
        </row>
        <row r="1170">
          <cell r="D1170" t="str">
            <v>Slovenská poľnohospodárska univerzita v Nitre</v>
          </cell>
          <cell r="E1170" t="str">
            <v>Fakulta biotechnológie a potravinárstva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BF1170">
            <v>0</v>
          </cell>
          <cell r="BG1170">
            <v>0</v>
          </cell>
          <cell r="BH1170">
            <v>0</v>
          </cell>
          <cell r="BI1170">
            <v>39</v>
          </cell>
          <cell r="BJ1170">
            <v>0</v>
          </cell>
        </row>
        <row r="1171">
          <cell r="D1171" t="str">
            <v>Slovenská poľnohospodárska univerzita v Nitre</v>
          </cell>
          <cell r="E1171" t="str">
            <v>Fakulta záhradníctva a krajinného inžinierstva</v>
          </cell>
          <cell r="AN1171">
            <v>94</v>
          </cell>
          <cell r="AO1171">
            <v>100</v>
          </cell>
          <cell r="AP1171">
            <v>0</v>
          </cell>
          <cell r="AQ1171">
            <v>0</v>
          </cell>
          <cell r="AR1171">
            <v>94</v>
          </cell>
          <cell r="BF1171">
            <v>82.9</v>
          </cell>
          <cell r="BG1171">
            <v>131.81100000000001</v>
          </cell>
          <cell r="BH1171">
            <v>113.28334939759037</v>
          </cell>
          <cell r="BI1171">
            <v>100</v>
          </cell>
          <cell r="BJ1171">
            <v>0</v>
          </cell>
        </row>
        <row r="1172">
          <cell r="D1172" t="str">
            <v>Slovenská poľnohospodárska univerzita v Nitre</v>
          </cell>
          <cell r="E1172" t="str">
            <v>Fakulta ekonomiky a manažmentu</v>
          </cell>
          <cell r="AN1172">
            <v>14</v>
          </cell>
          <cell r="AO1172">
            <v>15</v>
          </cell>
          <cell r="AP1172">
            <v>0</v>
          </cell>
          <cell r="AQ1172">
            <v>0</v>
          </cell>
          <cell r="AR1172">
            <v>14</v>
          </cell>
          <cell r="BF1172">
            <v>13.7</v>
          </cell>
          <cell r="BG1172">
            <v>14.247999999999999</v>
          </cell>
          <cell r="BH1172">
            <v>12.952727272727271</v>
          </cell>
          <cell r="BI1172">
            <v>15</v>
          </cell>
          <cell r="BJ1172">
            <v>0</v>
          </cell>
        </row>
        <row r="1173">
          <cell r="D1173" t="str">
            <v>Slovenská poľnohospodárska univerzita v Nitre</v>
          </cell>
          <cell r="E1173" t="str">
            <v>Fakulta ekonomiky a manažmentu</v>
          </cell>
          <cell r="AN1173">
            <v>247</v>
          </cell>
          <cell r="AO1173">
            <v>260</v>
          </cell>
          <cell r="AP1173">
            <v>0</v>
          </cell>
          <cell r="AQ1173">
            <v>0</v>
          </cell>
          <cell r="AR1173">
            <v>247</v>
          </cell>
          <cell r="BF1173">
            <v>216.39999999999998</v>
          </cell>
          <cell r="BG1173">
            <v>225.05599999999998</v>
          </cell>
          <cell r="BH1173">
            <v>225.05599999999998</v>
          </cell>
          <cell r="BI1173">
            <v>260</v>
          </cell>
          <cell r="BJ1173">
            <v>0</v>
          </cell>
        </row>
        <row r="1174">
          <cell r="D1174" t="str">
            <v>Slovenská poľnohospodárska univerzita v Nitre</v>
          </cell>
          <cell r="E1174" t="str">
            <v>Fakulta záhradníctva a krajinného inžinierstva</v>
          </cell>
          <cell r="AN1174">
            <v>67</v>
          </cell>
          <cell r="AO1174">
            <v>74</v>
          </cell>
          <cell r="AP1174">
            <v>0</v>
          </cell>
          <cell r="AQ1174">
            <v>0</v>
          </cell>
          <cell r="AR1174">
            <v>67</v>
          </cell>
          <cell r="BF1174">
            <v>55.599999999999994</v>
          </cell>
          <cell r="BG1174">
            <v>88.403999999999996</v>
          </cell>
          <cell r="BH1174">
            <v>88.403999999999996</v>
          </cell>
          <cell r="BI1174">
            <v>74</v>
          </cell>
          <cell r="BJ1174">
            <v>0</v>
          </cell>
        </row>
        <row r="1175">
          <cell r="D1175" t="str">
            <v>Slovenská poľnohospodárska univerzita v Nitre</v>
          </cell>
          <cell r="E1175" t="str">
            <v>Fakulta agrobiológie a potravinových zdrojov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29</v>
          </cell>
          <cell r="BJ1175">
            <v>0</v>
          </cell>
        </row>
        <row r="1176">
          <cell r="D1176" t="str">
            <v>Slovenská poľnohospodárska univerzita v Nitre</v>
          </cell>
          <cell r="E1176" t="str">
            <v>Fakulta záhradníctva a krajinného inžinierstva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29</v>
          </cell>
          <cell r="BJ1176">
            <v>0</v>
          </cell>
        </row>
        <row r="1177">
          <cell r="D1177" t="str">
            <v>Univerzita veterinárskeho lekárstva a farmácie v Košiciach</v>
          </cell>
          <cell r="E1177">
            <v>0</v>
          </cell>
          <cell r="AN1177">
            <v>14</v>
          </cell>
          <cell r="AO1177">
            <v>0</v>
          </cell>
          <cell r="AP1177">
            <v>0</v>
          </cell>
          <cell r="AQ1177">
            <v>0</v>
          </cell>
          <cell r="AR1177">
            <v>14</v>
          </cell>
          <cell r="BF1177">
            <v>56</v>
          </cell>
          <cell r="BG1177">
            <v>119.28</v>
          </cell>
          <cell r="BH1177">
            <v>119.28</v>
          </cell>
          <cell r="BI1177">
            <v>14</v>
          </cell>
          <cell r="BJ1177">
            <v>14</v>
          </cell>
        </row>
        <row r="1178">
          <cell r="D1178" t="str">
            <v>Univerzita veterinárskeho lekárstva a farmácie v Košiciach</v>
          </cell>
          <cell r="E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BF1178">
            <v>0</v>
          </cell>
          <cell r="BG1178">
            <v>0</v>
          </cell>
          <cell r="BH1178">
            <v>0</v>
          </cell>
          <cell r="BI1178">
            <v>3</v>
          </cell>
          <cell r="BJ1178">
            <v>0</v>
          </cell>
        </row>
        <row r="1179">
          <cell r="D1179" t="str">
            <v>Univerzita veterinárskeho lekárstva a farmácie v Košiciach</v>
          </cell>
          <cell r="E1179">
            <v>0</v>
          </cell>
          <cell r="AN1179">
            <v>7</v>
          </cell>
          <cell r="AO1179">
            <v>0</v>
          </cell>
          <cell r="AP1179">
            <v>0</v>
          </cell>
          <cell r="AQ1179">
            <v>0</v>
          </cell>
          <cell r="AR1179">
            <v>7</v>
          </cell>
          <cell r="BF1179">
            <v>21</v>
          </cell>
          <cell r="BG1179">
            <v>44.73</v>
          </cell>
          <cell r="BH1179">
            <v>44.73</v>
          </cell>
          <cell r="BI1179">
            <v>7</v>
          </cell>
          <cell r="BJ1179">
            <v>7</v>
          </cell>
        </row>
        <row r="1180">
          <cell r="D1180" t="str">
            <v>Univerzita veterinárskeho lekárstva a farmácie v Košiciach</v>
          </cell>
          <cell r="E1180">
            <v>0</v>
          </cell>
          <cell r="AN1180">
            <v>9</v>
          </cell>
          <cell r="AO1180">
            <v>0</v>
          </cell>
          <cell r="AP1180">
            <v>0</v>
          </cell>
          <cell r="AQ1180">
            <v>0</v>
          </cell>
          <cell r="AR1180">
            <v>9</v>
          </cell>
          <cell r="BF1180">
            <v>27</v>
          </cell>
          <cell r="BG1180">
            <v>57.51</v>
          </cell>
          <cell r="BH1180">
            <v>57.51</v>
          </cell>
          <cell r="BI1180">
            <v>9</v>
          </cell>
          <cell r="BJ1180">
            <v>9</v>
          </cell>
        </row>
        <row r="1181">
          <cell r="D1181" t="str">
            <v>Univerzita veterinárskeho lekárstva a farmácie v Košiciach</v>
          </cell>
          <cell r="E1181">
            <v>0</v>
          </cell>
          <cell r="AN1181">
            <v>5</v>
          </cell>
          <cell r="AO1181">
            <v>0</v>
          </cell>
          <cell r="AP1181">
            <v>0</v>
          </cell>
          <cell r="AQ1181">
            <v>5</v>
          </cell>
          <cell r="AR1181">
            <v>5</v>
          </cell>
          <cell r="BF1181">
            <v>15</v>
          </cell>
          <cell r="BG1181">
            <v>31.95</v>
          </cell>
          <cell r="BH1181">
            <v>31.95</v>
          </cell>
          <cell r="BI1181">
            <v>5</v>
          </cell>
          <cell r="BJ1181">
            <v>5</v>
          </cell>
        </row>
        <row r="1182">
          <cell r="D1182" t="str">
            <v>Univerzita veterinárskeho lekárstva a farmácie v Košiciach</v>
          </cell>
          <cell r="E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BF1182">
            <v>0</v>
          </cell>
          <cell r="BG1182">
            <v>0</v>
          </cell>
          <cell r="BH1182">
            <v>0</v>
          </cell>
          <cell r="BI1182">
            <v>1</v>
          </cell>
          <cell r="BJ1182">
            <v>0</v>
          </cell>
        </row>
        <row r="1183">
          <cell r="D1183" t="str">
            <v>Univerzita veterinárskeho lekárstva a farmácie v Košiciach</v>
          </cell>
          <cell r="E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2</v>
          </cell>
          <cell r="BJ1183">
            <v>0</v>
          </cell>
        </row>
        <row r="1184">
          <cell r="D1184" t="str">
            <v>Univerzita veterinárskeho lekárstva a farmácie v Košiciach</v>
          </cell>
          <cell r="E1184">
            <v>0</v>
          </cell>
          <cell r="AN1184">
            <v>8</v>
          </cell>
          <cell r="AO1184">
            <v>0</v>
          </cell>
          <cell r="AP1184">
            <v>0</v>
          </cell>
          <cell r="AQ1184">
            <v>8</v>
          </cell>
          <cell r="AR1184">
            <v>8</v>
          </cell>
          <cell r="BF1184">
            <v>24</v>
          </cell>
          <cell r="BG1184">
            <v>51.12</v>
          </cell>
          <cell r="BH1184">
            <v>51.12</v>
          </cell>
          <cell r="BI1184">
            <v>8</v>
          </cell>
          <cell r="BJ1184">
            <v>8</v>
          </cell>
        </row>
        <row r="1185">
          <cell r="D1185" t="str">
            <v>Univerzita veterinárskeho lekárstva a farmácie v Košiciach</v>
          </cell>
          <cell r="E1185">
            <v>0</v>
          </cell>
          <cell r="AN1185">
            <v>7</v>
          </cell>
          <cell r="AO1185">
            <v>0</v>
          </cell>
          <cell r="AP1185">
            <v>0</v>
          </cell>
          <cell r="AQ1185">
            <v>7</v>
          </cell>
          <cell r="AR1185">
            <v>7</v>
          </cell>
          <cell r="BF1185">
            <v>21</v>
          </cell>
          <cell r="BG1185">
            <v>44.73</v>
          </cell>
          <cell r="BH1185">
            <v>44.73</v>
          </cell>
          <cell r="BI1185">
            <v>7</v>
          </cell>
          <cell r="BJ1185">
            <v>7</v>
          </cell>
        </row>
        <row r="1186">
          <cell r="D1186" t="str">
            <v>Univerzita veterinárskeho lekárstva a farmácie v Košiciach</v>
          </cell>
          <cell r="E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BF1186">
            <v>0</v>
          </cell>
          <cell r="BG1186">
            <v>0</v>
          </cell>
          <cell r="BH1186">
            <v>0</v>
          </cell>
          <cell r="BI1186">
            <v>8</v>
          </cell>
          <cell r="BJ1186">
            <v>0</v>
          </cell>
        </row>
        <row r="1187">
          <cell r="D1187" t="str">
            <v>Univerzita Komenského v Bratislave</v>
          </cell>
          <cell r="E1187" t="str">
            <v>Evanjelická bohoslovecká fakulta</v>
          </cell>
          <cell r="AN1187">
            <v>4</v>
          </cell>
          <cell r="AO1187">
            <v>0</v>
          </cell>
          <cell r="AP1187">
            <v>0</v>
          </cell>
          <cell r="AQ1187">
            <v>0</v>
          </cell>
          <cell r="AR1187">
            <v>4</v>
          </cell>
          <cell r="BF1187">
            <v>16</v>
          </cell>
          <cell r="BG1187">
            <v>17.600000000000001</v>
          </cell>
          <cell r="BH1187">
            <v>17.600000000000001</v>
          </cell>
          <cell r="BI1187">
            <v>6</v>
          </cell>
          <cell r="BJ1187">
            <v>4</v>
          </cell>
        </row>
        <row r="1188">
          <cell r="D1188" t="str">
            <v>Univerzita Komenského v Bratislave</v>
          </cell>
          <cell r="E1188" t="str">
            <v>Evanjelická bohoslovecká fakulta</v>
          </cell>
          <cell r="AN1188">
            <v>6</v>
          </cell>
          <cell r="AO1188">
            <v>9</v>
          </cell>
          <cell r="AP1188">
            <v>0</v>
          </cell>
          <cell r="AQ1188">
            <v>0</v>
          </cell>
          <cell r="AR1188">
            <v>6</v>
          </cell>
          <cell r="BF1188">
            <v>9</v>
          </cell>
          <cell r="BG1188">
            <v>9</v>
          </cell>
          <cell r="BH1188">
            <v>9</v>
          </cell>
          <cell r="BI1188">
            <v>9</v>
          </cell>
          <cell r="BJ1188">
            <v>0</v>
          </cell>
        </row>
        <row r="1189">
          <cell r="D1189" t="str">
            <v>Ekonomická univerzita v Bratislave</v>
          </cell>
          <cell r="E1189" t="str">
            <v>Národohospodárska fakulta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17</v>
          </cell>
          <cell r="BJ1189">
            <v>0</v>
          </cell>
        </row>
        <row r="1190">
          <cell r="D1190" t="str">
            <v>Ekonomická univerzita v Bratislave</v>
          </cell>
          <cell r="E1190" t="str">
            <v>Fakulta podnikového manažmentu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36</v>
          </cell>
          <cell r="BJ1190">
            <v>0</v>
          </cell>
        </row>
        <row r="1191">
          <cell r="D1191" t="str">
            <v>Ekonomická univerzita v Bratislave</v>
          </cell>
          <cell r="E1191" t="str">
            <v>Podnikovohospodárska fakulta v Košiciach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5</v>
          </cell>
          <cell r="BJ1191">
            <v>0</v>
          </cell>
        </row>
        <row r="1192">
          <cell r="D1192" t="str">
            <v>Ekonomická univerzita v Bratislave</v>
          </cell>
          <cell r="E1192" t="str">
            <v>Národohospodárska fakulta</v>
          </cell>
          <cell r="AN1192">
            <v>1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64</v>
          </cell>
          <cell r="BJ1192">
            <v>0</v>
          </cell>
        </row>
        <row r="1193">
          <cell r="D1193" t="str">
            <v>Ekonomická univerzita v Bratislave</v>
          </cell>
          <cell r="E1193" t="str">
            <v>Obchodná fakulta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17</v>
          </cell>
          <cell r="BJ1193">
            <v>0</v>
          </cell>
        </row>
        <row r="1194">
          <cell r="D1194" t="str">
            <v>Ekonomická univerzita v Bratislave</v>
          </cell>
          <cell r="E1194" t="str">
            <v>Fakulta podnikového manažmentu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3</v>
          </cell>
          <cell r="BJ1194">
            <v>0</v>
          </cell>
        </row>
        <row r="1195">
          <cell r="D1195" t="str">
            <v>Ekonomická univerzita v Bratislave</v>
          </cell>
          <cell r="E1195" t="str">
            <v>Obchodná fakulta</v>
          </cell>
          <cell r="AN1195">
            <v>9</v>
          </cell>
          <cell r="AO1195">
            <v>0</v>
          </cell>
          <cell r="AP1195">
            <v>0</v>
          </cell>
          <cell r="AQ1195">
            <v>0</v>
          </cell>
          <cell r="AR1195">
            <v>9</v>
          </cell>
          <cell r="BF1195">
            <v>36</v>
          </cell>
          <cell r="BG1195">
            <v>39.6</v>
          </cell>
          <cell r="BH1195">
            <v>39.6</v>
          </cell>
          <cell r="BI1195">
            <v>11</v>
          </cell>
          <cell r="BJ1195">
            <v>9</v>
          </cell>
        </row>
        <row r="1196">
          <cell r="D1196" t="str">
            <v>Ekonomická univerzita v Bratislave</v>
          </cell>
          <cell r="E1196" t="str">
            <v>Podnikovohospodárska fakulta v Košiciach</v>
          </cell>
          <cell r="AN1196">
            <v>13</v>
          </cell>
          <cell r="AO1196">
            <v>0</v>
          </cell>
          <cell r="AP1196">
            <v>0</v>
          </cell>
          <cell r="AQ1196">
            <v>0</v>
          </cell>
          <cell r="AR1196">
            <v>13</v>
          </cell>
          <cell r="BF1196">
            <v>52</v>
          </cell>
          <cell r="BG1196">
            <v>57.2</v>
          </cell>
          <cell r="BH1196">
            <v>57.2</v>
          </cell>
          <cell r="BI1196">
            <v>13</v>
          </cell>
          <cell r="BJ1196">
            <v>13</v>
          </cell>
        </row>
        <row r="1197">
          <cell r="D1197" t="str">
            <v>Ekonomická univerzita v Bratislave</v>
          </cell>
          <cell r="E1197" t="str">
            <v>Fakulta hospodárskej informatiky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27</v>
          </cell>
          <cell r="BJ1197">
            <v>0</v>
          </cell>
        </row>
        <row r="1198">
          <cell r="D1198" t="str">
            <v>Ekonomická univerzita v Bratislave</v>
          </cell>
          <cell r="E1198" t="str">
            <v>Národohospodárska fakulta</v>
          </cell>
          <cell r="AN1198">
            <v>58</v>
          </cell>
          <cell r="AO1198">
            <v>62</v>
          </cell>
          <cell r="AP1198">
            <v>0</v>
          </cell>
          <cell r="AQ1198">
            <v>0</v>
          </cell>
          <cell r="AR1198">
            <v>58</v>
          </cell>
          <cell r="BF1198">
            <v>87</v>
          </cell>
          <cell r="BG1198">
            <v>90.48</v>
          </cell>
          <cell r="BH1198">
            <v>87.561290322580646</v>
          </cell>
          <cell r="BI1198">
            <v>62</v>
          </cell>
          <cell r="BJ1198">
            <v>0</v>
          </cell>
        </row>
        <row r="1199">
          <cell r="D1199" t="str">
            <v>Ekonomická univerzita v Bratislave</v>
          </cell>
          <cell r="E1199" t="str">
            <v>Obchodná fakulta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74</v>
          </cell>
          <cell r="BJ1199">
            <v>0</v>
          </cell>
        </row>
        <row r="1200">
          <cell r="D1200" t="str">
            <v>Ekonomická univerzita v Bratislave</v>
          </cell>
          <cell r="E1200" t="str">
            <v>Národohospodárska fakulta</v>
          </cell>
          <cell r="AN1200">
            <v>163</v>
          </cell>
          <cell r="AO1200">
            <v>171</v>
          </cell>
          <cell r="AP1200">
            <v>0</v>
          </cell>
          <cell r="AQ1200">
            <v>0</v>
          </cell>
          <cell r="AR1200">
            <v>163</v>
          </cell>
          <cell r="BF1200">
            <v>244.5</v>
          </cell>
          <cell r="BG1200">
            <v>254.28</v>
          </cell>
          <cell r="BH1200">
            <v>242.17142857142855</v>
          </cell>
          <cell r="BI1200">
            <v>171</v>
          </cell>
          <cell r="BJ1200">
            <v>0</v>
          </cell>
        </row>
        <row r="1201">
          <cell r="D1201" t="str">
            <v>Ekonomická univerzita v Bratislave</v>
          </cell>
          <cell r="E1201" t="str">
            <v>Fakulta medzinárodných vzťahov</v>
          </cell>
          <cell r="AN1201">
            <v>118</v>
          </cell>
          <cell r="AO1201">
            <v>127</v>
          </cell>
          <cell r="AP1201">
            <v>0</v>
          </cell>
          <cell r="AQ1201">
            <v>0</v>
          </cell>
          <cell r="AR1201">
            <v>118</v>
          </cell>
          <cell r="BF1201">
            <v>177</v>
          </cell>
          <cell r="BG1201">
            <v>184.08</v>
          </cell>
          <cell r="BH1201">
            <v>147.26400000000001</v>
          </cell>
          <cell r="BI1201">
            <v>127</v>
          </cell>
          <cell r="BJ1201">
            <v>0</v>
          </cell>
        </row>
        <row r="1202">
          <cell r="D1202" t="str">
            <v>Ekonomická univerzita v Bratislave</v>
          </cell>
          <cell r="E1202" t="str">
            <v>Obchodná fakulta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44</v>
          </cell>
          <cell r="BJ1202">
            <v>0</v>
          </cell>
        </row>
        <row r="1203">
          <cell r="D1203" t="str">
            <v>Ekonomická univerzita v Bratislave</v>
          </cell>
          <cell r="E1203" t="str">
            <v>Fakulta hospodárskej informatiky</v>
          </cell>
          <cell r="AN1203">
            <v>98</v>
          </cell>
          <cell r="AO1203">
            <v>108</v>
          </cell>
          <cell r="AP1203">
            <v>0</v>
          </cell>
          <cell r="AQ1203">
            <v>0</v>
          </cell>
          <cell r="AR1203">
            <v>98</v>
          </cell>
          <cell r="BF1203">
            <v>147</v>
          </cell>
          <cell r="BG1203">
            <v>152.88</v>
          </cell>
          <cell r="BH1203">
            <v>138.32</v>
          </cell>
          <cell r="BI1203">
            <v>108</v>
          </cell>
          <cell r="BJ1203">
            <v>0</v>
          </cell>
        </row>
        <row r="1204">
          <cell r="D1204" t="str">
            <v>Ekonomická univerzita v Bratislave</v>
          </cell>
          <cell r="E1204" t="str">
            <v>Národohospodárska fakulta</v>
          </cell>
          <cell r="AN1204">
            <v>43</v>
          </cell>
          <cell r="AO1204">
            <v>50</v>
          </cell>
          <cell r="AP1204">
            <v>0</v>
          </cell>
          <cell r="AQ1204">
            <v>0</v>
          </cell>
          <cell r="AR1204">
            <v>43</v>
          </cell>
          <cell r="BF1204">
            <v>64.5</v>
          </cell>
          <cell r="BG1204">
            <v>67.08</v>
          </cell>
          <cell r="BH1204">
            <v>59.188235294117646</v>
          </cell>
          <cell r="BI1204">
            <v>50</v>
          </cell>
          <cell r="BJ1204">
            <v>0</v>
          </cell>
        </row>
        <row r="1205">
          <cell r="D1205" t="str">
            <v>Ekonomická univerzita v Bratislave</v>
          </cell>
          <cell r="E1205" t="str">
            <v>Fakulta hospodárskej informatiky</v>
          </cell>
          <cell r="AN1205">
            <v>4</v>
          </cell>
          <cell r="AO1205">
            <v>0</v>
          </cell>
          <cell r="AP1205">
            <v>0</v>
          </cell>
          <cell r="AQ1205">
            <v>0</v>
          </cell>
          <cell r="AR1205">
            <v>4</v>
          </cell>
          <cell r="BF1205">
            <v>16</v>
          </cell>
          <cell r="BG1205">
            <v>17.600000000000001</v>
          </cell>
          <cell r="BH1205">
            <v>15.923809523809526</v>
          </cell>
          <cell r="BI1205">
            <v>7</v>
          </cell>
          <cell r="BJ1205">
            <v>4</v>
          </cell>
        </row>
        <row r="1206">
          <cell r="D1206" t="str">
            <v>Ekonomická univerzita v Bratislave</v>
          </cell>
          <cell r="E1206" t="str">
            <v>Fakulta podnikového manažmentu</v>
          </cell>
          <cell r="AN1206">
            <v>742</v>
          </cell>
          <cell r="AO1206">
            <v>791</v>
          </cell>
          <cell r="AP1206">
            <v>0</v>
          </cell>
          <cell r="AQ1206">
            <v>0</v>
          </cell>
          <cell r="AR1206">
            <v>742</v>
          </cell>
          <cell r="BF1206">
            <v>630.70000000000005</v>
          </cell>
          <cell r="BG1206">
            <v>655.92800000000011</v>
          </cell>
          <cell r="BH1206">
            <v>655.92800000000011</v>
          </cell>
          <cell r="BI1206">
            <v>791</v>
          </cell>
          <cell r="BJ1206">
            <v>0</v>
          </cell>
        </row>
        <row r="1207">
          <cell r="D1207" t="str">
            <v>Ekonomická univerzita v Bratislave</v>
          </cell>
          <cell r="E1207" t="str">
            <v>Fakulta medzinárodných vzťahov</v>
          </cell>
          <cell r="AN1207">
            <v>405</v>
          </cell>
          <cell r="AO1207">
            <v>443</v>
          </cell>
          <cell r="AP1207">
            <v>0</v>
          </cell>
          <cell r="AQ1207">
            <v>0</v>
          </cell>
          <cell r="AR1207">
            <v>405</v>
          </cell>
          <cell r="BF1207">
            <v>354.3</v>
          </cell>
          <cell r="BG1207">
            <v>368.47200000000004</v>
          </cell>
          <cell r="BH1207">
            <v>357.1922448979592</v>
          </cell>
          <cell r="BI1207">
            <v>443</v>
          </cell>
          <cell r="BJ1207">
            <v>0</v>
          </cell>
        </row>
        <row r="1208">
          <cell r="D1208" t="str">
            <v>Ekonomická univerzita v Bratislave</v>
          </cell>
          <cell r="E1208" t="str">
            <v>Podnikovohospodárska fakulta v Košiciach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BF1208">
            <v>0</v>
          </cell>
          <cell r="BG1208">
            <v>0</v>
          </cell>
          <cell r="BH1208">
            <v>0</v>
          </cell>
          <cell r="BI1208">
            <v>32</v>
          </cell>
          <cell r="BJ1208">
            <v>0</v>
          </cell>
        </row>
        <row r="1209">
          <cell r="D1209" t="str">
            <v>Ekonomická univerzita v Bratislave</v>
          </cell>
          <cell r="E1209" t="str">
            <v>Podnikovohospodárska fakulta v Košiciach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15</v>
          </cell>
          <cell r="BJ1209">
            <v>0</v>
          </cell>
        </row>
        <row r="1210">
          <cell r="D1210" t="str">
            <v>Ekonomická univerzita v Bratislave</v>
          </cell>
          <cell r="E1210" t="str">
            <v>Národohospodárska fakulta</v>
          </cell>
          <cell r="AN1210">
            <v>479</v>
          </cell>
          <cell r="AO1210">
            <v>514</v>
          </cell>
          <cell r="AP1210">
            <v>0</v>
          </cell>
          <cell r="AQ1210">
            <v>0</v>
          </cell>
          <cell r="AR1210">
            <v>479</v>
          </cell>
          <cell r="BF1210">
            <v>415.1</v>
          </cell>
          <cell r="BG1210">
            <v>431.70400000000006</v>
          </cell>
          <cell r="BH1210">
            <v>431.70400000000006</v>
          </cell>
          <cell r="BI1210">
            <v>514</v>
          </cell>
          <cell r="BJ1210">
            <v>0</v>
          </cell>
        </row>
        <row r="1211">
          <cell r="D1211" t="str">
            <v>Ekonomická univerzita v Bratislave</v>
          </cell>
          <cell r="E1211" t="str">
            <v>Fakulta aplikovaných jazykov</v>
          </cell>
          <cell r="AN1211">
            <v>38</v>
          </cell>
          <cell r="AO1211">
            <v>46</v>
          </cell>
          <cell r="AP1211">
            <v>0</v>
          </cell>
          <cell r="AQ1211">
            <v>0</v>
          </cell>
          <cell r="AR1211">
            <v>38</v>
          </cell>
          <cell r="BF1211">
            <v>32.299999999999997</v>
          </cell>
          <cell r="BG1211">
            <v>33.591999999999999</v>
          </cell>
          <cell r="BH1211">
            <v>33.591999999999999</v>
          </cell>
          <cell r="BI1211">
            <v>46</v>
          </cell>
          <cell r="BJ1211">
            <v>0</v>
          </cell>
        </row>
        <row r="1212">
          <cell r="D1212" t="str">
            <v>Ekonomická univerzita v Bratislave</v>
          </cell>
          <cell r="E1212" t="str">
            <v>Podnikovohospodárska fakulta v Košiciach</v>
          </cell>
          <cell r="AN1212">
            <v>53</v>
          </cell>
          <cell r="AO1212">
            <v>58</v>
          </cell>
          <cell r="AP1212">
            <v>0</v>
          </cell>
          <cell r="AQ1212">
            <v>0</v>
          </cell>
          <cell r="AR1212">
            <v>53</v>
          </cell>
          <cell r="BF1212">
            <v>46.7</v>
          </cell>
          <cell r="BG1212">
            <v>48.568000000000005</v>
          </cell>
          <cell r="BH1212">
            <v>48.568000000000005</v>
          </cell>
          <cell r="BI1212">
            <v>58</v>
          </cell>
          <cell r="BJ1212">
            <v>0</v>
          </cell>
        </row>
        <row r="1213">
          <cell r="D1213" t="str">
            <v>Ekonomická univerzita v Bratislave</v>
          </cell>
          <cell r="E1213" t="str">
            <v>Podnikovohospodárska fakulta v Košiciach</v>
          </cell>
          <cell r="AN1213">
            <v>299</v>
          </cell>
          <cell r="AO1213">
            <v>322</v>
          </cell>
          <cell r="AP1213">
            <v>0</v>
          </cell>
          <cell r="AQ1213">
            <v>0</v>
          </cell>
          <cell r="AR1213">
            <v>299</v>
          </cell>
          <cell r="BF1213">
            <v>251.3</v>
          </cell>
          <cell r="BG1213">
            <v>261.35200000000003</v>
          </cell>
          <cell r="BH1213">
            <v>257.82021621621624</v>
          </cell>
          <cell r="BI1213">
            <v>322</v>
          </cell>
          <cell r="BJ1213">
            <v>0</v>
          </cell>
        </row>
        <row r="1214">
          <cell r="D1214" t="str">
            <v>Ekonomická univerzita v Bratislave</v>
          </cell>
          <cell r="E1214" t="str">
            <v>Fakulta hospodárskej informatiky</v>
          </cell>
          <cell r="AN1214">
            <v>242</v>
          </cell>
          <cell r="AO1214">
            <v>288</v>
          </cell>
          <cell r="AP1214">
            <v>288</v>
          </cell>
          <cell r="AQ1214">
            <v>242</v>
          </cell>
          <cell r="AR1214">
            <v>242</v>
          </cell>
          <cell r="BF1214">
            <v>206.6</v>
          </cell>
          <cell r="BG1214">
            <v>305.76799999999997</v>
          </cell>
          <cell r="BH1214">
            <v>305.76799999999997</v>
          </cell>
          <cell r="BI1214">
            <v>288</v>
          </cell>
          <cell r="BJ1214">
            <v>0</v>
          </cell>
        </row>
        <row r="1215">
          <cell r="D1215" t="str">
            <v>Ekonomická univerzita v Bratislave</v>
          </cell>
          <cell r="E1215" t="str">
            <v>Národohospodárska fakulta</v>
          </cell>
          <cell r="AN1215">
            <v>59</v>
          </cell>
          <cell r="AO1215">
            <v>62</v>
          </cell>
          <cell r="AP1215">
            <v>0</v>
          </cell>
          <cell r="AQ1215">
            <v>0</v>
          </cell>
          <cell r="AR1215">
            <v>59</v>
          </cell>
          <cell r="BF1215">
            <v>50.3</v>
          </cell>
          <cell r="BG1215">
            <v>52.311999999999998</v>
          </cell>
          <cell r="BH1215">
            <v>52.311999999999998</v>
          </cell>
          <cell r="BI1215">
            <v>62</v>
          </cell>
          <cell r="BJ1215">
            <v>0</v>
          </cell>
        </row>
        <row r="1216">
          <cell r="D1216" t="str">
            <v>Ekonomická univerzita v Bratislave</v>
          </cell>
          <cell r="E1216" t="str">
            <v>Fakulta aplikovaných jazykov</v>
          </cell>
          <cell r="AN1216">
            <v>58</v>
          </cell>
          <cell r="AO1216">
            <v>73</v>
          </cell>
          <cell r="AP1216">
            <v>0</v>
          </cell>
          <cell r="AQ1216">
            <v>0</v>
          </cell>
          <cell r="AR1216">
            <v>58</v>
          </cell>
          <cell r="BF1216">
            <v>50.8</v>
          </cell>
          <cell r="BG1216">
            <v>52.832000000000001</v>
          </cell>
          <cell r="BH1216">
            <v>52.832000000000001</v>
          </cell>
          <cell r="BI1216">
            <v>73</v>
          </cell>
          <cell r="BJ1216">
            <v>0</v>
          </cell>
        </row>
        <row r="1217">
          <cell r="D1217" t="str">
            <v>Ekonomická univerzita v Bratislave</v>
          </cell>
          <cell r="E1217" t="str">
            <v>Fakulta hospodárskej informatiky</v>
          </cell>
          <cell r="AN1217">
            <v>70</v>
          </cell>
          <cell r="AO1217">
            <v>79</v>
          </cell>
          <cell r="AP1217">
            <v>0</v>
          </cell>
          <cell r="AQ1217">
            <v>0</v>
          </cell>
          <cell r="AR1217">
            <v>70</v>
          </cell>
          <cell r="BF1217">
            <v>59.5</v>
          </cell>
          <cell r="BG1217">
            <v>61.88</v>
          </cell>
          <cell r="BH1217">
            <v>58.93333333333333</v>
          </cell>
          <cell r="BI1217">
            <v>79</v>
          </cell>
          <cell r="BJ1217">
            <v>0</v>
          </cell>
        </row>
        <row r="1218">
          <cell r="D1218" t="str">
            <v>Ekonomická univerzita v Bratislave</v>
          </cell>
          <cell r="E1218" t="str">
            <v>Národohospodárska fakulta</v>
          </cell>
          <cell r="AN1218">
            <v>46</v>
          </cell>
          <cell r="AO1218">
            <v>51</v>
          </cell>
          <cell r="AP1218">
            <v>0</v>
          </cell>
          <cell r="AQ1218">
            <v>0</v>
          </cell>
          <cell r="AR1218">
            <v>46</v>
          </cell>
          <cell r="BF1218">
            <v>40</v>
          </cell>
          <cell r="BG1218">
            <v>41.6</v>
          </cell>
          <cell r="BH1218">
            <v>41.6</v>
          </cell>
          <cell r="BI1218">
            <v>51</v>
          </cell>
          <cell r="BJ1218">
            <v>0</v>
          </cell>
        </row>
        <row r="1219">
          <cell r="D1219" t="str">
            <v>Ekonomická univerzita v Bratislave</v>
          </cell>
          <cell r="E1219" t="str">
            <v>Fakulta podnikového manažmentu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BF1219">
            <v>0</v>
          </cell>
          <cell r="BG1219">
            <v>0</v>
          </cell>
          <cell r="BH1219">
            <v>0</v>
          </cell>
          <cell r="BI1219">
            <v>7</v>
          </cell>
          <cell r="BJ1219">
            <v>0</v>
          </cell>
        </row>
        <row r="1220">
          <cell r="D1220" t="str">
            <v>Ekonomická univerzita v Bratislave</v>
          </cell>
          <cell r="E1220" t="str">
            <v>Fakulta podnikového manažmentu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BF1220">
            <v>0</v>
          </cell>
          <cell r="BG1220">
            <v>0</v>
          </cell>
          <cell r="BH1220">
            <v>0</v>
          </cell>
          <cell r="BI1220">
            <v>8</v>
          </cell>
          <cell r="BJ1220">
            <v>0</v>
          </cell>
        </row>
        <row r="1221">
          <cell r="D1221" t="str">
            <v>Univerzita Komenského v Bratislave</v>
          </cell>
          <cell r="E1221" t="str">
            <v>Fakulta telesnej výchovy a športu</v>
          </cell>
          <cell r="AN1221">
            <v>22</v>
          </cell>
          <cell r="AO1221">
            <v>24</v>
          </cell>
          <cell r="AP1221">
            <v>0</v>
          </cell>
          <cell r="AQ1221">
            <v>0</v>
          </cell>
          <cell r="AR1221">
            <v>22</v>
          </cell>
          <cell r="BF1221">
            <v>33</v>
          </cell>
          <cell r="BG1221">
            <v>39.269999999999996</v>
          </cell>
          <cell r="BH1221">
            <v>37.088333333333331</v>
          </cell>
          <cell r="BI1221">
            <v>24</v>
          </cell>
          <cell r="BJ1221">
            <v>0</v>
          </cell>
        </row>
        <row r="1222">
          <cell r="D1222" t="str">
            <v>Univerzita Komenského v Bratislave</v>
          </cell>
          <cell r="E1222" t="str">
            <v>Fakulta telesnej výchovy a športu</v>
          </cell>
          <cell r="AN1222">
            <v>73</v>
          </cell>
          <cell r="AO1222">
            <v>93</v>
          </cell>
          <cell r="AP1222">
            <v>0</v>
          </cell>
          <cell r="AQ1222">
            <v>0</v>
          </cell>
          <cell r="AR1222">
            <v>73</v>
          </cell>
          <cell r="BF1222">
            <v>61.9</v>
          </cell>
          <cell r="BG1222">
            <v>73.661000000000001</v>
          </cell>
          <cell r="BH1222">
            <v>73.661000000000001</v>
          </cell>
          <cell r="BI1222">
            <v>93</v>
          </cell>
          <cell r="BJ1222">
            <v>0</v>
          </cell>
        </row>
        <row r="1223">
          <cell r="D1223" t="str">
            <v>Univerzita Komenského v Bratislave</v>
          </cell>
          <cell r="E1223" t="str">
            <v>Fakulta telesnej výchovy a športu</v>
          </cell>
          <cell r="AN1223">
            <v>115</v>
          </cell>
          <cell r="AO1223">
            <v>138</v>
          </cell>
          <cell r="AP1223">
            <v>0</v>
          </cell>
          <cell r="AQ1223">
            <v>0</v>
          </cell>
          <cell r="AR1223">
            <v>115</v>
          </cell>
          <cell r="BF1223">
            <v>97.9</v>
          </cell>
          <cell r="BG1223">
            <v>116.501</v>
          </cell>
          <cell r="BH1223">
            <v>116.501</v>
          </cell>
          <cell r="BI1223">
            <v>138</v>
          </cell>
          <cell r="BJ1223">
            <v>0</v>
          </cell>
        </row>
        <row r="1224">
          <cell r="D1224" t="str">
            <v>Univerzita Komenského v Bratislave</v>
          </cell>
          <cell r="E1224" t="str">
            <v>Fakulta telesnej výchovy a športu</v>
          </cell>
          <cell r="AN1224">
            <v>28</v>
          </cell>
          <cell r="AO1224">
            <v>31</v>
          </cell>
          <cell r="AP1224">
            <v>0</v>
          </cell>
          <cell r="AQ1224">
            <v>0</v>
          </cell>
          <cell r="AR1224">
            <v>28</v>
          </cell>
          <cell r="BF1224">
            <v>42</v>
          </cell>
          <cell r="BG1224">
            <v>49.98</v>
          </cell>
          <cell r="BH1224">
            <v>49.98</v>
          </cell>
          <cell r="BI1224">
            <v>31</v>
          </cell>
          <cell r="BJ1224">
            <v>0</v>
          </cell>
        </row>
        <row r="1225">
          <cell r="D1225" t="str">
            <v>Univerzita Komenského v Bratislave</v>
          </cell>
          <cell r="E1225" t="str">
            <v>Fakulta telesnej výchovy a športu</v>
          </cell>
          <cell r="AN1225">
            <v>69</v>
          </cell>
          <cell r="AO1225">
            <v>77</v>
          </cell>
          <cell r="AP1225">
            <v>0</v>
          </cell>
          <cell r="AQ1225">
            <v>0</v>
          </cell>
          <cell r="AR1225">
            <v>69</v>
          </cell>
          <cell r="BF1225">
            <v>103.5</v>
          </cell>
          <cell r="BG1225">
            <v>123.16499999999999</v>
          </cell>
          <cell r="BH1225">
            <v>123.16499999999999</v>
          </cell>
          <cell r="BI1225">
            <v>77</v>
          </cell>
          <cell r="BJ1225">
            <v>0</v>
          </cell>
        </row>
        <row r="1226">
          <cell r="D1226" t="str">
            <v>Univerzita Komenského v Bratislave</v>
          </cell>
          <cell r="E1226" t="str">
            <v>Fakulta telesnej výchovy a športu</v>
          </cell>
          <cell r="AN1226">
            <v>15.5</v>
          </cell>
          <cell r="AO1226">
            <v>16.5</v>
          </cell>
          <cell r="AP1226">
            <v>0</v>
          </cell>
          <cell r="AQ1226">
            <v>0</v>
          </cell>
          <cell r="AR1226">
            <v>15.5</v>
          </cell>
          <cell r="BF1226">
            <v>23.25</v>
          </cell>
          <cell r="BG1226">
            <v>27.6675</v>
          </cell>
          <cell r="BH1226">
            <v>27.6675</v>
          </cell>
          <cell r="BI1226">
            <v>16.5</v>
          </cell>
          <cell r="BJ1226">
            <v>0</v>
          </cell>
        </row>
        <row r="1227">
          <cell r="D1227" t="str">
            <v>Univerzita Komenského v Bratislave</v>
          </cell>
          <cell r="E1227" t="str">
            <v>Prírodovedecká fakulta</v>
          </cell>
          <cell r="AN1227">
            <v>17.5</v>
          </cell>
          <cell r="AO1227">
            <v>18</v>
          </cell>
          <cell r="AP1227">
            <v>18</v>
          </cell>
          <cell r="AQ1227">
            <v>17.5</v>
          </cell>
          <cell r="AR1227">
            <v>17.5</v>
          </cell>
          <cell r="BF1227">
            <v>26.25</v>
          </cell>
          <cell r="BG1227">
            <v>37.799999999999997</v>
          </cell>
          <cell r="BH1227">
            <v>36.54</v>
          </cell>
          <cell r="BI1227">
            <v>18</v>
          </cell>
          <cell r="BJ1227">
            <v>0</v>
          </cell>
        </row>
        <row r="1228">
          <cell r="D1228" t="str">
            <v>Univerzita Komenského v Bratislave</v>
          </cell>
          <cell r="E1228" t="str">
            <v>Fakulta telesnej výchovy a športu</v>
          </cell>
          <cell r="AN1228">
            <v>58</v>
          </cell>
          <cell r="AO1228">
            <v>76</v>
          </cell>
          <cell r="AP1228">
            <v>0</v>
          </cell>
          <cell r="AQ1228">
            <v>0</v>
          </cell>
          <cell r="AR1228">
            <v>58</v>
          </cell>
          <cell r="BF1228">
            <v>51.4</v>
          </cell>
          <cell r="BG1228">
            <v>61.165999999999997</v>
          </cell>
          <cell r="BH1228">
            <v>61.165999999999997</v>
          </cell>
          <cell r="BI1228">
            <v>76</v>
          </cell>
          <cell r="BJ1228">
            <v>0</v>
          </cell>
        </row>
        <row r="1229">
          <cell r="D1229" t="str">
            <v>Univerzita Komenského v Bratislave</v>
          </cell>
          <cell r="E1229" t="str">
            <v>Fakulta telesnej výchovy a športu</v>
          </cell>
          <cell r="AN1229">
            <v>27.5</v>
          </cell>
          <cell r="AO1229">
            <v>32</v>
          </cell>
          <cell r="AP1229">
            <v>0</v>
          </cell>
          <cell r="AQ1229">
            <v>0</v>
          </cell>
          <cell r="AR1229">
            <v>27.5</v>
          </cell>
          <cell r="BF1229">
            <v>23.75</v>
          </cell>
          <cell r="BG1229">
            <v>28.262499999999999</v>
          </cell>
          <cell r="BH1229">
            <v>28.262499999999999</v>
          </cell>
          <cell r="BI1229">
            <v>32</v>
          </cell>
          <cell r="BJ1229">
            <v>0</v>
          </cell>
        </row>
        <row r="1230">
          <cell r="D1230" t="str">
            <v>Univerzita Komenského v Bratislave</v>
          </cell>
          <cell r="E1230" t="str">
            <v>Prírodovedecká fakulta</v>
          </cell>
          <cell r="AN1230">
            <v>49.5</v>
          </cell>
          <cell r="AO1230">
            <v>55</v>
          </cell>
          <cell r="AP1230">
            <v>55</v>
          </cell>
          <cell r="AQ1230">
            <v>49.5</v>
          </cell>
          <cell r="AR1230">
            <v>49.5</v>
          </cell>
          <cell r="BF1230">
            <v>41.7</v>
          </cell>
          <cell r="BG1230">
            <v>60.048000000000002</v>
          </cell>
          <cell r="BH1230">
            <v>60.048000000000002</v>
          </cell>
          <cell r="BI1230">
            <v>55</v>
          </cell>
          <cell r="BJ1230">
            <v>0</v>
          </cell>
        </row>
        <row r="1231">
          <cell r="D1231" t="str">
            <v>Univerzita Komenského v Bratislave</v>
          </cell>
          <cell r="E1231" t="str">
            <v>Pedagogická fakulta</v>
          </cell>
          <cell r="AN1231">
            <v>69</v>
          </cell>
          <cell r="AO1231">
            <v>75.5</v>
          </cell>
          <cell r="AP1231">
            <v>0</v>
          </cell>
          <cell r="AQ1231">
            <v>0</v>
          </cell>
          <cell r="AR1231">
            <v>69</v>
          </cell>
          <cell r="BF1231">
            <v>59.4</v>
          </cell>
          <cell r="BG1231">
            <v>64.746000000000009</v>
          </cell>
          <cell r="BH1231">
            <v>64.746000000000009</v>
          </cell>
          <cell r="BI1231">
            <v>75.5</v>
          </cell>
          <cell r="BJ1231">
            <v>0</v>
          </cell>
        </row>
        <row r="1232">
          <cell r="D1232" t="str">
            <v>Univerzita Komenského v Bratislave</v>
          </cell>
          <cell r="E1232" t="str">
            <v>Fakulta telesnej výchovy a športu</v>
          </cell>
          <cell r="AN1232">
            <v>42</v>
          </cell>
          <cell r="AO1232">
            <v>50</v>
          </cell>
          <cell r="AP1232">
            <v>0</v>
          </cell>
          <cell r="AQ1232">
            <v>0</v>
          </cell>
          <cell r="AR1232">
            <v>42</v>
          </cell>
          <cell r="BF1232">
            <v>35.700000000000003</v>
          </cell>
          <cell r="BG1232">
            <v>42.483000000000004</v>
          </cell>
          <cell r="BH1232">
            <v>42.483000000000004</v>
          </cell>
          <cell r="BI1232">
            <v>50</v>
          </cell>
          <cell r="BJ1232">
            <v>0</v>
          </cell>
        </row>
        <row r="1233">
          <cell r="D1233" t="str">
            <v>Univerzita Komenského v Bratislave</v>
          </cell>
          <cell r="E1233" t="str">
            <v>Fakulta telesnej výchovy a športu</v>
          </cell>
          <cell r="AN1233">
            <v>36</v>
          </cell>
          <cell r="AO1233">
            <v>43</v>
          </cell>
          <cell r="AP1233">
            <v>0</v>
          </cell>
          <cell r="AQ1233">
            <v>0</v>
          </cell>
          <cell r="AR1233">
            <v>36</v>
          </cell>
          <cell r="BF1233">
            <v>29.099999999999998</v>
          </cell>
          <cell r="BG1233">
            <v>32.4465</v>
          </cell>
          <cell r="BH1233">
            <v>32.4465</v>
          </cell>
          <cell r="BI1233">
            <v>43</v>
          </cell>
          <cell r="BJ1233">
            <v>0</v>
          </cell>
        </row>
        <row r="1234">
          <cell r="D1234" t="str">
            <v>Univerzita Komenského v Bratislave</v>
          </cell>
          <cell r="E1234" t="str">
            <v>Fakulta sociálnych a ekonomických vied</v>
          </cell>
          <cell r="AN1234">
            <v>99</v>
          </cell>
          <cell r="AO1234">
            <v>106</v>
          </cell>
          <cell r="AP1234">
            <v>0</v>
          </cell>
          <cell r="AQ1234">
            <v>0</v>
          </cell>
          <cell r="AR1234">
            <v>99</v>
          </cell>
          <cell r="BF1234">
            <v>148.5</v>
          </cell>
          <cell r="BG1234">
            <v>148.5</v>
          </cell>
          <cell r="BH1234">
            <v>136.125</v>
          </cell>
          <cell r="BI1234">
            <v>106</v>
          </cell>
          <cell r="BJ1234">
            <v>0</v>
          </cell>
        </row>
        <row r="1235">
          <cell r="D1235" t="str">
            <v>Univerzita Komenského v Bratislave</v>
          </cell>
          <cell r="E1235" t="str">
            <v>Fakulta sociálnych a ekonomických vied</v>
          </cell>
          <cell r="AN1235">
            <v>161</v>
          </cell>
          <cell r="AO1235">
            <v>172</v>
          </cell>
          <cell r="AP1235">
            <v>0</v>
          </cell>
          <cell r="AQ1235">
            <v>0</v>
          </cell>
          <cell r="AR1235">
            <v>161</v>
          </cell>
          <cell r="BF1235">
            <v>131.6</v>
          </cell>
          <cell r="BG1235">
            <v>131.6</v>
          </cell>
          <cell r="BH1235">
            <v>131.6</v>
          </cell>
          <cell r="BI1235">
            <v>172</v>
          </cell>
          <cell r="BJ1235">
            <v>0</v>
          </cell>
        </row>
        <row r="1236">
          <cell r="D1236" t="str">
            <v>Univerzita Komenského v Bratislave</v>
          </cell>
          <cell r="E1236" t="str">
            <v>Fakulta sociálnych a ekonomických vied</v>
          </cell>
          <cell r="AN1236">
            <v>20</v>
          </cell>
          <cell r="AO1236">
            <v>24</v>
          </cell>
          <cell r="AP1236">
            <v>0</v>
          </cell>
          <cell r="AQ1236">
            <v>0</v>
          </cell>
          <cell r="AR1236">
            <v>20</v>
          </cell>
          <cell r="BF1236">
            <v>30</v>
          </cell>
          <cell r="BG1236">
            <v>30</v>
          </cell>
          <cell r="BH1236">
            <v>23.333333333333332</v>
          </cell>
          <cell r="BI1236">
            <v>24</v>
          </cell>
          <cell r="BJ1236">
            <v>0</v>
          </cell>
        </row>
        <row r="1237">
          <cell r="D1237" t="str">
            <v>Paneurópska vysoká škola</v>
          </cell>
          <cell r="E1237" t="str">
            <v>Fakulta práva</v>
          </cell>
          <cell r="AN1237">
            <v>0</v>
          </cell>
          <cell r="AO1237">
            <v>90</v>
          </cell>
          <cell r="AP1237">
            <v>0</v>
          </cell>
          <cell r="AQ1237">
            <v>0</v>
          </cell>
          <cell r="AR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90</v>
          </cell>
          <cell r="BJ1237">
            <v>0</v>
          </cell>
        </row>
        <row r="1238">
          <cell r="D1238" t="str">
            <v>Paneurópska vysoká škola</v>
          </cell>
          <cell r="E1238" t="str">
            <v>Fakulta masmédií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3</v>
          </cell>
          <cell r="BJ1238">
            <v>0</v>
          </cell>
        </row>
        <row r="1239">
          <cell r="D1239" t="str">
            <v>Paneurópska vysoká škola</v>
          </cell>
          <cell r="E1239" t="str">
            <v>Fakulta informatiky</v>
          </cell>
          <cell r="AN1239">
            <v>3</v>
          </cell>
          <cell r="AO1239">
            <v>64</v>
          </cell>
          <cell r="AP1239">
            <v>64</v>
          </cell>
          <cell r="AQ1239">
            <v>3</v>
          </cell>
          <cell r="AR1239">
            <v>3</v>
          </cell>
          <cell r="BF1239">
            <v>2.0999999999999996</v>
          </cell>
          <cell r="BG1239">
            <v>3.1079999999999997</v>
          </cell>
          <cell r="BH1239">
            <v>3.1079999999999997</v>
          </cell>
          <cell r="BI1239">
            <v>64</v>
          </cell>
          <cell r="BJ1239">
            <v>0</v>
          </cell>
        </row>
        <row r="1240">
          <cell r="D1240" t="str">
            <v>Paneurópska vysoká škola</v>
          </cell>
          <cell r="E1240" t="str">
            <v>Fakulta ekonómie a podnikania</v>
          </cell>
          <cell r="AN1240">
            <v>0</v>
          </cell>
          <cell r="AO1240">
            <v>116</v>
          </cell>
          <cell r="AP1240">
            <v>0</v>
          </cell>
          <cell r="AQ1240">
            <v>0</v>
          </cell>
          <cell r="AR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116</v>
          </cell>
          <cell r="BJ1240">
            <v>0</v>
          </cell>
        </row>
        <row r="1241">
          <cell r="D1241" t="str">
            <v>Katolícka univerzita v Ružomberku</v>
          </cell>
          <cell r="E1241" t="str">
            <v>Filozofická fakulta</v>
          </cell>
          <cell r="AN1241">
            <v>10</v>
          </cell>
          <cell r="AO1241">
            <v>12.5</v>
          </cell>
          <cell r="AP1241">
            <v>0</v>
          </cell>
          <cell r="AQ1241">
            <v>0</v>
          </cell>
          <cell r="AR1241">
            <v>10</v>
          </cell>
          <cell r="BF1241">
            <v>15</v>
          </cell>
          <cell r="BG1241">
            <v>16.350000000000001</v>
          </cell>
          <cell r="BH1241">
            <v>15.092307692307694</v>
          </cell>
          <cell r="BI1241">
            <v>12.5</v>
          </cell>
          <cell r="BJ1241">
            <v>0</v>
          </cell>
        </row>
        <row r="1242">
          <cell r="D1242" t="str">
            <v>Katolícka univerzita v Ružomberku</v>
          </cell>
          <cell r="E1242" t="str">
            <v>Filozofická fakulta</v>
          </cell>
          <cell r="AN1242">
            <v>3</v>
          </cell>
          <cell r="AO1242">
            <v>4</v>
          </cell>
          <cell r="AP1242">
            <v>0</v>
          </cell>
          <cell r="AQ1242">
            <v>0</v>
          </cell>
          <cell r="AR1242">
            <v>3</v>
          </cell>
          <cell r="BF1242">
            <v>4.5</v>
          </cell>
          <cell r="BG1242">
            <v>4.9050000000000002</v>
          </cell>
          <cell r="BH1242">
            <v>4.0875000000000004</v>
          </cell>
          <cell r="BI1242">
            <v>4</v>
          </cell>
          <cell r="BJ1242">
            <v>0</v>
          </cell>
        </row>
        <row r="1243">
          <cell r="D1243" t="str">
            <v>Katolícka univerzita v Ružomberku</v>
          </cell>
          <cell r="E1243" t="str">
            <v>Filozofická fakulta</v>
          </cell>
          <cell r="AN1243">
            <v>12.5</v>
          </cell>
          <cell r="AO1243">
            <v>17</v>
          </cell>
          <cell r="AP1243">
            <v>0</v>
          </cell>
          <cell r="AQ1243">
            <v>0</v>
          </cell>
          <cell r="AR1243">
            <v>12.5</v>
          </cell>
          <cell r="BF1243">
            <v>11.3</v>
          </cell>
          <cell r="BG1243">
            <v>12.317000000000002</v>
          </cell>
          <cell r="BH1243">
            <v>12.317000000000002</v>
          </cell>
          <cell r="BI1243">
            <v>17</v>
          </cell>
          <cell r="BJ1243">
            <v>0</v>
          </cell>
        </row>
        <row r="1244">
          <cell r="D1244" t="str">
            <v>Katolícka univerzita v Ružomberku</v>
          </cell>
          <cell r="E1244" t="str">
            <v>Filozofická fakulta</v>
          </cell>
          <cell r="AN1244">
            <v>3.5</v>
          </cell>
          <cell r="AO1244">
            <v>5</v>
          </cell>
          <cell r="AP1244">
            <v>0</v>
          </cell>
          <cell r="AQ1244">
            <v>0</v>
          </cell>
          <cell r="AR1244">
            <v>3.5</v>
          </cell>
          <cell r="BF1244">
            <v>2.75</v>
          </cell>
          <cell r="BG1244">
            <v>2.9975000000000001</v>
          </cell>
          <cell r="BH1244">
            <v>2.9975000000000001</v>
          </cell>
          <cell r="BI1244">
            <v>5</v>
          </cell>
          <cell r="BJ1244">
            <v>0</v>
          </cell>
        </row>
        <row r="1245">
          <cell r="D1245" t="str">
            <v>Katolícka univerzita v Ružomberku</v>
          </cell>
          <cell r="E1245" t="str">
            <v>Filozofická fakulta</v>
          </cell>
          <cell r="AN1245">
            <v>7</v>
          </cell>
          <cell r="AO1245">
            <v>9</v>
          </cell>
          <cell r="AP1245">
            <v>0</v>
          </cell>
          <cell r="AQ1245">
            <v>0</v>
          </cell>
          <cell r="AR1245">
            <v>7</v>
          </cell>
          <cell r="BF1245">
            <v>10.5</v>
          </cell>
          <cell r="BG1245">
            <v>10.5</v>
          </cell>
          <cell r="BH1245">
            <v>7.5526315789473681</v>
          </cell>
          <cell r="BI1245">
            <v>9</v>
          </cell>
          <cell r="BJ1245">
            <v>0</v>
          </cell>
        </row>
        <row r="1246">
          <cell r="D1246" t="str">
            <v>Univerzita Komenského v Bratislave</v>
          </cell>
          <cell r="E1246" t="str">
            <v>Fakulta matematiky, fyziky a informatiky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3</v>
          </cell>
          <cell r="BJ1246">
            <v>0</v>
          </cell>
        </row>
        <row r="1247">
          <cell r="D1247" t="str">
            <v>Univerzita Komenského v Bratislave</v>
          </cell>
          <cell r="E1247" t="str">
            <v>Fakulta matematiky, fyziky a informatiky</v>
          </cell>
          <cell r="AN1247">
            <v>1</v>
          </cell>
          <cell r="AO1247">
            <v>2.5</v>
          </cell>
          <cell r="AP1247">
            <v>2.5</v>
          </cell>
          <cell r="AQ1247">
            <v>1</v>
          </cell>
          <cell r="AR1247">
            <v>1</v>
          </cell>
          <cell r="BF1247">
            <v>1.5</v>
          </cell>
          <cell r="BG1247">
            <v>1.7849999999999999</v>
          </cell>
          <cell r="BH1247">
            <v>1.7849999999999999</v>
          </cell>
          <cell r="BI1247">
            <v>2.5</v>
          </cell>
          <cell r="BJ1247">
            <v>0</v>
          </cell>
        </row>
        <row r="1248">
          <cell r="D1248" t="str">
            <v>Univerzita Komenského v Bratislave</v>
          </cell>
          <cell r="E1248" t="str">
            <v>Fakulta matematiky, fyziky a informatiky</v>
          </cell>
          <cell r="AN1248">
            <v>0</v>
          </cell>
          <cell r="AO1248">
            <v>0.5</v>
          </cell>
          <cell r="AP1248">
            <v>0</v>
          </cell>
          <cell r="AQ1248">
            <v>0</v>
          </cell>
          <cell r="AR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0.5</v>
          </cell>
          <cell r="BJ1248">
            <v>0</v>
          </cell>
        </row>
        <row r="1249">
          <cell r="D1249" t="str">
            <v>Univerzita Komenského v Bratislave</v>
          </cell>
          <cell r="E1249" t="str">
            <v>Fakulta matematiky, fyziky a informatiky</v>
          </cell>
          <cell r="AN1249">
            <v>2</v>
          </cell>
          <cell r="AO1249">
            <v>0</v>
          </cell>
          <cell r="AP1249">
            <v>0</v>
          </cell>
          <cell r="AQ1249">
            <v>2</v>
          </cell>
          <cell r="AR1249">
            <v>2</v>
          </cell>
          <cell r="BF1249">
            <v>6</v>
          </cell>
          <cell r="BG1249">
            <v>12.78</v>
          </cell>
          <cell r="BH1249">
            <v>12.78</v>
          </cell>
          <cell r="BI1249">
            <v>2</v>
          </cell>
          <cell r="BJ1249">
            <v>2</v>
          </cell>
        </row>
        <row r="1250">
          <cell r="D1250" t="str">
            <v>Univerzita Komenského v Bratislave</v>
          </cell>
          <cell r="E1250" t="str">
            <v>Fakulta matematiky, fyziky a informatiky</v>
          </cell>
          <cell r="AN1250">
            <v>4</v>
          </cell>
          <cell r="AO1250">
            <v>0</v>
          </cell>
          <cell r="AP1250">
            <v>0</v>
          </cell>
          <cell r="AQ1250">
            <v>4</v>
          </cell>
          <cell r="AR1250">
            <v>4</v>
          </cell>
          <cell r="BF1250">
            <v>12</v>
          </cell>
          <cell r="BG1250">
            <v>25.56</v>
          </cell>
          <cell r="BH1250">
            <v>25.56</v>
          </cell>
          <cell r="BI1250">
            <v>4</v>
          </cell>
          <cell r="BJ1250">
            <v>4</v>
          </cell>
        </row>
        <row r="1251">
          <cell r="D1251" t="str">
            <v>Univerzita Komenského v Bratislave</v>
          </cell>
          <cell r="E1251" t="str">
            <v>Fakulta matematiky, fyziky a informatiky</v>
          </cell>
          <cell r="AN1251">
            <v>15</v>
          </cell>
          <cell r="AO1251">
            <v>0</v>
          </cell>
          <cell r="AP1251">
            <v>0</v>
          </cell>
          <cell r="AQ1251">
            <v>15</v>
          </cell>
          <cell r="AR1251">
            <v>15</v>
          </cell>
          <cell r="BF1251">
            <v>45</v>
          </cell>
          <cell r="BG1251">
            <v>95.85</v>
          </cell>
          <cell r="BH1251">
            <v>95.85</v>
          </cell>
          <cell r="BI1251">
            <v>15</v>
          </cell>
          <cell r="BJ1251">
            <v>15</v>
          </cell>
        </row>
        <row r="1252">
          <cell r="D1252" t="str">
            <v>Univerzita Komenského v Bratislave</v>
          </cell>
          <cell r="E1252" t="str">
            <v>Fakulta matematiky, fyziky a informatiky</v>
          </cell>
          <cell r="AN1252">
            <v>59</v>
          </cell>
          <cell r="AO1252">
            <v>60</v>
          </cell>
          <cell r="AP1252">
            <v>0</v>
          </cell>
          <cell r="AQ1252">
            <v>0</v>
          </cell>
          <cell r="AR1252">
            <v>59</v>
          </cell>
          <cell r="BF1252">
            <v>88.5</v>
          </cell>
          <cell r="BG1252">
            <v>116.82000000000001</v>
          </cell>
          <cell r="BH1252">
            <v>109.28322580645163</v>
          </cell>
          <cell r="BI1252">
            <v>60</v>
          </cell>
          <cell r="BJ1252">
            <v>0</v>
          </cell>
        </row>
        <row r="1253">
          <cell r="D1253" t="str">
            <v>Univerzita Komenského v Bratislave</v>
          </cell>
          <cell r="E1253" t="str">
            <v>Fakulta matematiky, fyziky a informatiky</v>
          </cell>
          <cell r="AN1253">
            <v>33</v>
          </cell>
          <cell r="AO1253">
            <v>39</v>
          </cell>
          <cell r="AP1253">
            <v>39</v>
          </cell>
          <cell r="AQ1253">
            <v>33</v>
          </cell>
          <cell r="AR1253">
            <v>33</v>
          </cell>
          <cell r="BF1253">
            <v>49.5</v>
          </cell>
          <cell r="BG1253">
            <v>73.260000000000005</v>
          </cell>
          <cell r="BH1253">
            <v>73.260000000000005</v>
          </cell>
          <cell r="BI1253">
            <v>39</v>
          </cell>
          <cell r="BJ1253">
            <v>0</v>
          </cell>
        </row>
        <row r="1254">
          <cell r="D1254" t="str">
            <v>Univerzita Komenského v Bratislave</v>
          </cell>
          <cell r="E1254" t="str">
            <v>Fakulta matematiky, fyziky a informatiky</v>
          </cell>
          <cell r="AN1254">
            <v>10</v>
          </cell>
          <cell r="AO1254">
            <v>11</v>
          </cell>
          <cell r="AP1254">
            <v>11</v>
          </cell>
          <cell r="AQ1254">
            <v>10</v>
          </cell>
          <cell r="AR1254">
            <v>10</v>
          </cell>
          <cell r="BF1254">
            <v>15</v>
          </cell>
          <cell r="BG1254">
            <v>19.8</v>
          </cell>
          <cell r="BH1254">
            <v>19.8</v>
          </cell>
          <cell r="BI1254">
            <v>11</v>
          </cell>
          <cell r="BJ1254">
            <v>0</v>
          </cell>
        </row>
        <row r="1255">
          <cell r="D1255" t="str">
            <v>Univerzita Komenského v Bratislave</v>
          </cell>
          <cell r="E1255" t="str">
            <v>Fakulta matematiky, fyziky a informatiky</v>
          </cell>
          <cell r="AN1255">
            <v>21</v>
          </cell>
          <cell r="AO1255">
            <v>21</v>
          </cell>
          <cell r="AP1255">
            <v>0</v>
          </cell>
          <cell r="AQ1255">
            <v>0</v>
          </cell>
          <cell r="AR1255">
            <v>21</v>
          </cell>
          <cell r="BF1255">
            <v>31.5</v>
          </cell>
          <cell r="BG1255">
            <v>72.607499999999987</v>
          </cell>
          <cell r="BH1255">
            <v>63.531562499999993</v>
          </cell>
          <cell r="BI1255">
            <v>21</v>
          </cell>
          <cell r="BJ1255">
            <v>0</v>
          </cell>
        </row>
        <row r="1256">
          <cell r="D1256" t="str">
            <v>Univerzita Komenského v Bratislave</v>
          </cell>
          <cell r="E1256" t="str">
            <v>Fakulta matematiky, fyziky a informatiky</v>
          </cell>
          <cell r="AN1256">
            <v>12</v>
          </cell>
          <cell r="AO1256">
            <v>13</v>
          </cell>
          <cell r="AP1256">
            <v>13</v>
          </cell>
          <cell r="AQ1256">
            <v>12</v>
          </cell>
          <cell r="AR1256">
            <v>12</v>
          </cell>
          <cell r="BF1256">
            <v>18</v>
          </cell>
          <cell r="BG1256">
            <v>26.64</v>
          </cell>
          <cell r="BH1256">
            <v>26.64</v>
          </cell>
          <cell r="BI1256">
            <v>13</v>
          </cell>
          <cell r="BJ1256">
            <v>0</v>
          </cell>
        </row>
        <row r="1257">
          <cell r="D1257" t="str">
            <v>Univerzita Komenského v Bratislave</v>
          </cell>
          <cell r="E1257" t="str">
            <v>Fakulta matematiky, fyziky a informatiky</v>
          </cell>
          <cell r="AN1257">
            <v>63</v>
          </cell>
          <cell r="AO1257">
            <v>69</v>
          </cell>
          <cell r="AP1257">
            <v>69</v>
          </cell>
          <cell r="AQ1257">
            <v>63</v>
          </cell>
          <cell r="AR1257">
            <v>63</v>
          </cell>
          <cell r="BF1257">
            <v>94.5</v>
          </cell>
          <cell r="BG1257">
            <v>124.74000000000001</v>
          </cell>
          <cell r="BH1257">
            <v>124.74000000000001</v>
          </cell>
          <cell r="BI1257">
            <v>69</v>
          </cell>
          <cell r="BJ1257">
            <v>0</v>
          </cell>
        </row>
        <row r="1258">
          <cell r="D1258" t="str">
            <v>Univerzita Komenského v Bratislave</v>
          </cell>
          <cell r="E1258" t="str">
            <v>Fakulta matematiky, fyziky a informatiky</v>
          </cell>
          <cell r="AN1258">
            <v>165</v>
          </cell>
          <cell r="AO1258">
            <v>198</v>
          </cell>
          <cell r="AP1258">
            <v>198</v>
          </cell>
          <cell r="AQ1258">
            <v>165</v>
          </cell>
          <cell r="AR1258">
            <v>165</v>
          </cell>
          <cell r="BF1258">
            <v>143.69999999999999</v>
          </cell>
          <cell r="BG1258">
            <v>212.67599999999999</v>
          </cell>
          <cell r="BH1258">
            <v>212.67599999999999</v>
          </cell>
          <cell r="BI1258">
            <v>198</v>
          </cell>
          <cell r="BJ1258">
            <v>0</v>
          </cell>
        </row>
        <row r="1259">
          <cell r="D1259" t="str">
            <v>Univerzita Komenského v Bratislave</v>
          </cell>
          <cell r="E1259" t="str">
            <v>Fakulta matematiky, fyziky a informatiky</v>
          </cell>
          <cell r="AN1259">
            <v>90</v>
          </cell>
          <cell r="AO1259">
            <v>93</v>
          </cell>
          <cell r="AP1259">
            <v>93</v>
          </cell>
          <cell r="AQ1259">
            <v>90</v>
          </cell>
          <cell r="AR1259">
            <v>90</v>
          </cell>
          <cell r="BF1259">
            <v>75.900000000000006</v>
          </cell>
          <cell r="BG1259">
            <v>100.18800000000002</v>
          </cell>
          <cell r="BH1259">
            <v>100.18800000000002</v>
          </cell>
          <cell r="BI1259">
            <v>93</v>
          </cell>
          <cell r="BJ1259">
            <v>0</v>
          </cell>
        </row>
        <row r="1260">
          <cell r="D1260" t="str">
            <v>Univerzita Komenského v Bratislave</v>
          </cell>
          <cell r="E1260" t="str">
            <v>Fakulta matematiky, fyziky a informatiky</v>
          </cell>
          <cell r="AN1260">
            <v>35</v>
          </cell>
          <cell r="AO1260">
            <v>39</v>
          </cell>
          <cell r="AP1260">
            <v>39</v>
          </cell>
          <cell r="AQ1260">
            <v>35</v>
          </cell>
          <cell r="AR1260">
            <v>35</v>
          </cell>
          <cell r="BF1260">
            <v>28.4</v>
          </cell>
          <cell r="BG1260">
            <v>37.488</v>
          </cell>
          <cell r="BH1260">
            <v>37.488</v>
          </cell>
          <cell r="BI1260">
            <v>39</v>
          </cell>
          <cell r="BJ1260">
            <v>0</v>
          </cell>
        </row>
        <row r="1261">
          <cell r="D1261" t="str">
            <v>Univerzita Komenského v Bratislave</v>
          </cell>
          <cell r="E1261" t="str">
            <v>Fakulta matematiky, fyziky a informatiky</v>
          </cell>
          <cell r="AN1261">
            <v>20</v>
          </cell>
          <cell r="AO1261">
            <v>24</v>
          </cell>
          <cell r="AP1261">
            <v>24</v>
          </cell>
          <cell r="AQ1261">
            <v>20</v>
          </cell>
          <cell r="AR1261">
            <v>20</v>
          </cell>
          <cell r="BF1261">
            <v>17.3</v>
          </cell>
          <cell r="BG1261">
            <v>25.603999999999999</v>
          </cell>
          <cell r="BH1261">
            <v>25.603999999999999</v>
          </cell>
          <cell r="BI1261">
            <v>24</v>
          </cell>
          <cell r="BJ1261">
            <v>0</v>
          </cell>
        </row>
        <row r="1262">
          <cell r="D1262" t="str">
            <v>Univerzita Komenského v Bratislave</v>
          </cell>
          <cell r="E1262" t="str">
            <v>Fakulta matematiky, fyziky a informatiky</v>
          </cell>
          <cell r="AN1262">
            <v>20</v>
          </cell>
          <cell r="AO1262">
            <v>27</v>
          </cell>
          <cell r="AP1262">
            <v>27</v>
          </cell>
          <cell r="AQ1262">
            <v>20</v>
          </cell>
          <cell r="AR1262">
            <v>20</v>
          </cell>
          <cell r="BF1262">
            <v>30</v>
          </cell>
          <cell r="BG1262">
            <v>44.4</v>
          </cell>
          <cell r="BH1262">
            <v>44.4</v>
          </cell>
          <cell r="BI1262">
            <v>27</v>
          </cell>
          <cell r="BJ1262">
            <v>0</v>
          </cell>
        </row>
        <row r="1263">
          <cell r="D1263" t="str">
            <v>Univerzita Komenského v Bratislave</v>
          </cell>
          <cell r="E1263" t="str">
            <v>Fakulta matematiky, fyziky a informatiky</v>
          </cell>
          <cell r="AN1263">
            <v>61</v>
          </cell>
          <cell r="AO1263">
            <v>68</v>
          </cell>
          <cell r="AP1263">
            <v>0</v>
          </cell>
          <cell r="AQ1263">
            <v>0</v>
          </cell>
          <cell r="AR1263">
            <v>61</v>
          </cell>
          <cell r="BF1263">
            <v>91.5</v>
          </cell>
          <cell r="BG1263">
            <v>135.41999999999999</v>
          </cell>
          <cell r="BH1263">
            <v>124.13499999999998</v>
          </cell>
          <cell r="BI1263">
            <v>68</v>
          </cell>
          <cell r="BJ1263">
            <v>0</v>
          </cell>
        </row>
        <row r="1264">
          <cell r="D1264" t="str">
            <v>Univerzita Komenského v Bratislave</v>
          </cell>
          <cell r="E1264" t="str">
            <v>Jesseniova lekárska fakulta v Martine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BF1264">
            <v>0</v>
          </cell>
          <cell r="BG1264">
            <v>0</v>
          </cell>
          <cell r="BH1264">
            <v>0</v>
          </cell>
          <cell r="BI1264">
            <v>3</v>
          </cell>
          <cell r="BJ1264">
            <v>0</v>
          </cell>
        </row>
        <row r="1265">
          <cell r="D1265" t="str">
            <v>Univerzita Komenského v Bratislave</v>
          </cell>
          <cell r="E1265" t="str">
            <v>Jesseniova lekárska fakulta v Martine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3</v>
          </cell>
          <cell r="BJ1265">
            <v>0</v>
          </cell>
        </row>
        <row r="1266">
          <cell r="D1266" t="str">
            <v>Univerzita Komenského v Bratislave</v>
          </cell>
          <cell r="E1266" t="str">
            <v>Jesseniova lekárska fakulta v Martine</v>
          </cell>
          <cell r="AN1266">
            <v>1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2</v>
          </cell>
          <cell r="BJ1266">
            <v>0</v>
          </cell>
        </row>
        <row r="1267">
          <cell r="D1267" t="str">
            <v>Univerzita Komenského v Bratislave</v>
          </cell>
          <cell r="E1267" t="str">
            <v>Jesseniova lekárska fakulta v Martine</v>
          </cell>
          <cell r="AN1267">
            <v>14</v>
          </cell>
          <cell r="AO1267">
            <v>0</v>
          </cell>
          <cell r="AP1267">
            <v>0</v>
          </cell>
          <cell r="AQ1267">
            <v>0</v>
          </cell>
          <cell r="AR1267">
            <v>14</v>
          </cell>
          <cell r="BF1267">
            <v>42</v>
          </cell>
          <cell r="BG1267">
            <v>143.22</v>
          </cell>
          <cell r="BH1267">
            <v>143.22</v>
          </cell>
          <cell r="BI1267">
            <v>14</v>
          </cell>
          <cell r="BJ1267">
            <v>14</v>
          </cell>
        </row>
        <row r="1268">
          <cell r="D1268" t="str">
            <v>Univerzita Komenského v Bratislave</v>
          </cell>
          <cell r="E1268" t="str">
            <v>Jesseniova lekárska fakulta v Martine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R1268">
            <v>0</v>
          </cell>
          <cell r="BF1268">
            <v>0</v>
          </cell>
          <cell r="BG1268">
            <v>0</v>
          </cell>
          <cell r="BH1268">
            <v>0</v>
          </cell>
          <cell r="BI1268">
            <v>2</v>
          </cell>
          <cell r="BJ1268">
            <v>0</v>
          </cell>
        </row>
        <row r="1269">
          <cell r="D1269" t="str">
            <v>Univerzita Komenského v Bratislave</v>
          </cell>
          <cell r="E1269" t="str">
            <v>Jesseniova lekárska fakulta v Martine</v>
          </cell>
          <cell r="AN1269">
            <v>11</v>
          </cell>
          <cell r="AO1269">
            <v>0</v>
          </cell>
          <cell r="AP1269">
            <v>0</v>
          </cell>
          <cell r="AQ1269">
            <v>0</v>
          </cell>
          <cell r="AR1269">
            <v>11</v>
          </cell>
          <cell r="BF1269">
            <v>33</v>
          </cell>
          <cell r="BG1269">
            <v>112.53</v>
          </cell>
          <cell r="BH1269">
            <v>112.53</v>
          </cell>
          <cell r="BI1269">
            <v>11</v>
          </cell>
          <cell r="BJ1269">
            <v>11</v>
          </cell>
        </row>
        <row r="1270">
          <cell r="D1270" t="str">
            <v>Univerzita Komenského v Bratislave</v>
          </cell>
          <cell r="E1270" t="str">
            <v>Jesseniova lekárska fakulta v Martine</v>
          </cell>
          <cell r="AN1270">
            <v>9</v>
          </cell>
          <cell r="AO1270">
            <v>0</v>
          </cell>
          <cell r="AP1270">
            <v>0</v>
          </cell>
          <cell r="AQ1270">
            <v>0</v>
          </cell>
          <cell r="AR1270">
            <v>9</v>
          </cell>
          <cell r="BF1270">
            <v>27</v>
          </cell>
          <cell r="BG1270">
            <v>57.51</v>
          </cell>
          <cell r="BH1270">
            <v>57.51</v>
          </cell>
          <cell r="BI1270">
            <v>9</v>
          </cell>
          <cell r="BJ1270">
            <v>9</v>
          </cell>
        </row>
        <row r="1271">
          <cell r="D1271" t="str">
            <v>Univerzita Komenského v Bratislave</v>
          </cell>
          <cell r="E1271" t="str">
            <v>Jesseniova lekárska fakulta v Martine</v>
          </cell>
          <cell r="AN1271">
            <v>14</v>
          </cell>
          <cell r="AO1271">
            <v>0</v>
          </cell>
          <cell r="AP1271">
            <v>0</v>
          </cell>
          <cell r="AQ1271">
            <v>0</v>
          </cell>
          <cell r="AR1271">
            <v>14</v>
          </cell>
          <cell r="BF1271">
            <v>42</v>
          </cell>
          <cell r="BG1271">
            <v>89.46</v>
          </cell>
          <cell r="BH1271">
            <v>89.46</v>
          </cell>
          <cell r="BI1271">
            <v>15</v>
          </cell>
          <cell r="BJ1271">
            <v>14</v>
          </cell>
        </row>
        <row r="1272">
          <cell r="D1272" t="str">
            <v>Univerzita Komenského v Bratislave</v>
          </cell>
          <cell r="E1272" t="str">
            <v>Jesseniova lekárska fakulta v Martine</v>
          </cell>
          <cell r="AN1272">
            <v>12</v>
          </cell>
          <cell r="AO1272">
            <v>0</v>
          </cell>
          <cell r="AP1272">
            <v>0</v>
          </cell>
          <cell r="AQ1272">
            <v>0</v>
          </cell>
          <cell r="AR1272">
            <v>12</v>
          </cell>
          <cell r="BF1272">
            <v>36</v>
          </cell>
          <cell r="BG1272">
            <v>122.76</v>
          </cell>
          <cell r="BH1272">
            <v>122.76</v>
          </cell>
          <cell r="BI1272">
            <v>12</v>
          </cell>
          <cell r="BJ1272">
            <v>12</v>
          </cell>
        </row>
        <row r="1273">
          <cell r="D1273" t="str">
            <v>Univerzita Komenského v Bratislave</v>
          </cell>
          <cell r="E1273" t="str">
            <v>Jesseniova lekárska fakulta v Martine</v>
          </cell>
          <cell r="AN1273">
            <v>22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BF1273">
            <v>0</v>
          </cell>
          <cell r="BG1273">
            <v>0</v>
          </cell>
          <cell r="BH1273">
            <v>0</v>
          </cell>
          <cell r="BI1273">
            <v>34</v>
          </cell>
          <cell r="BJ1273">
            <v>0</v>
          </cell>
        </row>
        <row r="1274">
          <cell r="D1274" t="str">
            <v>Univerzita Komenského v Bratislave</v>
          </cell>
          <cell r="E1274" t="str">
            <v>Prírodovedecká fakulta</v>
          </cell>
          <cell r="AN1274">
            <v>24</v>
          </cell>
          <cell r="AO1274">
            <v>0</v>
          </cell>
          <cell r="AP1274">
            <v>0</v>
          </cell>
          <cell r="AQ1274">
            <v>24</v>
          </cell>
          <cell r="AR1274">
            <v>24</v>
          </cell>
          <cell r="BF1274">
            <v>72</v>
          </cell>
          <cell r="BG1274">
            <v>153.35999999999999</v>
          </cell>
          <cell r="BH1274">
            <v>153.35999999999999</v>
          </cell>
          <cell r="BI1274">
            <v>27</v>
          </cell>
          <cell r="BJ1274">
            <v>24</v>
          </cell>
        </row>
        <row r="1275">
          <cell r="D1275" t="str">
            <v>Univerzita Komenského v Bratislave</v>
          </cell>
          <cell r="E1275" t="str">
            <v>Prírodovedecká fakulta</v>
          </cell>
          <cell r="AN1275">
            <v>25</v>
          </cell>
          <cell r="AO1275">
            <v>0</v>
          </cell>
          <cell r="AP1275">
            <v>0</v>
          </cell>
          <cell r="AQ1275">
            <v>25</v>
          </cell>
          <cell r="AR1275">
            <v>25</v>
          </cell>
          <cell r="BF1275">
            <v>75</v>
          </cell>
          <cell r="BG1275">
            <v>159.75</v>
          </cell>
          <cell r="BH1275">
            <v>159.75</v>
          </cell>
          <cell r="BI1275">
            <v>28</v>
          </cell>
          <cell r="BJ1275">
            <v>25</v>
          </cell>
        </row>
        <row r="1276">
          <cell r="D1276" t="str">
            <v>Univerzita Komenského v Bratislave</v>
          </cell>
          <cell r="E1276" t="str">
            <v>Prírodovedecká fakulta</v>
          </cell>
          <cell r="AN1276">
            <v>29</v>
          </cell>
          <cell r="AO1276">
            <v>0</v>
          </cell>
          <cell r="AP1276">
            <v>0</v>
          </cell>
          <cell r="AQ1276">
            <v>29</v>
          </cell>
          <cell r="AR1276">
            <v>29</v>
          </cell>
          <cell r="BF1276">
            <v>87</v>
          </cell>
          <cell r="BG1276">
            <v>185.31</v>
          </cell>
          <cell r="BH1276">
            <v>185.31</v>
          </cell>
          <cell r="BI1276">
            <v>32</v>
          </cell>
          <cell r="BJ1276">
            <v>29</v>
          </cell>
        </row>
        <row r="1277">
          <cell r="D1277" t="str">
            <v>Univerzita Komenského v Bratislave</v>
          </cell>
          <cell r="E1277" t="str">
            <v>Prírodovedecká fakulta</v>
          </cell>
          <cell r="AN1277">
            <v>9</v>
          </cell>
          <cell r="AO1277">
            <v>0</v>
          </cell>
          <cell r="AP1277">
            <v>0</v>
          </cell>
          <cell r="AQ1277">
            <v>0</v>
          </cell>
          <cell r="AR1277">
            <v>9</v>
          </cell>
          <cell r="BF1277">
            <v>27</v>
          </cell>
          <cell r="BG1277">
            <v>57.51</v>
          </cell>
          <cell r="BH1277">
            <v>43.1325</v>
          </cell>
          <cell r="BI1277">
            <v>9</v>
          </cell>
          <cell r="BJ1277">
            <v>9</v>
          </cell>
        </row>
        <row r="1278">
          <cell r="D1278" t="str">
            <v>Univerzita Komenského v Bratislave</v>
          </cell>
          <cell r="E1278" t="str">
            <v>Prírodovedecká fakulta</v>
          </cell>
          <cell r="AN1278">
            <v>8</v>
          </cell>
          <cell r="AO1278">
            <v>0</v>
          </cell>
          <cell r="AP1278">
            <v>0</v>
          </cell>
          <cell r="AQ1278">
            <v>8</v>
          </cell>
          <cell r="AR1278">
            <v>8</v>
          </cell>
          <cell r="BF1278">
            <v>24</v>
          </cell>
          <cell r="BG1278">
            <v>51.12</v>
          </cell>
          <cell r="BH1278">
            <v>51.12</v>
          </cell>
          <cell r="BI1278">
            <v>8</v>
          </cell>
          <cell r="BJ1278">
            <v>8</v>
          </cell>
        </row>
        <row r="1279">
          <cell r="D1279" t="str">
            <v>Univerzita Komenského v Bratislave</v>
          </cell>
          <cell r="E1279" t="str">
            <v>Prírodovedecká fakulta</v>
          </cell>
          <cell r="AN1279">
            <v>3</v>
          </cell>
          <cell r="AO1279">
            <v>0</v>
          </cell>
          <cell r="AP1279">
            <v>0</v>
          </cell>
          <cell r="AQ1279">
            <v>3</v>
          </cell>
          <cell r="AR1279">
            <v>3</v>
          </cell>
          <cell r="BF1279">
            <v>9</v>
          </cell>
          <cell r="BG1279">
            <v>19.169999999999998</v>
          </cell>
          <cell r="BH1279">
            <v>19.169999999999998</v>
          </cell>
          <cell r="BI1279">
            <v>3</v>
          </cell>
          <cell r="BJ1279">
            <v>3</v>
          </cell>
        </row>
        <row r="1280">
          <cell r="D1280" t="str">
            <v>Univerzita Komenského v Bratislave</v>
          </cell>
          <cell r="E1280" t="str">
            <v>Prírodovedecká fakulta</v>
          </cell>
          <cell r="AN1280">
            <v>11</v>
          </cell>
          <cell r="AO1280">
            <v>13</v>
          </cell>
          <cell r="AP1280">
            <v>0</v>
          </cell>
          <cell r="AQ1280">
            <v>0</v>
          </cell>
          <cell r="AR1280">
            <v>11</v>
          </cell>
          <cell r="BF1280">
            <v>16.5</v>
          </cell>
          <cell r="BG1280">
            <v>24.419999999999998</v>
          </cell>
          <cell r="BH1280">
            <v>17.442857142857143</v>
          </cell>
          <cell r="BI1280">
            <v>13</v>
          </cell>
          <cell r="BJ1280">
            <v>0</v>
          </cell>
        </row>
        <row r="1281">
          <cell r="D1281" t="str">
            <v>Univerzita Komenského v Bratislave</v>
          </cell>
          <cell r="E1281" t="str">
            <v>Prírodovedecká fakulta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BF1281">
            <v>0</v>
          </cell>
          <cell r="BG1281">
            <v>0</v>
          </cell>
          <cell r="BH1281">
            <v>0</v>
          </cell>
          <cell r="BI1281">
            <v>7</v>
          </cell>
          <cell r="BJ1281">
            <v>0</v>
          </cell>
        </row>
        <row r="1282">
          <cell r="D1282" t="str">
            <v>Univerzita Komenského v Bratislave</v>
          </cell>
          <cell r="E1282" t="str">
            <v>Prírodovedecká fakulta</v>
          </cell>
          <cell r="AN1282">
            <v>0</v>
          </cell>
          <cell r="AO1282">
            <v>1.5</v>
          </cell>
          <cell r="AP1282">
            <v>0</v>
          </cell>
          <cell r="AQ1282">
            <v>0</v>
          </cell>
          <cell r="AR1282">
            <v>0</v>
          </cell>
          <cell r="BF1282">
            <v>0</v>
          </cell>
          <cell r="BG1282">
            <v>0</v>
          </cell>
          <cell r="BH1282">
            <v>0</v>
          </cell>
          <cell r="BI1282">
            <v>1.5</v>
          </cell>
          <cell r="BJ1282">
            <v>0</v>
          </cell>
        </row>
        <row r="1283">
          <cell r="D1283" t="str">
            <v>Univerzita Komenského v Bratislave</v>
          </cell>
          <cell r="E1283" t="str">
            <v>Prírodovedecká fakulta</v>
          </cell>
          <cell r="AN1283">
            <v>6</v>
          </cell>
          <cell r="AO1283">
            <v>0</v>
          </cell>
          <cell r="AP1283">
            <v>0</v>
          </cell>
          <cell r="AQ1283">
            <v>6</v>
          </cell>
          <cell r="AR1283">
            <v>6</v>
          </cell>
          <cell r="BF1283">
            <v>18</v>
          </cell>
          <cell r="BG1283">
            <v>38.339999999999996</v>
          </cell>
          <cell r="BH1283">
            <v>38.339999999999996</v>
          </cell>
          <cell r="BI1283">
            <v>6</v>
          </cell>
          <cell r="BJ1283">
            <v>6</v>
          </cell>
        </row>
        <row r="1284">
          <cell r="D1284" t="str">
            <v>Univerzita Komenského v Bratislave</v>
          </cell>
          <cell r="E1284" t="str">
            <v>Prírodovedecká fakulta</v>
          </cell>
          <cell r="AN1284">
            <v>288</v>
          </cell>
          <cell r="AO1284">
            <v>309</v>
          </cell>
          <cell r="AP1284">
            <v>309</v>
          </cell>
          <cell r="AQ1284">
            <v>288</v>
          </cell>
          <cell r="AR1284">
            <v>288</v>
          </cell>
          <cell r="BF1284">
            <v>247.2</v>
          </cell>
          <cell r="BG1284">
            <v>365.85599999999999</v>
          </cell>
          <cell r="BH1284">
            <v>365.85599999999999</v>
          </cell>
          <cell r="BI1284">
            <v>309</v>
          </cell>
          <cell r="BJ1284">
            <v>0</v>
          </cell>
        </row>
        <row r="1285">
          <cell r="D1285" t="str">
            <v>Univerzita Komenského v Bratislave</v>
          </cell>
          <cell r="E1285" t="str">
            <v>Prírodovedecká fakulta</v>
          </cell>
          <cell r="AN1285">
            <v>51</v>
          </cell>
          <cell r="AO1285">
            <v>56</v>
          </cell>
          <cell r="AP1285">
            <v>0</v>
          </cell>
          <cell r="AQ1285">
            <v>0</v>
          </cell>
          <cell r="AR1285">
            <v>51</v>
          </cell>
          <cell r="BF1285">
            <v>40.799999999999997</v>
          </cell>
          <cell r="BG1285">
            <v>60.383999999999993</v>
          </cell>
          <cell r="BH1285">
            <v>54.894545454545444</v>
          </cell>
          <cell r="BI1285">
            <v>56</v>
          </cell>
          <cell r="BJ1285">
            <v>0</v>
          </cell>
        </row>
        <row r="1286">
          <cell r="D1286" t="str">
            <v>Univerzita Komenského v Bratislave</v>
          </cell>
          <cell r="E1286" t="str">
            <v>Prírodovedecká fakulta</v>
          </cell>
          <cell r="AN1286">
            <v>14</v>
          </cell>
          <cell r="AO1286">
            <v>18</v>
          </cell>
          <cell r="AP1286">
            <v>18</v>
          </cell>
          <cell r="AQ1286">
            <v>14</v>
          </cell>
          <cell r="AR1286">
            <v>14</v>
          </cell>
          <cell r="BF1286">
            <v>12.2</v>
          </cell>
          <cell r="BG1286">
            <v>18.055999999999997</v>
          </cell>
          <cell r="BH1286">
            <v>18.055999999999997</v>
          </cell>
          <cell r="BI1286">
            <v>18</v>
          </cell>
          <cell r="BJ1286">
            <v>0</v>
          </cell>
        </row>
        <row r="1287">
          <cell r="D1287" t="str">
            <v>Univerzita Komenského v Bratislave</v>
          </cell>
          <cell r="E1287" t="str">
            <v>Fakulta matematiky, fyziky a informatiky</v>
          </cell>
          <cell r="AN1287">
            <v>30</v>
          </cell>
          <cell r="AO1287">
            <v>36.5</v>
          </cell>
          <cell r="AP1287">
            <v>36.5</v>
          </cell>
          <cell r="AQ1287">
            <v>30</v>
          </cell>
          <cell r="AR1287">
            <v>30</v>
          </cell>
          <cell r="BF1287">
            <v>26.1</v>
          </cell>
          <cell r="BG1287">
            <v>31.059000000000001</v>
          </cell>
          <cell r="BH1287">
            <v>31.059000000000001</v>
          </cell>
          <cell r="BI1287">
            <v>36.5</v>
          </cell>
          <cell r="BJ1287">
            <v>0</v>
          </cell>
        </row>
        <row r="1288">
          <cell r="D1288" t="str">
            <v>Univerzita Komenského v Bratislave</v>
          </cell>
          <cell r="E1288" t="str">
            <v>Prírodovedecká fakulta</v>
          </cell>
          <cell r="AN1288">
            <v>166</v>
          </cell>
          <cell r="AO1288">
            <v>181</v>
          </cell>
          <cell r="AP1288">
            <v>181</v>
          </cell>
          <cell r="AQ1288">
            <v>166</v>
          </cell>
          <cell r="AR1288">
            <v>166</v>
          </cell>
          <cell r="BF1288">
            <v>148.9</v>
          </cell>
          <cell r="BG1288">
            <v>220.37200000000001</v>
          </cell>
          <cell r="BH1288">
            <v>220.37200000000001</v>
          </cell>
          <cell r="BI1288">
            <v>181</v>
          </cell>
          <cell r="BJ1288">
            <v>0</v>
          </cell>
        </row>
        <row r="1289">
          <cell r="D1289" t="str">
            <v>Univerzita Komenského v Bratislave</v>
          </cell>
          <cell r="E1289" t="str">
            <v>Prírodovedecká fakulta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BF1289">
            <v>0</v>
          </cell>
          <cell r="BG1289">
            <v>0</v>
          </cell>
          <cell r="BH1289">
            <v>0</v>
          </cell>
          <cell r="BI1289">
            <v>2</v>
          </cell>
          <cell r="BJ1289">
            <v>0</v>
          </cell>
        </row>
        <row r="1290">
          <cell r="D1290" t="str">
            <v>Univerzita Komenského v Bratislave</v>
          </cell>
          <cell r="E1290" t="str">
            <v>Prírodovedecká fakulta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BF1290">
            <v>0</v>
          </cell>
          <cell r="BG1290">
            <v>0</v>
          </cell>
          <cell r="BH1290">
            <v>0</v>
          </cell>
          <cell r="BI1290">
            <v>1</v>
          </cell>
          <cell r="BJ1290">
            <v>0</v>
          </cell>
        </row>
        <row r="1291">
          <cell r="D1291" t="str">
            <v>Univerzita Komenského v Bratislave</v>
          </cell>
          <cell r="E1291" t="str">
            <v>Prírodovedecká fakulta</v>
          </cell>
          <cell r="AN1291">
            <v>4</v>
          </cell>
          <cell r="AO1291">
            <v>0</v>
          </cell>
          <cell r="AP1291">
            <v>0</v>
          </cell>
          <cell r="AQ1291">
            <v>4</v>
          </cell>
          <cell r="AR1291">
            <v>4</v>
          </cell>
          <cell r="BF1291">
            <v>12</v>
          </cell>
          <cell r="BG1291">
            <v>25.56</v>
          </cell>
          <cell r="BH1291">
            <v>25.56</v>
          </cell>
          <cell r="BI1291">
            <v>4</v>
          </cell>
          <cell r="BJ1291">
            <v>4</v>
          </cell>
        </row>
        <row r="1292">
          <cell r="D1292" t="str">
            <v>Univerzita Komenského v Bratislave</v>
          </cell>
          <cell r="E1292" t="str">
            <v>Prírodovedecká fakulta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BF1292">
            <v>0</v>
          </cell>
          <cell r="BG1292">
            <v>0</v>
          </cell>
          <cell r="BH1292">
            <v>0</v>
          </cell>
          <cell r="BI1292">
            <v>5</v>
          </cell>
          <cell r="BJ1292">
            <v>0</v>
          </cell>
        </row>
        <row r="1293">
          <cell r="D1293" t="str">
            <v>Univerzita Komenského v Bratislave</v>
          </cell>
          <cell r="E1293" t="str">
            <v>Prírodovedecká fakulta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R1293">
            <v>0</v>
          </cell>
          <cell r="BF1293">
            <v>0</v>
          </cell>
          <cell r="BG1293">
            <v>0</v>
          </cell>
          <cell r="BH1293">
            <v>0</v>
          </cell>
          <cell r="BI1293">
            <v>3</v>
          </cell>
          <cell r="BJ1293">
            <v>0</v>
          </cell>
        </row>
        <row r="1294">
          <cell r="D1294" t="str">
            <v>Katolícka univerzita v Ružomberku</v>
          </cell>
          <cell r="E1294" t="str">
            <v>Pedagogická fakulta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BF1294">
            <v>0</v>
          </cell>
          <cell r="BG1294">
            <v>0</v>
          </cell>
          <cell r="BH1294">
            <v>0</v>
          </cell>
          <cell r="BI1294">
            <v>165</v>
          </cell>
          <cell r="BJ1294">
            <v>0</v>
          </cell>
        </row>
        <row r="1295">
          <cell r="D1295" t="str">
            <v>Katolícka univerzita v Ružomberku</v>
          </cell>
          <cell r="E1295" t="str">
            <v>Pedagogická fakulta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113</v>
          </cell>
          <cell r="BJ1295">
            <v>0</v>
          </cell>
        </row>
        <row r="1296">
          <cell r="D1296" t="str">
            <v>Katolícka univerzita v Ružomberku</v>
          </cell>
          <cell r="E1296" t="str">
            <v>Pedagogická fakulta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158</v>
          </cell>
          <cell r="BJ1296">
            <v>0</v>
          </cell>
        </row>
        <row r="1297">
          <cell r="D1297" t="str">
            <v>Katolícka univerzita v Ružomberku</v>
          </cell>
          <cell r="E1297" t="str">
            <v>Pedagogická fakulta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BF1297">
            <v>0</v>
          </cell>
          <cell r="BG1297">
            <v>0</v>
          </cell>
          <cell r="BH1297">
            <v>0</v>
          </cell>
          <cell r="BI1297">
            <v>220</v>
          </cell>
          <cell r="BJ1297">
            <v>0</v>
          </cell>
        </row>
        <row r="1298">
          <cell r="D1298" t="str">
            <v>Katolícka univerzita v Ružomberku</v>
          </cell>
          <cell r="E1298" t="str">
            <v>Pedagogická fakulta</v>
          </cell>
          <cell r="AN1298">
            <v>55</v>
          </cell>
          <cell r="AO1298">
            <v>66</v>
          </cell>
          <cell r="AP1298">
            <v>0</v>
          </cell>
          <cell r="AQ1298">
            <v>0</v>
          </cell>
          <cell r="AR1298">
            <v>55</v>
          </cell>
          <cell r="BF1298">
            <v>49</v>
          </cell>
          <cell r="BG1298">
            <v>58.309999999999995</v>
          </cell>
          <cell r="BH1298">
            <v>54.548064516129031</v>
          </cell>
          <cell r="BI1298">
            <v>66</v>
          </cell>
          <cell r="BJ1298">
            <v>0</v>
          </cell>
        </row>
        <row r="1299">
          <cell r="D1299" t="str">
            <v>Katolícka univerzita v Ružomberku</v>
          </cell>
          <cell r="E1299" t="str">
            <v>Pedagogická fakulta</v>
          </cell>
          <cell r="AN1299">
            <v>15.5</v>
          </cell>
          <cell r="AO1299">
            <v>19.5</v>
          </cell>
          <cell r="AP1299">
            <v>19.5</v>
          </cell>
          <cell r="AQ1299">
            <v>15.5</v>
          </cell>
          <cell r="AR1299">
            <v>15.5</v>
          </cell>
          <cell r="BF1299">
            <v>12.8</v>
          </cell>
          <cell r="BG1299">
            <v>18.431999999999999</v>
          </cell>
          <cell r="BH1299">
            <v>18.431999999999999</v>
          </cell>
          <cell r="BI1299">
            <v>19.5</v>
          </cell>
          <cell r="BJ1299">
            <v>0</v>
          </cell>
        </row>
        <row r="1300">
          <cell r="D1300" t="str">
            <v>Katolícka univerzita v Ružomberku</v>
          </cell>
          <cell r="E1300" t="str">
            <v>Pedagogická fakulta</v>
          </cell>
          <cell r="AN1300">
            <v>5.5</v>
          </cell>
          <cell r="AO1300">
            <v>7</v>
          </cell>
          <cell r="AP1300">
            <v>0</v>
          </cell>
          <cell r="AQ1300">
            <v>0</v>
          </cell>
          <cell r="AR1300">
            <v>5.5</v>
          </cell>
          <cell r="BF1300">
            <v>4.4499999999999993</v>
          </cell>
          <cell r="BG1300">
            <v>4.8504999999999994</v>
          </cell>
          <cell r="BH1300">
            <v>4.0420833333333333</v>
          </cell>
          <cell r="BI1300">
            <v>7</v>
          </cell>
          <cell r="BJ1300">
            <v>0</v>
          </cell>
        </row>
        <row r="1301">
          <cell r="D1301" t="str">
            <v>Katolícka univerzita v Ružomberku</v>
          </cell>
          <cell r="E1301" t="str">
            <v>Pedagogická fakulta</v>
          </cell>
          <cell r="AN1301">
            <v>2</v>
          </cell>
          <cell r="AO1301">
            <v>0</v>
          </cell>
          <cell r="AP1301">
            <v>0</v>
          </cell>
          <cell r="AQ1301">
            <v>0</v>
          </cell>
          <cell r="AR1301">
            <v>2</v>
          </cell>
          <cell r="BF1301">
            <v>8</v>
          </cell>
          <cell r="BG1301">
            <v>8.8000000000000007</v>
          </cell>
          <cell r="BH1301">
            <v>8.8000000000000007</v>
          </cell>
          <cell r="BI1301">
            <v>2</v>
          </cell>
          <cell r="BJ1301">
            <v>2</v>
          </cell>
        </row>
        <row r="1302">
          <cell r="D1302" t="str">
            <v>Katolícka univerzita v Ružomberku</v>
          </cell>
          <cell r="E1302" t="str">
            <v>Pedagogická fakulta</v>
          </cell>
          <cell r="AN1302">
            <v>2</v>
          </cell>
          <cell r="AO1302">
            <v>3.5</v>
          </cell>
          <cell r="AP1302">
            <v>0</v>
          </cell>
          <cell r="AQ1302">
            <v>0</v>
          </cell>
          <cell r="AR1302">
            <v>2</v>
          </cell>
          <cell r="BF1302">
            <v>1.7</v>
          </cell>
          <cell r="BG1302">
            <v>3.6549999999999998</v>
          </cell>
          <cell r="BH1302">
            <v>3.6549999999999998</v>
          </cell>
          <cell r="BI1302">
            <v>3.5</v>
          </cell>
          <cell r="BJ1302">
            <v>0</v>
          </cell>
        </row>
        <row r="1303">
          <cell r="D1303" t="str">
            <v>Katolícka univerzita v Ružomberku</v>
          </cell>
          <cell r="E1303" t="str">
            <v>Pedagogická fakulta</v>
          </cell>
          <cell r="AN1303">
            <v>56</v>
          </cell>
          <cell r="AO1303">
            <v>58</v>
          </cell>
          <cell r="AP1303">
            <v>0</v>
          </cell>
          <cell r="AQ1303">
            <v>0</v>
          </cell>
          <cell r="AR1303">
            <v>56</v>
          </cell>
          <cell r="BF1303">
            <v>84</v>
          </cell>
          <cell r="BG1303">
            <v>99.96</v>
          </cell>
          <cell r="BH1303">
            <v>87.895862068965513</v>
          </cell>
          <cell r="BI1303">
            <v>58</v>
          </cell>
          <cell r="BJ1303">
            <v>0</v>
          </cell>
        </row>
        <row r="1304">
          <cell r="D1304" t="str">
            <v>Katolícka univerzita v Ružomberku</v>
          </cell>
          <cell r="E1304" t="str">
            <v>Pedagogická fakulta</v>
          </cell>
          <cell r="AN1304">
            <v>14</v>
          </cell>
          <cell r="AO1304">
            <v>18.5</v>
          </cell>
          <cell r="AP1304">
            <v>18.5</v>
          </cell>
          <cell r="AQ1304">
            <v>14</v>
          </cell>
          <cell r="AR1304">
            <v>14</v>
          </cell>
          <cell r="BF1304">
            <v>11.6</v>
          </cell>
          <cell r="BG1304">
            <v>16.704000000000001</v>
          </cell>
          <cell r="BH1304">
            <v>16.704000000000001</v>
          </cell>
          <cell r="BI1304">
            <v>18.5</v>
          </cell>
          <cell r="BJ1304">
            <v>0</v>
          </cell>
        </row>
        <row r="1305">
          <cell r="D1305" t="str">
            <v>Katolícka univerzita v Ružomberku</v>
          </cell>
          <cell r="E1305" t="str">
            <v>Filozofická fakulta</v>
          </cell>
          <cell r="AN1305">
            <v>8</v>
          </cell>
          <cell r="AO1305">
            <v>12</v>
          </cell>
          <cell r="AP1305">
            <v>0</v>
          </cell>
          <cell r="AQ1305">
            <v>0</v>
          </cell>
          <cell r="AR1305">
            <v>8</v>
          </cell>
          <cell r="BF1305">
            <v>6.8</v>
          </cell>
          <cell r="BG1305">
            <v>7.4119999999999999</v>
          </cell>
          <cell r="BH1305">
            <v>7.4119999999999999</v>
          </cell>
          <cell r="BI1305">
            <v>12</v>
          </cell>
          <cell r="BJ1305">
            <v>0</v>
          </cell>
        </row>
        <row r="1306">
          <cell r="D1306" t="str">
            <v>Katolícka univerzita v Ružomberku</v>
          </cell>
          <cell r="E1306" t="str">
            <v>Pedagogická fakulta</v>
          </cell>
          <cell r="AN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10</v>
          </cell>
          <cell r="BJ1306">
            <v>0</v>
          </cell>
        </row>
        <row r="1307">
          <cell r="D1307" t="str">
            <v>Katolícka univerzita v Ružomberku</v>
          </cell>
          <cell r="E1307" t="str">
            <v>Pedagogická fakulta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BF1307">
            <v>0</v>
          </cell>
          <cell r="BG1307">
            <v>0</v>
          </cell>
          <cell r="BH1307">
            <v>0</v>
          </cell>
          <cell r="BI1307">
            <v>7</v>
          </cell>
          <cell r="BJ1307">
            <v>0</v>
          </cell>
        </row>
        <row r="1308">
          <cell r="D1308" t="str">
            <v>Katolícka univerzita v Ružomberku</v>
          </cell>
          <cell r="E1308" t="str">
            <v>Pedagogická fakulta</v>
          </cell>
          <cell r="AN1308">
            <v>21</v>
          </cell>
          <cell r="AO1308">
            <v>27</v>
          </cell>
          <cell r="AP1308">
            <v>0</v>
          </cell>
          <cell r="AQ1308">
            <v>0</v>
          </cell>
          <cell r="AR1308">
            <v>21</v>
          </cell>
          <cell r="BF1308">
            <v>18.3</v>
          </cell>
          <cell r="BG1308">
            <v>18.3</v>
          </cell>
          <cell r="BH1308">
            <v>18.3</v>
          </cell>
          <cell r="BI1308">
            <v>27</v>
          </cell>
          <cell r="BJ1308">
            <v>0</v>
          </cell>
        </row>
        <row r="1309">
          <cell r="D1309" t="str">
            <v>Katolícka univerzita v Ružomberku</v>
          </cell>
          <cell r="E1309" t="str">
            <v>Pedagogická fakulta</v>
          </cell>
          <cell r="AN1309">
            <v>0</v>
          </cell>
          <cell r="AO1309">
            <v>0</v>
          </cell>
          <cell r="AP1309">
            <v>0</v>
          </cell>
          <cell r="AQ1309">
            <v>0</v>
          </cell>
          <cell r="AR1309">
            <v>0</v>
          </cell>
          <cell r="BF1309">
            <v>0</v>
          </cell>
          <cell r="BG1309">
            <v>0</v>
          </cell>
          <cell r="BH1309">
            <v>0</v>
          </cell>
          <cell r="BI1309">
            <v>44</v>
          </cell>
          <cell r="BJ1309">
            <v>0</v>
          </cell>
        </row>
        <row r="1310">
          <cell r="D1310" t="str">
            <v>Katolícka univerzita v Ružomberku</v>
          </cell>
          <cell r="E1310" t="str">
            <v>Pedagogická fakulta</v>
          </cell>
          <cell r="AN1310">
            <v>8</v>
          </cell>
          <cell r="AO1310">
            <v>9.5</v>
          </cell>
          <cell r="AP1310">
            <v>0</v>
          </cell>
          <cell r="AQ1310">
            <v>0</v>
          </cell>
          <cell r="AR1310">
            <v>8</v>
          </cell>
          <cell r="BF1310">
            <v>6.65</v>
          </cell>
          <cell r="BG1310">
            <v>14.297499999999999</v>
          </cell>
          <cell r="BH1310">
            <v>14.297499999999999</v>
          </cell>
          <cell r="BI1310">
            <v>9.5</v>
          </cell>
          <cell r="BJ1310">
            <v>0</v>
          </cell>
        </row>
        <row r="1311">
          <cell r="D1311" t="str">
            <v>Katolícka univerzita v Ružomberku</v>
          </cell>
          <cell r="E1311" t="str">
            <v>Pedagogická fakulta</v>
          </cell>
          <cell r="AN1311">
            <v>11</v>
          </cell>
          <cell r="AO1311">
            <v>12</v>
          </cell>
          <cell r="AP1311">
            <v>12</v>
          </cell>
          <cell r="AQ1311">
            <v>11</v>
          </cell>
          <cell r="AR1311">
            <v>11</v>
          </cell>
          <cell r="BF1311">
            <v>16.5</v>
          </cell>
          <cell r="BG1311">
            <v>19.634999999999998</v>
          </cell>
          <cell r="BH1311">
            <v>19.634999999999998</v>
          </cell>
          <cell r="BI1311">
            <v>12</v>
          </cell>
          <cell r="BJ1311">
            <v>0</v>
          </cell>
        </row>
        <row r="1312">
          <cell r="D1312" t="str">
            <v>Univerzita Komenského v Bratislave</v>
          </cell>
          <cell r="E1312" t="str">
            <v>Filozofická fakulta</v>
          </cell>
          <cell r="AN1312">
            <v>5</v>
          </cell>
          <cell r="AO1312">
            <v>0</v>
          </cell>
          <cell r="AP1312">
            <v>0</v>
          </cell>
          <cell r="AQ1312">
            <v>0</v>
          </cell>
          <cell r="AR1312">
            <v>5</v>
          </cell>
          <cell r="BF1312">
            <v>15</v>
          </cell>
          <cell r="BG1312">
            <v>16.5</v>
          </cell>
          <cell r="BH1312">
            <v>16.5</v>
          </cell>
          <cell r="BI1312">
            <v>5</v>
          </cell>
          <cell r="BJ1312">
            <v>5</v>
          </cell>
        </row>
        <row r="1313">
          <cell r="D1313" t="str">
            <v>Univerzita Komenského v Bratislave</v>
          </cell>
          <cell r="E1313" t="str">
            <v>Filozofická fakulta</v>
          </cell>
          <cell r="AN1313">
            <v>4.5</v>
          </cell>
          <cell r="AO1313">
            <v>5.5</v>
          </cell>
          <cell r="AP1313">
            <v>0</v>
          </cell>
          <cell r="AQ1313">
            <v>0</v>
          </cell>
          <cell r="AR1313">
            <v>4.5</v>
          </cell>
          <cell r="BF1313">
            <v>6.75</v>
          </cell>
          <cell r="BG1313">
            <v>10.125</v>
          </cell>
          <cell r="BH1313">
            <v>9.1057046979865781</v>
          </cell>
          <cell r="BI1313">
            <v>5.5</v>
          </cell>
          <cell r="BJ1313">
            <v>0</v>
          </cell>
        </row>
        <row r="1314">
          <cell r="D1314" t="str">
            <v>Univerzita Komenského v Bratislave</v>
          </cell>
          <cell r="E1314" t="str">
            <v>Filozofická fakulta</v>
          </cell>
          <cell r="AN1314">
            <v>2</v>
          </cell>
          <cell r="AO1314">
            <v>2.5</v>
          </cell>
          <cell r="AP1314">
            <v>0</v>
          </cell>
          <cell r="AQ1314">
            <v>0</v>
          </cell>
          <cell r="AR1314">
            <v>2</v>
          </cell>
          <cell r="BF1314">
            <v>3</v>
          </cell>
          <cell r="BG1314">
            <v>4.5</v>
          </cell>
          <cell r="BH1314">
            <v>0</v>
          </cell>
          <cell r="BI1314">
            <v>2.5</v>
          </cell>
          <cell r="BJ1314">
            <v>0</v>
          </cell>
        </row>
        <row r="1315">
          <cell r="D1315" t="str">
            <v>Univerzita Komenského v Bratislave</v>
          </cell>
          <cell r="E1315" t="str">
            <v>Filozofická fakulta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BF1315">
            <v>0</v>
          </cell>
          <cell r="BG1315">
            <v>0</v>
          </cell>
          <cell r="BH1315">
            <v>0</v>
          </cell>
          <cell r="BI1315">
            <v>4</v>
          </cell>
          <cell r="BJ1315">
            <v>0</v>
          </cell>
        </row>
        <row r="1316">
          <cell r="D1316" t="str">
            <v>Univerzita Komenského v Bratislave</v>
          </cell>
          <cell r="E1316" t="str">
            <v>Filozofická fakulta</v>
          </cell>
          <cell r="AN1316">
            <v>8.5</v>
          </cell>
          <cell r="AO1316">
            <v>10.5</v>
          </cell>
          <cell r="AP1316">
            <v>0</v>
          </cell>
          <cell r="AQ1316">
            <v>0</v>
          </cell>
          <cell r="AR1316">
            <v>8.5</v>
          </cell>
          <cell r="BF1316">
            <v>12.75</v>
          </cell>
          <cell r="BG1316">
            <v>13.897500000000001</v>
          </cell>
          <cell r="BH1316">
            <v>13.897500000000001</v>
          </cell>
          <cell r="BI1316">
            <v>10.5</v>
          </cell>
          <cell r="BJ1316">
            <v>0</v>
          </cell>
        </row>
        <row r="1317">
          <cell r="D1317" t="str">
            <v>Univerzita Komenského v Bratislave</v>
          </cell>
          <cell r="E1317" t="str">
            <v>Filozofická fakulta</v>
          </cell>
          <cell r="AN1317">
            <v>19</v>
          </cell>
          <cell r="AO1317">
            <v>22.5</v>
          </cell>
          <cell r="AP1317">
            <v>0</v>
          </cell>
          <cell r="AQ1317">
            <v>0</v>
          </cell>
          <cell r="AR1317">
            <v>19</v>
          </cell>
          <cell r="BF1317">
            <v>28.5</v>
          </cell>
          <cell r="BG1317">
            <v>31.065000000000001</v>
          </cell>
          <cell r="BH1317">
            <v>29.652954545454548</v>
          </cell>
          <cell r="BI1317">
            <v>22.5</v>
          </cell>
          <cell r="BJ1317">
            <v>0</v>
          </cell>
        </row>
        <row r="1318">
          <cell r="D1318" t="str">
            <v>Univerzita Komenského v Bratislave</v>
          </cell>
          <cell r="E1318" t="str">
            <v>Filozofická fakulta</v>
          </cell>
          <cell r="AN1318">
            <v>3</v>
          </cell>
          <cell r="AO1318">
            <v>0</v>
          </cell>
          <cell r="AP1318">
            <v>0</v>
          </cell>
          <cell r="AQ1318">
            <v>0</v>
          </cell>
          <cell r="AR1318">
            <v>3</v>
          </cell>
          <cell r="BF1318">
            <v>9</v>
          </cell>
          <cell r="BG1318">
            <v>9.9</v>
          </cell>
          <cell r="BH1318">
            <v>9.9</v>
          </cell>
          <cell r="BI1318">
            <v>3</v>
          </cell>
          <cell r="BJ1318">
            <v>3</v>
          </cell>
        </row>
        <row r="1319">
          <cell r="D1319" t="str">
            <v>Univerzita Komenského v Bratislave</v>
          </cell>
          <cell r="E1319" t="str">
            <v>Filozofická fakulta</v>
          </cell>
          <cell r="AN1319">
            <v>27.5</v>
          </cell>
          <cell r="AO1319">
            <v>31</v>
          </cell>
          <cell r="AP1319">
            <v>0</v>
          </cell>
          <cell r="AQ1319">
            <v>0</v>
          </cell>
          <cell r="AR1319">
            <v>27.5</v>
          </cell>
          <cell r="BF1319">
            <v>24.65</v>
          </cell>
          <cell r="BG1319">
            <v>36.974999999999994</v>
          </cell>
          <cell r="BH1319">
            <v>36.974999999999994</v>
          </cell>
          <cell r="BI1319">
            <v>31</v>
          </cell>
          <cell r="BJ1319">
            <v>0</v>
          </cell>
        </row>
        <row r="1320">
          <cell r="D1320" t="str">
            <v>Univerzita Komenského v Bratislave</v>
          </cell>
          <cell r="E1320" t="str">
            <v>Filozofická fakulta</v>
          </cell>
          <cell r="AN1320">
            <v>3</v>
          </cell>
          <cell r="AO1320">
            <v>0</v>
          </cell>
          <cell r="AP1320">
            <v>0</v>
          </cell>
          <cell r="AQ1320">
            <v>0</v>
          </cell>
          <cell r="AR1320">
            <v>3</v>
          </cell>
          <cell r="BF1320">
            <v>9</v>
          </cell>
          <cell r="BG1320">
            <v>9.9</v>
          </cell>
          <cell r="BH1320">
            <v>9.9</v>
          </cell>
          <cell r="BI1320">
            <v>3</v>
          </cell>
          <cell r="BJ1320">
            <v>3</v>
          </cell>
        </row>
        <row r="1321">
          <cell r="D1321" t="str">
            <v>Univerzita Komenského v Bratislave</v>
          </cell>
          <cell r="E1321" t="str">
            <v>Filozofická fakulta</v>
          </cell>
          <cell r="AN1321">
            <v>18</v>
          </cell>
          <cell r="AO1321">
            <v>23</v>
          </cell>
          <cell r="AP1321">
            <v>0</v>
          </cell>
          <cell r="AQ1321">
            <v>0</v>
          </cell>
          <cell r="AR1321">
            <v>18</v>
          </cell>
          <cell r="BF1321">
            <v>27</v>
          </cell>
          <cell r="BG1321">
            <v>27</v>
          </cell>
          <cell r="BH1321">
            <v>27</v>
          </cell>
          <cell r="BI1321">
            <v>23</v>
          </cell>
          <cell r="BJ1321">
            <v>0</v>
          </cell>
        </row>
        <row r="1322">
          <cell r="D1322" t="str">
            <v>Univerzita Komenského v Bratislave</v>
          </cell>
          <cell r="E1322" t="str">
            <v>Filozofická fakulta</v>
          </cell>
          <cell r="AN1322">
            <v>72.5</v>
          </cell>
          <cell r="AO1322">
            <v>78</v>
          </cell>
          <cell r="AP1322">
            <v>0</v>
          </cell>
          <cell r="AQ1322">
            <v>0</v>
          </cell>
          <cell r="AR1322">
            <v>72.5</v>
          </cell>
          <cell r="BF1322">
            <v>61.55</v>
          </cell>
          <cell r="BG1322">
            <v>67.089500000000001</v>
          </cell>
          <cell r="BH1322">
            <v>67.089500000000001</v>
          </cell>
          <cell r="BI1322">
            <v>78</v>
          </cell>
          <cell r="BJ1322">
            <v>0</v>
          </cell>
        </row>
        <row r="1323">
          <cell r="D1323" t="str">
            <v>Univerzita Komenského v Bratislave</v>
          </cell>
          <cell r="E1323" t="str">
            <v>Filozofická fakulta</v>
          </cell>
          <cell r="AN1323">
            <v>34.5</v>
          </cell>
          <cell r="AO1323">
            <v>39.5</v>
          </cell>
          <cell r="AP1323">
            <v>0</v>
          </cell>
          <cell r="AQ1323">
            <v>0</v>
          </cell>
          <cell r="AR1323">
            <v>34.5</v>
          </cell>
          <cell r="BF1323">
            <v>29.25</v>
          </cell>
          <cell r="BG1323">
            <v>31.882500000000004</v>
          </cell>
          <cell r="BH1323">
            <v>31.882500000000004</v>
          </cell>
          <cell r="BI1323">
            <v>39.5</v>
          </cell>
          <cell r="BJ1323">
            <v>0</v>
          </cell>
        </row>
        <row r="1324">
          <cell r="D1324" t="str">
            <v>Univerzita Komenského v Bratislave</v>
          </cell>
          <cell r="E1324" t="str">
            <v>Filozofická fakulta</v>
          </cell>
          <cell r="AN1324">
            <v>5</v>
          </cell>
          <cell r="AO1324">
            <v>10</v>
          </cell>
          <cell r="AP1324">
            <v>0</v>
          </cell>
          <cell r="AQ1324">
            <v>0</v>
          </cell>
          <cell r="AR1324">
            <v>5</v>
          </cell>
          <cell r="BF1324">
            <v>7.5</v>
          </cell>
          <cell r="BG1324">
            <v>7.8000000000000007</v>
          </cell>
          <cell r="BH1324">
            <v>6.2400000000000011</v>
          </cell>
          <cell r="BI1324">
            <v>10</v>
          </cell>
          <cell r="BJ1324">
            <v>0</v>
          </cell>
        </row>
        <row r="1325">
          <cell r="D1325" t="str">
            <v>Univerzita Komenského v Bratislave</v>
          </cell>
          <cell r="E1325" t="str">
            <v>Filozofická fakulta</v>
          </cell>
          <cell r="AN1325">
            <v>13</v>
          </cell>
          <cell r="AO1325">
            <v>17</v>
          </cell>
          <cell r="AP1325">
            <v>0</v>
          </cell>
          <cell r="AQ1325">
            <v>0</v>
          </cell>
          <cell r="AR1325">
            <v>13</v>
          </cell>
          <cell r="BF1325">
            <v>19.5</v>
          </cell>
          <cell r="BG1325">
            <v>19.5</v>
          </cell>
          <cell r="BH1325">
            <v>19.5</v>
          </cell>
          <cell r="BI1325">
            <v>17</v>
          </cell>
          <cell r="BJ1325">
            <v>0</v>
          </cell>
        </row>
        <row r="1326">
          <cell r="D1326" t="str">
            <v>Univerzita Komenského v Bratislave</v>
          </cell>
          <cell r="E1326" t="str">
            <v>Filozofická fakulta</v>
          </cell>
          <cell r="AN1326">
            <v>6</v>
          </cell>
          <cell r="AO1326">
            <v>0</v>
          </cell>
          <cell r="AP1326">
            <v>0</v>
          </cell>
          <cell r="AQ1326">
            <v>0</v>
          </cell>
          <cell r="AR1326">
            <v>6</v>
          </cell>
          <cell r="BF1326">
            <v>18</v>
          </cell>
          <cell r="BG1326">
            <v>19.8</v>
          </cell>
          <cell r="BH1326">
            <v>19.8</v>
          </cell>
          <cell r="BI1326">
            <v>6</v>
          </cell>
          <cell r="BJ1326">
            <v>6</v>
          </cell>
        </row>
        <row r="1327">
          <cell r="D1327" t="str">
            <v>Univerzita Komenského v Bratislave</v>
          </cell>
          <cell r="E1327" t="str">
            <v>Filozofická fakulta</v>
          </cell>
          <cell r="AN1327">
            <v>9</v>
          </cell>
          <cell r="AO1327">
            <v>0</v>
          </cell>
          <cell r="AP1327">
            <v>0</v>
          </cell>
          <cell r="AQ1327">
            <v>0</v>
          </cell>
          <cell r="AR1327">
            <v>9</v>
          </cell>
          <cell r="BF1327">
            <v>27</v>
          </cell>
          <cell r="BG1327">
            <v>29.700000000000003</v>
          </cell>
          <cell r="BH1327">
            <v>29.700000000000003</v>
          </cell>
          <cell r="BI1327">
            <v>9</v>
          </cell>
          <cell r="BJ1327">
            <v>9</v>
          </cell>
        </row>
        <row r="1328">
          <cell r="D1328" t="str">
            <v>Univerzita Komenského v Bratislave</v>
          </cell>
          <cell r="E1328" t="str">
            <v>Filozofická fakulta</v>
          </cell>
          <cell r="AN1328">
            <v>9</v>
          </cell>
          <cell r="AO1328">
            <v>0</v>
          </cell>
          <cell r="AP1328">
            <v>0</v>
          </cell>
          <cell r="AQ1328">
            <v>0</v>
          </cell>
          <cell r="AR1328">
            <v>9</v>
          </cell>
          <cell r="BF1328">
            <v>27</v>
          </cell>
          <cell r="BG1328">
            <v>29.700000000000003</v>
          </cell>
          <cell r="BH1328">
            <v>29.700000000000003</v>
          </cell>
          <cell r="BI1328">
            <v>9</v>
          </cell>
          <cell r="BJ1328">
            <v>9</v>
          </cell>
        </row>
        <row r="1329">
          <cell r="D1329" t="str">
            <v>Univerzita Komenského v Bratislave</v>
          </cell>
          <cell r="E1329" t="str">
            <v>Filozofická fakulta</v>
          </cell>
          <cell r="AN1329">
            <v>3</v>
          </cell>
          <cell r="AO1329">
            <v>0</v>
          </cell>
          <cell r="AP1329">
            <v>0</v>
          </cell>
          <cell r="AQ1329">
            <v>0</v>
          </cell>
          <cell r="AR1329">
            <v>3</v>
          </cell>
          <cell r="BF1329">
            <v>9</v>
          </cell>
          <cell r="BG1329">
            <v>9.9</v>
          </cell>
          <cell r="BH1329">
            <v>9.9</v>
          </cell>
          <cell r="BI1329">
            <v>3</v>
          </cell>
          <cell r="BJ1329">
            <v>3</v>
          </cell>
        </row>
        <row r="1330">
          <cell r="D1330" t="str">
            <v>Univerzita Komenského v Bratislave</v>
          </cell>
          <cell r="E1330" t="str">
            <v>Filozofická fakulta</v>
          </cell>
          <cell r="AN1330">
            <v>38</v>
          </cell>
          <cell r="AO1330">
            <v>41</v>
          </cell>
          <cell r="AP1330">
            <v>0</v>
          </cell>
          <cell r="AQ1330">
            <v>0</v>
          </cell>
          <cell r="AR1330">
            <v>38</v>
          </cell>
          <cell r="BF1330">
            <v>57</v>
          </cell>
          <cell r="BG1330">
            <v>67.83</v>
          </cell>
          <cell r="BH1330">
            <v>65.641935483870967</v>
          </cell>
          <cell r="BI1330">
            <v>41</v>
          </cell>
          <cell r="BJ1330">
            <v>0</v>
          </cell>
        </row>
        <row r="1331">
          <cell r="D1331" t="str">
            <v>Univerzita Komenského v Bratislave</v>
          </cell>
          <cell r="E1331" t="str">
            <v>Filozofická fakulta</v>
          </cell>
          <cell r="AN1331">
            <v>21</v>
          </cell>
          <cell r="AO1331">
            <v>25</v>
          </cell>
          <cell r="AP1331">
            <v>0</v>
          </cell>
          <cell r="AQ1331">
            <v>0</v>
          </cell>
          <cell r="AR1331">
            <v>21</v>
          </cell>
          <cell r="BF1331">
            <v>31.5</v>
          </cell>
          <cell r="BG1331">
            <v>32.76</v>
          </cell>
          <cell r="BH1331">
            <v>32.76</v>
          </cell>
          <cell r="BI1331">
            <v>25</v>
          </cell>
          <cell r="BJ1331">
            <v>0</v>
          </cell>
        </row>
        <row r="1332">
          <cell r="D1332" t="str">
            <v>Univerzita Komenského v Bratislave</v>
          </cell>
          <cell r="E1332" t="str">
            <v>Filozofická fakulta</v>
          </cell>
          <cell r="AN1332">
            <v>30</v>
          </cell>
          <cell r="AO1332">
            <v>44</v>
          </cell>
          <cell r="AP1332">
            <v>0</v>
          </cell>
          <cell r="AQ1332">
            <v>0</v>
          </cell>
          <cell r="AR1332">
            <v>30</v>
          </cell>
          <cell r="BF1332">
            <v>45</v>
          </cell>
          <cell r="BG1332">
            <v>45</v>
          </cell>
          <cell r="BH1332">
            <v>42.5</v>
          </cell>
          <cell r="BI1332">
            <v>44</v>
          </cell>
          <cell r="BJ1332">
            <v>0</v>
          </cell>
        </row>
        <row r="1333">
          <cell r="D1333" t="str">
            <v>Univerzita Komenského v Bratislave</v>
          </cell>
          <cell r="E1333" t="str">
            <v>Filozofická fakulta</v>
          </cell>
          <cell r="AN1333">
            <v>28.5</v>
          </cell>
          <cell r="AO1333">
            <v>31.5</v>
          </cell>
          <cell r="AP1333">
            <v>0</v>
          </cell>
          <cell r="AQ1333">
            <v>0</v>
          </cell>
          <cell r="AR1333">
            <v>28.5</v>
          </cell>
          <cell r="BF1333">
            <v>42.75</v>
          </cell>
          <cell r="BG1333">
            <v>64.125</v>
          </cell>
          <cell r="BH1333">
            <v>60.750000000000007</v>
          </cell>
          <cell r="BI1333">
            <v>31.5</v>
          </cell>
          <cell r="BJ1333">
            <v>0</v>
          </cell>
        </row>
        <row r="1334">
          <cell r="D1334" t="str">
            <v>Univerzita Komenského v Bratislave</v>
          </cell>
          <cell r="E1334" t="str">
            <v>Filozofická fakulta</v>
          </cell>
          <cell r="AN1334">
            <v>20</v>
          </cell>
          <cell r="AO1334">
            <v>23.5</v>
          </cell>
          <cell r="AP1334">
            <v>0</v>
          </cell>
          <cell r="AQ1334">
            <v>0</v>
          </cell>
          <cell r="AR1334">
            <v>20</v>
          </cell>
          <cell r="BF1334">
            <v>30</v>
          </cell>
          <cell r="BG1334">
            <v>45</v>
          </cell>
          <cell r="BH1334">
            <v>43.125</v>
          </cell>
          <cell r="BI1334">
            <v>23.5</v>
          </cell>
          <cell r="BJ1334">
            <v>0</v>
          </cell>
        </row>
        <row r="1335">
          <cell r="D1335" t="str">
            <v>Univerzita Komenského v Bratislave</v>
          </cell>
          <cell r="E1335" t="str">
            <v>Filozofická fakulta</v>
          </cell>
          <cell r="AN1335">
            <v>88</v>
          </cell>
          <cell r="AO1335">
            <v>95</v>
          </cell>
          <cell r="AP1335">
            <v>0</v>
          </cell>
          <cell r="AQ1335">
            <v>0</v>
          </cell>
          <cell r="AR1335">
            <v>88</v>
          </cell>
          <cell r="BF1335">
            <v>132</v>
          </cell>
          <cell r="BG1335">
            <v>157.07999999999998</v>
          </cell>
          <cell r="BH1335">
            <v>148.58918918918917</v>
          </cell>
          <cell r="BI1335">
            <v>95</v>
          </cell>
          <cell r="BJ1335">
            <v>0</v>
          </cell>
        </row>
        <row r="1336">
          <cell r="D1336" t="str">
            <v>Univerzita Komenského v Bratislave</v>
          </cell>
          <cell r="E1336" t="str">
            <v>Filozofická fakulta</v>
          </cell>
          <cell r="AN1336">
            <v>15</v>
          </cell>
          <cell r="AO1336">
            <v>18</v>
          </cell>
          <cell r="AP1336">
            <v>0</v>
          </cell>
          <cell r="AQ1336">
            <v>0</v>
          </cell>
          <cell r="AR1336">
            <v>15</v>
          </cell>
          <cell r="BF1336">
            <v>22.5</v>
          </cell>
          <cell r="BG1336">
            <v>22.5</v>
          </cell>
          <cell r="BH1336">
            <v>15.749999999999998</v>
          </cell>
          <cell r="BI1336">
            <v>18</v>
          </cell>
          <cell r="BJ1336">
            <v>0</v>
          </cell>
        </row>
        <row r="1337">
          <cell r="D1337" t="str">
            <v>Univerzita Komenského v Bratislave</v>
          </cell>
          <cell r="E1337" t="str">
            <v>Filozofická fakulta</v>
          </cell>
          <cell r="AN1337">
            <v>5</v>
          </cell>
          <cell r="AO1337">
            <v>8</v>
          </cell>
          <cell r="AP1337">
            <v>0</v>
          </cell>
          <cell r="AQ1337">
            <v>0</v>
          </cell>
          <cell r="AR1337">
            <v>5</v>
          </cell>
          <cell r="BF1337">
            <v>7.5</v>
          </cell>
          <cell r="BG1337">
            <v>7.5</v>
          </cell>
          <cell r="BH1337">
            <v>2.5000000000000004</v>
          </cell>
          <cell r="BI1337">
            <v>8</v>
          </cell>
          <cell r="BJ1337">
            <v>0</v>
          </cell>
        </row>
        <row r="1338">
          <cell r="D1338" t="str">
            <v>Univerzita Komenského v Bratislave</v>
          </cell>
          <cell r="E1338" t="str">
            <v>Filozofická fakulta</v>
          </cell>
          <cell r="AN1338">
            <v>53</v>
          </cell>
          <cell r="AO1338">
            <v>54</v>
          </cell>
          <cell r="AP1338">
            <v>0</v>
          </cell>
          <cell r="AQ1338">
            <v>0</v>
          </cell>
          <cell r="AR1338">
            <v>53</v>
          </cell>
          <cell r="BF1338">
            <v>79.5</v>
          </cell>
          <cell r="BG1338">
            <v>94.60499999999999</v>
          </cell>
          <cell r="BH1338">
            <v>76.294354838709666</v>
          </cell>
          <cell r="BI1338">
            <v>54</v>
          </cell>
          <cell r="BJ1338">
            <v>0</v>
          </cell>
        </row>
        <row r="1339">
          <cell r="D1339" t="str">
            <v>Univerzita Komenského v Bratislave</v>
          </cell>
          <cell r="E1339" t="str">
            <v>Filozofická fakulta</v>
          </cell>
          <cell r="AN1339">
            <v>17</v>
          </cell>
          <cell r="AO1339">
            <v>21</v>
          </cell>
          <cell r="AP1339">
            <v>0</v>
          </cell>
          <cell r="AQ1339">
            <v>0</v>
          </cell>
          <cell r="AR1339">
            <v>17</v>
          </cell>
          <cell r="BF1339">
            <v>25.5</v>
          </cell>
          <cell r="BG1339">
            <v>25.5</v>
          </cell>
          <cell r="BH1339">
            <v>14.571428571428571</v>
          </cell>
          <cell r="BI1339">
            <v>21</v>
          </cell>
          <cell r="BJ1339">
            <v>0</v>
          </cell>
        </row>
        <row r="1340">
          <cell r="D1340" t="str">
            <v>Univerzita Komenského v Bratislave</v>
          </cell>
          <cell r="E1340" t="str">
            <v>Filozofická fakulta</v>
          </cell>
          <cell r="AN1340">
            <v>42</v>
          </cell>
          <cell r="AO1340">
            <v>56</v>
          </cell>
          <cell r="AP1340">
            <v>0</v>
          </cell>
          <cell r="AQ1340">
            <v>0</v>
          </cell>
          <cell r="AR1340">
            <v>42</v>
          </cell>
          <cell r="BF1340">
            <v>63</v>
          </cell>
          <cell r="BG1340">
            <v>63</v>
          </cell>
          <cell r="BH1340">
            <v>46.03846153846154</v>
          </cell>
          <cell r="BI1340">
            <v>56</v>
          </cell>
          <cell r="BJ1340">
            <v>0</v>
          </cell>
        </row>
        <row r="1341">
          <cell r="D1341" t="str">
            <v>Univerzita Komenského v Bratislave</v>
          </cell>
          <cell r="E1341" t="str">
            <v>Filozofická fakulta</v>
          </cell>
          <cell r="AN1341">
            <v>17</v>
          </cell>
          <cell r="AO1341">
            <v>22</v>
          </cell>
          <cell r="AP1341">
            <v>0</v>
          </cell>
          <cell r="AQ1341">
            <v>0</v>
          </cell>
          <cell r="AR1341">
            <v>17</v>
          </cell>
          <cell r="BF1341">
            <v>25.5</v>
          </cell>
          <cell r="BG1341">
            <v>30.344999999999999</v>
          </cell>
          <cell r="BH1341">
            <v>26.551874999999999</v>
          </cell>
          <cell r="BI1341">
            <v>22</v>
          </cell>
          <cell r="BJ1341">
            <v>0</v>
          </cell>
        </row>
        <row r="1342">
          <cell r="D1342" t="str">
            <v>Univerzita Komenského v Bratislave</v>
          </cell>
          <cell r="E1342" t="str">
            <v>Filozofická fakulta</v>
          </cell>
          <cell r="AN1342">
            <v>10</v>
          </cell>
          <cell r="AO1342">
            <v>12</v>
          </cell>
          <cell r="AP1342">
            <v>0</v>
          </cell>
          <cell r="AQ1342">
            <v>0</v>
          </cell>
          <cell r="AR1342">
            <v>10</v>
          </cell>
          <cell r="BF1342">
            <v>15</v>
          </cell>
          <cell r="BG1342">
            <v>15.600000000000001</v>
          </cell>
          <cell r="BH1342">
            <v>15.600000000000001</v>
          </cell>
          <cell r="BI1342">
            <v>12</v>
          </cell>
          <cell r="BJ1342">
            <v>0</v>
          </cell>
        </row>
        <row r="1343">
          <cell r="D1343" t="str">
            <v>Univerzita Komenského v Bratislave</v>
          </cell>
          <cell r="E1343" t="str">
            <v>Filozofická fakulta</v>
          </cell>
          <cell r="AN1343">
            <v>18.5</v>
          </cell>
          <cell r="AO1343">
            <v>19</v>
          </cell>
          <cell r="AP1343">
            <v>0</v>
          </cell>
          <cell r="AQ1343">
            <v>0</v>
          </cell>
          <cell r="AR1343">
            <v>18.5</v>
          </cell>
          <cell r="BF1343">
            <v>27.75</v>
          </cell>
          <cell r="BG1343">
            <v>41.625</v>
          </cell>
          <cell r="BH1343">
            <v>29.137499999999999</v>
          </cell>
          <cell r="BI1343">
            <v>19</v>
          </cell>
          <cell r="BJ1343">
            <v>0</v>
          </cell>
        </row>
        <row r="1344">
          <cell r="D1344" t="str">
            <v>Univerzita Komenského v Bratislave</v>
          </cell>
          <cell r="E1344" t="str">
            <v>Filozofická fakulta</v>
          </cell>
          <cell r="AN1344">
            <v>10</v>
          </cell>
          <cell r="AO1344">
            <v>13</v>
          </cell>
          <cell r="AP1344">
            <v>0</v>
          </cell>
          <cell r="AQ1344">
            <v>0</v>
          </cell>
          <cell r="AR1344">
            <v>10</v>
          </cell>
          <cell r="BF1344">
            <v>15</v>
          </cell>
          <cell r="BG1344">
            <v>15</v>
          </cell>
          <cell r="BH1344">
            <v>9.375</v>
          </cell>
          <cell r="BI1344">
            <v>13</v>
          </cell>
          <cell r="BJ1344">
            <v>0</v>
          </cell>
        </row>
        <row r="1345">
          <cell r="D1345" t="str">
            <v>Univerzita Komenského v Bratislave</v>
          </cell>
          <cell r="E1345" t="str">
            <v>Filozofická fakulta</v>
          </cell>
          <cell r="AN1345">
            <v>11</v>
          </cell>
          <cell r="AO1345">
            <v>12</v>
          </cell>
          <cell r="AP1345">
            <v>0</v>
          </cell>
          <cell r="AQ1345">
            <v>0</v>
          </cell>
          <cell r="AR1345">
            <v>11</v>
          </cell>
          <cell r="BF1345">
            <v>16.5</v>
          </cell>
          <cell r="BG1345">
            <v>16.5</v>
          </cell>
          <cell r="BH1345">
            <v>16.5</v>
          </cell>
          <cell r="BI1345">
            <v>12</v>
          </cell>
          <cell r="BJ1345">
            <v>0</v>
          </cell>
        </row>
        <row r="1346">
          <cell r="D1346" t="str">
            <v>Univerzita Komenského v Bratislave</v>
          </cell>
          <cell r="E1346" t="str">
            <v>Filozofická fakulta</v>
          </cell>
          <cell r="AN1346">
            <v>25</v>
          </cell>
          <cell r="AO1346">
            <v>29</v>
          </cell>
          <cell r="AP1346">
            <v>0</v>
          </cell>
          <cell r="AQ1346">
            <v>0</v>
          </cell>
          <cell r="AR1346">
            <v>25</v>
          </cell>
          <cell r="BF1346">
            <v>37.5</v>
          </cell>
          <cell r="BG1346">
            <v>37.5</v>
          </cell>
          <cell r="BH1346">
            <v>33.75</v>
          </cell>
          <cell r="BI1346">
            <v>29</v>
          </cell>
          <cell r="BJ1346">
            <v>0</v>
          </cell>
        </row>
        <row r="1347">
          <cell r="D1347" t="str">
            <v>Univerzita Komenského v Bratislave</v>
          </cell>
          <cell r="E1347" t="str">
            <v>Filozofická fakulta</v>
          </cell>
          <cell r="AN1347">
            <v>36</v>
          </cell>
          <cell r="AO1347">
            <v>38.5</v>
          </cell>
          <cell r="AP1347">
            <v>0</v>
          </cell>
          <cell r="AQ1347">
            <v>0</v>
          </cell>
          <cell r="AR1347">
            <v>36</v>
          </cell>
          <cell r="BF1347">
            <v>31.049999999999997</v>
          </cell>
          <cell r="BG1347">
            <v>46.574999999999996</v>
          </cell>
          <cell r="BH1347">
            <v>46.574999999999996</v>
          </cell>
          <cell r="BI1347">
            <v>38.5</v>
          </cell>
          <cell r="BJ1347">
            <v>0</v>
          </cell>
        </row>
        <row r="1348">
          <cell r="D1348" t="str">
            <v>Univerzita Komenského v Bratislave</v>
          </cell>
          <cell r="E1348" t="str">
            <v>Filozofická fakulta</v>
          </cell>
          <cell r="AN1348">
            <v>43</v>
          </cell>
          <cell r="AO1348">
            <v>46</v>
          </cell>
          <cell r="AP1348">
            <v>0</v>
          </cell>
          <cell r="AQ1348">
            <v>0</v>
          </cell>
          <cell r="AR1348">
            <v>43</v>
          </cell>
          <cell r="BF1348">
            <v>39.4</v>
          </cell>
          <cell r="BG1348">
            <v>40.975999999999999</v>
          </cell>
          <cell r="BH1348">
            <v>40.975999999999999</v>
          </cell>
          <cell r="BI1348">
            <v>46</v>
          </cell>
          <cell r="BJ1348">
            <v>0</v>
          </cell>
        </row>
        <row r="1349">
          <cell r="D1349" t="str">
            <v>Univerzita Komenského v Bratislave</v>
          </cell>
          <cell r="E1349" t="str">
            <v>Filozofická fakulta</v>
          </cell>
          <cell r="AN1349">
            <v>20</v>
          </cell>
          <cell r="AO1349">
            <v>24</v>
          </cell>
          <cell r="AP1349">
            <v>0</v>
          </cell>
          <cell r="AQ1349">
            <v>0</v>
          </cell>
          <cell r="AR1349">
            <v>20</v>
          </cell>
          <cell r="BF1349">
            <v>16.7</v>
          </cell>
          <cell r="BG1349">
            <v>16.7</v>
          </cell>
          <cell r="BH1349">
            <v>16.7</v>
          </cell>
          <cell r="BI1349">
            <v>24</v>
          </cell>
          <cell r="BJ1349">
            <v>0</v>
          </cell>
        </row>
        <row r="1350">
          <cell r="D1350" t="str">
            <v>Univerzita Komenského v Bratislave</v>
          </cell>
          <cell r="E1350" t="str">
            <v>Filozofická fakulta</v>
          </cell>
          <cell r="AN1350">
            <v>30</v>
          </cell>
          <cell r="AO1350">
            <v>37</v>
          </cell>
          <cell r="AP1350">
            <v>0</v>
          </cell>
          <cell r="AQ1350">
            <v>0</v>
          </cell>
          <cell r="AR1350">
            <v>30</v>
          </cell>
          <cell r="BF1350">
            <v>27.6</v>
          </cell>
          <cell r="BG1350">
            <v>27.6</v>
          </cell>
          <cell r="BH1350">
            <v>27.6</v>
          </cell>
          <cell r="BI1350">
            <v>37</v>
          </cell>
          <cell r="BJ1350">
            <v>0</v>
          </cell>
        </row>
        <row r="1351">
          <cell r="D1351" t="str">
            <v>Univerzita Komenského v Bratislave</v>
          </cell>
          <cell r="E1351" t="str">
            <v>Filozofická fakulta</v>
          </cell>
          <cell r="AN1351">
            <v>13</v>
          </cell>
          <cell r="AO1351">
            <v>14</v>
          </cell>
          <cell r="AP1351">
            <v>0</v>
          </cell>
          <cell r="AQ1351">
            <v>0</v>
          </cell>
          <cell r="AR1351">
            <v>13</v>
          </cell>
          <cell r="BF1351">
            <v>10.45</v>
          </cell>
          <cell r="BG1351">
            <v>11.390499999999999</v>
          </cell>
          <cell r="BH1351">
            <v>11.390499999999999</v>
          </cell>
          <cell r="BI1351">
            <v>14</v>
          </cell>
          <cell r="BJ1351">
            <v>0</v>
          </cell>
        </row>
        <row r="1352">
          <cell r="D1352" t="str">
            <v>Univerzita Komenského v Bratislave</v>
          </cell>
          <cell r="E1352" t="str">
            <v>Filozofická fakulta</v>
          </cell>
          <cell r="AN1352">
            <v>40</v>
          </cell>
          <cell r="AO1352">
            <v>43</v>
          </cell>
          <cell r="AP1352">
            <v>0</v>
          </cell>
          <cell r="AQ1352">
            <v>0</v>
          </cell>
          <cell r="AR1352">
            <v>40</v>
          </cell>
          <cell r="BF1352">
            <v>33.85</v>
          </cell>
          <cell r="BG1352">
            <v>36.896500000000003</v>
          </cell>
          <cell r="BH1352">
            <v>36.896500000000003</v>
          </cell>
          <cell r="BI1352">
            <v>43</v>
          </cell>
          <cell r="BJ1352">
            <v>0</v>
          </cell>
        </row>
        <row r="1353">
          <cell r="D1353" t="str">
            <v>Univerzita Komenského v Bratislave</v>
          </cell>
          <cell r="E1353" t="str">
            <v>Filozofická fakulta</v>
          </cell>
          <cell r="AN1353">
            <v>22</v>
          </cell>
          <cell r="AO1353">
            <v>29</v>
          </cell>
          <cell r="AP1353">
            <v>0</v>
          </cell>
          <cell r="AQ1353">
            <v>0</v>
          </cell>
          <cell r="AR1353">
            <v>22</v>
          </cell>
          <cell r="BF1353">
            <v>16.899999999999999</v>
          </cell>
          <cell r="BG1353">
            <v>16.899999999999999</v>
          </cell>
          <cell r="BH1353">
            <v>16.899999999999999</v>
          </cell>
          <cell r="BI1353">
            <v>29</v>
          </cell>
          <cell r="BJ1353">
            <v>0</v>
          </cell>
        </row>
        <row r="1354">
          <cell r="D1354" t="str">
            <v>Univerzita Komenského v Bratislave</v>
          </cell>
          <cell r="E1354" t="str">
            <v>Filozofická fakulta</v>
          </cell>
          <cell r="AN1354">
            <v>28.5</v>
          </cell>
          <cell r="AO1354">
            <v>32</v>
          </cell>
          <cell r="AP1354">
            <v>0</v>
          </cell>
          <cell r="AQ1354">
            <v>0</v>
          </cell>
          <cell r="AR1354">
            <v>28.5</v>
          </cell>
          <cell r="BF1354">
            <v>24.9</v>
          </cell>
          <cell r="BG1354">
            <v>37.349999999999994</v>
          </cell>
          <cell r="BH1354">
            <v>37.349999999999994</v>
          </cell>
          <cell r="BI1354">
            <v>32</v>
          </cell>
          <cell r="BJ1354">
            <v>0</v>
          </cell>
        </row>
        <row r="1355">
          <cell r="D1355" t="str">
            <v>Univerzita Komenského v Bratislave</v>
          </cell>
          <cell r="E1355" t="str">
            <v>Filozofická fakulta</v>
          </cell>
          <cell r="AN1355">
            <v>32</v>
          </cell>
          <cell r="AO1355">
            <v>39</v>
          </cell>
          <cell r="AP1355">
            <v>0</v>
          </cell>
          <cell r="AQ1355">
            <v>0</v>
          </cell>
          <cell r="AR1355">
            <v>32</v>
          </cell>
          <cell r="BF1355">
            <v>29</v>
          </cell>
          <cell r="BG1355">
            <v>29</v>
          </cell>
          <cell r="BH1355">
            <v>26.363636363636363</v>
          </cell>
          <cell r="BI1355">
            <v>39</v>
          </cell>
          <cell r="BJ1355">
            <v>0</v>
          </cell>
        </row>
        <row r="1356">
          <cell r="D1356" t="str">
            <v>Univerzita Komenského v Bratislave</v>
          </cell>
          <cell r="E1356" t="str">
            <v>Filozofická fakulta</v>
          </cell>
          <cell r="AN1356">
            <v>13.5</v>
          </cell>
          <cell r="AO1356">
            <v>14.5</v>
          </cell>
          <cell r="AP1356">
            <v>0</v>
          </cell>
          <cell r="AQ1356">
            <v>0</v>
          </cell>
          <cell r="AR1356">
            <v>13.5</v>
          </cell>
          <cell r="BF1356">
            <v>11.85</v>
          </cell>
          <cell r="BG1356">
            <v>17.774999999999999</v>
          </cell>
          <cell r="BH1356">
            <v>17.774999999999999</v>
          </cell>
          <cell r="BI1356">
            <v>14.5</v>
          </cell>
          <cell r="BJ1356">
            <v>0</v>
          </cell>
        </row>
        <row r="1357">
          <cell r="D1357" t="str">
            <v>Univerzita Komenského v Bratislave</v>
          </cell>
          <cell r="E1357" t="str">
            <v>Filozofická fakulta</v>
          </cell>
          <cell r="AN1357">
            <v>40</v>
          </cell>
          <cell r="AO1357">
            <v>45</v>
          </cell>
          <cell r="AP1357">
            <v>0</v>
          </cell>
          <cell r="AQ1357">
            <v>0</v>
          </cell>
          <cell r="AR1357">
            <v>40</v>
          </cell>
          <cell r="BF1357">
            <v>34.6</v>
          </cell>
          <cell r="BG1357">
            <v>34.6</v>
          </cell>
          <cell r="BH1357">
            <v>34.6</v>
          </cell>
          <cell r="BI1357">
            <v>45</v>
          </cell>
          <cell r="BJ1357">
            <v>0</v>
          </cell>
        </row>
        <row r="1358">
          <cell r="D1358" t="str">
            <v>Univerzita Komenského v Bratislave</v>
          </cell>
          <cell r="E1358" t="str">
            <v>Filozofická fakulta</v>
          </cell>
          <cell r="AN1358">
            <v>3.5</v>
          </cell>
          <cell r="AO1358">
            <v>4</v>
          </cell>
          <cell r="AP1358">
            <v>0</v>
          </cell>
          <cell r="AQ1358">
            <v>0</v>
          </cell>
          <cell r="AR1358">
            <v>3.5</v>
          </cell>
          <cell r="BF1358">
            <v>3.2</v>
          </cell>
          <cell r="BG1358">
            <v>4.8000000000000007</v>
          </cell>
          <cell r="BH1358">
            <v>4.8000000000000007</v>
          </cell>
          <cell r="BI1358">
            <v>4</v>
          </cell>
          <cell r="BJ1358">
            <v>0</v>
          </cell>
        </row>
        <row r="1359">
          <cell r="D1359" t="str">
            <v>Univerzita Komenského v Bratislave</v>
          </cell>
          <cell r="E1359" t="str">
            <v>Filozofická fakulta</v>
          </cell>
          <cell r="AN1359">
            <v>20</v>
          </cell>
          <cell r="AO1359">
            <v>22</v>
          </cell>
          <cell r="AP1359">
            <v>0</v>
          </cell>
          <cell r="AQ1359">
            <v>0</v>
          </cell>
          <cell r="AR1359">
            <v>20</v>
          </cell>
          <cell r="BF1359">
            <v>17</v>
          </cell>
          <cell r="BG1359">
            <v>25.5</v>
          </cell>
          <cell r="BH1359">
            <v>25.5</v>
          </cell>
          <cell r="BI1359">
            <v>22</v>
          </cell>
          <cell r="BJ1359">
            <v>0</v>
          </cell>
        </row>
        <row r="1360">
          <cell r="D1360" t="str">
            <v>Univerzita Komenského v Bratislave</v>
          </cell>
          <cell r="E1360" t="str">
            <v>Filozofická fakulta</v>
          </cell>
          <cell r="AN1360">
            <v>3</v>
          </cell>
          <cell r="AO1360">
            <v>4</v>
          </cell>
          <cell r="AP1360">
            <v>0</v>
          </cell>
          <cell r="AQ1360">
            <v>0</v>
          </cell>
          <cell r="AR1360">
            <v>3</v>
          </cell>
          <cell r="BF1360">
            <v>3</v>
          </cell>
          <cell r="BG1360">
            <v>3.57</v>
          </cell>
          <cell r="BH1360">
            <v>3.2454545454545451</v>
          </cell>
          <cell r="BI1360">
            <v>4</v>
          </cell>
          <cell r="BJ1360">
            <v>0</v>
          </cell>
        </row>
        <row r="1361">
          <cell r="D1361" t="str">
            <v>Univerzita Komenského v Bratislave</v>
          </cell>
          <cell r="E1361" t="str">
            <v>Filozofická fakulta</v>
          </cell>
          <cell r="AN1361">
            <v>20.5</v>
          </cell>
          <cell r="AO1361">
            <v>23</v>
          </cell>
          <cell r="AP1361">
            <v>0</v>
          </cell>
          <cell r="AQ1361">
            <v>0</v>
          </cell>
          <cell r="AR1361">
            <v>20.5</v>
          </cell>
          <cell r="BF1361">
            <v>30.75</v>
          </cell>
          <cell r="BG1361">
            <v>33.517500000000005</v>
          </cell>
          <cell r="BH1361">
            <v>33.517500000000005</v>
          </cell>
          <cell r="BI1361">
            <v>23</v>
          </cell>
          <cell r="BJ1361">
            <v>0</v>
          </cell>
        </row>
        <row r="1362">
          <cell r="D1362" t="str">
            <v>Univerzita Komenského v Bratislave</v>
          </cell>
          <cell r="E1362" t="str">
            <v>Filozofická fakulta</v>
          </cell>
          <cell r="AN1362">
            <v>13</v>
          </cell>
          <cell r="AO1362">
            <v>0</v>
          </cell>
          <cell r="AP1362">
            <v>0</v>
          </cell>
          <cell r="AQ1362">
            <v>0</v>
          </cell>
          <cell r="AR1362">
            <v>13</v>
          </cell>
          <cell r="BF1362">
            <v>39</v>
          </cell>
          <cell r="BG1362">
            <v>42.900000000000006</v>
          </cell>
          <cell r="BH1362">
            <v>42.900000000000006</v>
          </cell>
          <cell r="BI1362">
            <v>13</v>
          </cell>
          <cell r="BJ1362">
            <v>13</v>
          </cell>
        </row>
        <row r="1363">
          <cell r="D1363" t="str">
            <v>Univerzita Komenského v Bratislave</v>
          </cell>
          <cell r="E1363" t="str">
            <v>Filozofická fakulta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BF1363">
            <v>0</v>
          </cell>
          <cell r="BG1363">
            <v>0</v>
          </cell>
          <cell r="BH1363">
            <v>0</v>
          </cell>
          <cell r="BI1363">
            <v>2</v>
          </cell>
          <cell r="BJ1363">
            <v>0</v>
          </cell>
        </row>
        <row r="1364">
          <cell r="D1364" t="str">
            <v>Univerzita Komenského v Bratislave</v>
          </cell>
          <cell r="E1364" t="str">
            <v>Farmaceutická fakulta</v>
          </cell>
          <cell r="AN1364">
            <v>7</v>
          </cell>
          <cell r="AO1364">
            <v>0</v>
          </cell>
          <cell r="AP1364">
            <v>0</v>
          </cell>
          <cell r="AQ1364">
            <v>0</v>
          </cell>
          <cell r="AR1364">
            <v>7</v>
          </cell>
          <cell r="BF1364">
            <v>21</v>
          </cell>
          <cell r="BG1364">
            <v>44.73</v>
          </cell>
          <cell r="BH1364">
            <v>44.73</v>
          </cell>
          <cell r="BI1364">
            <v>7</v>
          </cell>
          <cell r="BJ1364">
            <v>7</v>
          </cell>
        </row>
        <row r="1365">
          <cell r="D1365" t="str">
            <v>Univerzita Komenského v Bratislave</v>
          </cell>
          <cell r="E1365" t="str">
            <v>Farmaceutická fakulta</v>
          </cell>
          <cell r="AN1365">
            <v>24</v>
          </cell>
          <cell r="AO1365">
            <v>0</v>
          </cell>
          <cell r="AP1365">
            <v>0</v>
          </cell>
          <cell r="AQ1365">
            <v>0</v>
          </cell>
          <cell r="AR1365">
            <v>24</v>
          </cell>
          <cell r="BF1365">
            <v>72</v>
          </cell>
          <cell r="BG1365">
            <v>153.35999999999999</v>
          </cell>
          <cell r="BH1365">
            <v>153.35999999999999</v>
          </cell>
          <cell r="BI1365">
            <v>24</v>
          </cell>
          <cell r="BJ1365">
            <v>24</v>
          </cell>
        </row>
        <row r="1366">
          <cell r="D1366" t="str">
            <v>Univerzita Komenského v Bratislave</v>
          </cell>
          <cell r="E1366" t="str">
            <v>Farmaceutická fakulta</v>
          </cell>
          <cell r="AN1366">
            <v>1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BF1366">
            <v>0</v>
          </cell>
          <cell r="BG1366">
            <v>0</v>
          </cell>
          <cell r="BH1366">
            <v>0</v>
          </cell>
          <cell r="BI1366">
            <v>7</v>
          </cell>
          <cell r="BJ1366">
            <v>0</v>
          </cell>
        </row>
        <row r="1367">
          <cell r="D1367" t="str">
            <v>Univerzita Komenského v Bratislave</v>
          </cell>
          <cell r="E1367" t="str">
            <v>Farmaceutická fakulta</v>
          </cell>
          <cell r="AN1367">
            <v>4</v>
          </cell>
          <cell r="AO1367">
            <v>0</v>
          </cell>
          <cell r="AP1367">
            <v>0</v>
          </cell>
          <cell r="AQ1367">
            <v>0</v>
          </cell>
          <cell r="AR1367">
            <v>4</v>
          </cell>
          <cell r="BF1367">
            <v>12</v>
          </cell>
          <cell r="BG1367">
            <v>25.56</v>
          </cell>
          <cell r="BH1367">
            <v>25.56</v>
          </cell>
          <cell r="BI1367">
            <v>4</v>
          </cell>
          <cell r="BJ1367">
            <v>4</v>
          </cell>
        </row>
        <row r="1368">
          <cell r="D1368" t="str">
            <v>Univerzita Komenského v Bratislave</v>
          </cell>
          <cell r="E1368" t="str">
            <v>Farmaceutická fakulta</v>
          </cell>
          <cell r="AN1368">
            <v>19</v>
          </cell>
          <cell r="AO1368">
            <v>24</v>
          </cell>
          <cell r="AP1368">
            <v>0</v>
          </cell>
          <cell r="AQ1368">
            <v>0</v>
          </cell>
          <cell r="AR1368">
            <v>19</v>
          </cell>
          <cell r="BF1368">
            <v>16.3</v>
          </cell>
          <cell r="BG1368">
            <v>24.124000000000002</v>
          </cell>
          <cell r="BH1368">
            <v>24.124000000000002</v>
          </cell>
          <cell r="BI1368">
            <v>24</v>
          </cell>
          <cell r="BJ1368">
            <v>0</v>
          </cell>
        </row>
        <row r="1369">
          <cell r="D1369" t="str">
            <v>Univerzita Komenského v Bratislave</v>
          </cell>
          <cell r="E1369" t="str">
            <v>Lekárska fakulta</v>
          </cell>
          <cell r="AN1369">
            <v>3</v>
          </cell>
          <cell r="AO1369">
            <v>0</v>
          </cell>
          <cell r="AP1369">
            <v>0</v>
          </cell>
          <cell r="AQ1369">
            <v>0</v>
          </cell>
          <cell r="AR1369">
            <v>3</v>
          </cell>
          <cell r="BF1369">
            <v>9</v>
          </cell>
          <cell r="BG1369">
            <v>30.69</v>
          </cell>
          <cell r="BH1369">
            <v>30.69</v>
          </cell>
          <cell r="BI1369">
            <v>3</v>
          </cell>
          <cell r="BJ1369">
            <v>3</v>
          </cell>
        </row>
        <row r="1370">
          <cell r="D1370" t="str">
            <v>Univerzita Komenského v Bratislave</v>
          </cell>
          <cell r="E1370" t="str">
            <v>Lekárska fakulta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11</v>
          </cell>
          <cell r="BJ1370">
            <v>0</v>
          </cell>
        </row>
        <row r="1371">
          <cell r="D1371" t="str">
            <v>Univerzita Komenského v Bratislave</v>
          </cell>
          <cell r="E1371" t="str">
            <v>Lekárska fakulta</v>
          </cell>
          <cell r="AN1371">
            <v>8</v>
          </cell>
          <cell r="AO1371">
            <v>0</v>
          </cell>
          <cell r="AP1371">
            <v>0</v>
          </cell>
          <cell r="AQ1371">
            <v>0</v>
          </cell>
          <cell r="AR1371">
            <v>8</v>
          </cell>
          <cell r="BF1371">
            <v>24</v>
          </cell>
          <cell r="BG1371">
            <v>81.84</v>
          </cell>
          <cell r="BH1371">
            <v>81.84</v>
          </cell>
          <cell r="BI1371">
            <v>8</v>
          </cell>
          <cell r="BJ1371">
            <v>8</v>
          </cell>
        </row>
        <row r="1372">
          <cell r="D1372" t="str">
            <v>Univerzita Komenského v Bratislave</v>
          </cell>
          <cell r="E1372" t="str">
            <v>Lekárska fakulta</v>
          </cell>
          <cell r="AN1372">
            <v>8</v>
          </cell>
          <cell r="AO1372">
            <v>0</v>
          </cell>
          <cell r="AP1372">
            <v>0</v>
          </cell>
          <cell r="AQ1372">
            <v>0</v>
          </cell>
          <cell r="AR1372">
            <v>8</v>
          </cell>
          <cell r="BF1372">
            <v>24</v>
          </cell>
          <cell r="BG1372">
            <v>81.84</v>
          </cell>
          <cell r="BH1372">
            <v>81.84</v>
          </cell>
          <cell r="BI1372">
            <v>8</v>
          </cell>
          <cell r="BJ1372">
            <v>8</v>
          </cell>
        </row>
        <row r="1373">
          <cell r="D1373" t="str">
            <v>Univerzita Komenského v Bratislave</v>
          </cell>
          <cell r="E1373" t="str">
            <v>Lekárska fakulta</v>
          </cell>
          <cell r="AN1373">
            <v>8</v>
          </cell>
          <cell r="AO1373">
            <v>0</v>
          </cell>
          <cell r="AP1373">
            <v>0</v>
          </cell>
          <cell r="AQ1373">
            <v>0</v>
          </cell>
          <cell r="AR1373">
            <v>8</v>
          </cell>
          <cell r="BF1373">
            <v>24</v>
          </cell>
          <cell r="BG1373">
            <v>81.84</v>
          </cell>
          <cell r="BH1373">
            <v>81.84</v>
          </cell>
          <cell r="BI1373">
            <v>8</v>
          </cell>
          <cell r="BJ1373">
            <v>8</v>
          </cell>
        </row>
        <row r="1374">
          <cell r="D1374" t="str">
            <v>Univerzita Komenského v Bratislave</v>
          </cell>
          <cell r="E1374" t="str">
            <v>Fakulta managementu</v>
          </cell>
          <cell r="AN1374">
            <v>383</v>
          </cell>
          <cell r="AO1374">
            <v>400</v>
          </cell>
          <cell r="AP1374">
            <v>0</v>
          </cell>
          <cell r="AQ1374">
            <v>0</v>
          </cell>
          <cell r="AR1374">
            <v>383</v>
          </cell>
          <cell r="BF1374">
            <v>574.5</v>
          </cell>
          <cell r="BG1374">
            <v>597.48</v>
          </cell>
          <cell r="BH1374">
            <v>547.68999999999994</v>
          </cell>
          <cell r="BI1374">
            <v>400</v>
          </cell>
          <cell r="BJ1374">
            <v>0</v>
          </cell>
        </row>
        <row r="1375">
          <cell r="D1375" t="str">
            <v>Univerzita Komenského v Bratislave</v>
          </cell>
          <cell r="E1375" t="str">
            <v>Právnická fakulta</v>
          </cell>
          <cell r="AN1375">
            <v>2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142</v>
          </cell>
          <cell r="BJ1375">
            <v>0</v>
          </cell>
        </row>
        <row r="1376">
          <cell r="D1376" t="str">
            <v>Univerzita Komenského v Bratislave</v>
          </cell>
          <cell r="E1376" t="str">
            <v>Právnická fakulta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44</v>
          </cell>
          <cell r="BJ1376">
            <v>0</v>
          </cell>
        </row>
        <row r="1377">
          <cell r="D1377" t="str">
            <v>Univerzita Komenského v Bratislave</v>
          </cell>
          <cell r="E1377" t="str">
            <v>Právnická fakulta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9</v>
          </cell>
          <cell r="BJ1377">
            <v>0</v>
          </cell>
        </row>
        <row r="1378">
          <cell r="D1378" t="str">
            <v>Univerzita Komenského v Bratislave</v>
          </cell>
          <cell r="E1378" t="str">
            <v>Právnická fakulta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9</v>
          </cell>
          <cell r="BJ1378">
            <v>0</v>
          </cell>
        </row>
        <row r="1379">
          <cell r="D1379" t="str">
            <v>Univerzita Komenského v Bratislave</v>
          </cell>
          <cell r="E1379" t="str">
            <v>Právnická fakulta</v>
          </cell>
          <cell r="AN1379">
            <v>12</v>
          </cell>
          <cell r="AO1379">
            <v>0</v>
          </cell>
          <cell r="AP1379">
            <v>0</v>
          </cell>
          <cell r="AQ1379">
            <v>0</v>
          </cell>
          <cell r="AR1379">
            <v>12</v>
          </cell>
          <cell r="BF1379">
            <v>48</v>
          </cell>
          <cell r="BG1379">
            <v>52.800000000000004</v>
          </cell>
          <cell r="BH1379">
            <v>52.800000000000004</v>
          </cell>
          <cell r="BI1379">
            <v>14</v>
          </cell>
          <cell r="BJ1379">
            <v>12</v>
          </cell>
        </row>
        <row r="1380">
          <cell r="D1380" t="str">
            <v>Univerzita Komenského v Bratislave</v>
          </cell>
          <cell r="E1380" t="str">
            <v>Právnická fakulta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2</v>
          </cell>
          <cell r="BJ1380">
            <v>0</v>
          </cell>
        </row>
        <row r="1381">
          <cell r="D1381" t="str">
            <v>Univerzita Komenského v Bratislave</v>
          </cell>
          <cell r="E1381" t="str">
            <v>Právnická fakulta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9</v>
          </cell>
          <cell r="BJ1381">
            <v>0</v>
          </cell>
        </row>
        <row r="1382">
          <cell r="D1382" t="str">
            <v>Univerzita Komenského v Bratislave</v>
          </cell>
          <cell r="E1382" t="str">
            <v>Pedagogická fakulta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75</v>
          </cell>
          <cell r="BJ1382">
            <v>0</v>
          </cell>
        </row>
        <row r="1383">
          <cell r="D1383" t="str">
            <v>Univerzita Komenského v Bratislave</v>
          </cell>
          <cell r="E1383" t="str">
            <v>Pedagogická fakulta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17</v>
          </cell>
          <cell r="BJ1383">
            <v>0</v>
          </cell>
        </row>
        <row r="1384">
          <cell r="D1384" t="str">
            <v>Univerzita Komenského v Bratislave</v>
          </cell>
          <cell r="E1384" t="str">
            <v>Pedagogická fakulta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4</v>
          </cell>
          <cell r="BJ1384">
            <v>0</v>
          </cell>
        </row>
        <row r="1385">
          <cell r="D1385" t="str">
            <v>Univerzita Komenského v Bratislave</v>
          </cell>
          <cell r="E1385" t="str">
            <v>Pedagogická fakulta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6.5</v>
          </cell>
          <cell r="BJ1385">
            <v>0</v>
          </cell>
        </row>
        <row r="1386">
          <cell r="D1386" t="str">
            <v>Univerzita Komenského v Bratislave</v>
          </cell>
          <cell r="E1386" t="str">
            <v>Pedagogická fakulta</v>
          </cell>
          <cell r="AN1386">
            <v>7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7</v>
          </cell>
          <cell r="BJ1386">
            <v>0</v>
          </cell>
        </row>
        <row r="1387">
          <cell r="D1387" t="str">
            <v>Univerzita Komenského v Bratislave</v>
          </cell>
          <cell r="E1387" t="str">
            <v>Pedagogická fakulta</v>
          </cell>
          <cell r="AN1387">
            <v>2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2</v>
          </cell>
          <cell r="BJ1387">
            <v>0</v>
          </cell>
        </row>
        <row r="1388">
          <cell r="D1388" t="str">
            <v>Univerzita Komenského v Bratislave</v>
          </cell>
          <cell r="E1388" t="str">
            <v>Pedagogická fakulta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238</v>
          </cell>
          <cell r="BJ1388">
            <v>0</v>
          </cell>
        </row>
        <row r="1389">
          <cell r="D1389" t="str">
            <v>Univerzita Komenského v Bratislave</v>
          </cell>
          <cell r="E1389" t="str">
            <v>Pedagogická fakulta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10</v>
          </cell>
          <cell r="BJ1389">
            <v>0</v>
          </cell>
        </row>
        <row r="1390">
          <cell r="D1390" t="str">
            <v>Univerzita Komenského v Bratislave</v>
          </cell>
          <cell r="E1390" t="str">
            <v>Pedagogická fakulta</v>
          </cell>
          <cell r="AN1390">
            <v>116</v>
          </cell>
          <cell r="AO1390">
            <v>121</v>
          </cell>
          <cell r="AP1390">
            <v>0</v>
          </cell>
          <cell r="AQ1390">
            <v>0</v>
          </cell>
          <cell r="AR1390">
            <v>116</v>
          </cell>
          <cell r="BF1390">
            <v>174</v>
          </cell>
          <cell r="BG1390">
            <v>207.06</v>
          </cell>
          <cell r="BH1390">
            <v>198.05739130434785</v>
          </cell>
          <cell r="BI1390">
            <v>121</v>
          </cell>
          <cell r="BJ1390">
            <v>0</v>
          </cell>
        </row>
        <row r="1391">
          <cell r="D1391" t="str">
            <v>Univerzita Komenského v Bratislave</v>
          </cell>
          <cell r="E1391" t="str">
            <v>Pedagogická fakulta</v>
          </cell>
          <cell r="AN1391">
            <v>4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4</v>
          </cell>
          <cell r="BJ1391">
            <v>0</v>
          </cell>
        </row>
        <row r="1392">
          <cell r="D1392" t="str">
            <v>Univerzita Komenského v Bratislave</v>
          </cell>
          <cell r="E1392" t="str">
            <v>Pedagogická fakulta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3.5</v>
          </cell>
          <cell r="BJ1392">
            <v>0</v>
          </cell>
        </row>
        <row r="1393">
          <cell r="D1393" t="str">
            <v>Univerzita Komenského v Bratislave</v>
          </cell>
          <cell r="E1393" t="str">
            <v>Pedagogická fakulta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22</v>
          </cell>
          <cell r="BJ1393">
            <v>0</v>
          </cell>
        </row>
        <row r="1394">
          <cell r="D1394" t="str">
            <v>Univerzita Komenského v Bratislave</v>
          </cell>
          <cell r="E1394" t="str">
            <v>Pedagogická fakulta</v>
          </cell>
          <cell r="AN1394">
            <v>19</v>
          </cell>
          <cell r="AO1394">
            <v>20.5</v>
          </cell>
          <cell r="AP1394">
            <v>0</v>
          </cell>
          <cell r="AQ1394">
            <v>0</v>
          </cell>
          <cell r="AR1394">
            <v>19</v>
          </cell>
          <cell r="BF1394">
            <v>28.5</v>
          </cell>
          <cell r="BG1394">
            <v>33.914999999999999</v>
          </cell>
          <cell r="BH1394">
            <v>33.914999999999999</v>
          </cell>
          <cell r="BI1394">
            <v>20.5</v>
          </cell>
          <cell r="BJ1394">
            <v>0</v>
          </cell>
        </row>
        <row r="1395">
          <cell r="D1395" t="str">
            <v>Univerzita Komenského v Bratislave</v>
          </cell>
          <cell r="E1395" t="str">
            <v>Pedagogická fakulta</v>
          </cell>
          <cell r="AN1395">
            <v>25</v>
          </cell>
          <cell r="AO1395">
            <v>27.5</v>
          </cell>
          <cell r="AP1395">
            <v>0</v>
          </cell>
          <cell r="AQ1395">
            <v>0</v>
          </cell>
          <cell r="AR1395">
            <v>25</v>
          </cell>
          <cell r="BF1395">
            <v>37.5</v>
          </cell>
          <cell r="BG1395">
            <v>40.875</v>
          </cell>
          <cell r="BH1395">
            <v>39.24</v>
          </cell>
          <cell r="BI1395">
            <v>27.5</v>
          </cell>
          <cell r="BJ1395">
            <v>0</v>
          </cell>
        </row>
        <row r="1396">
          <cell r="D1396" t="str">
            <v>Univerzita Komenského v Bratislave</v>
          </cell>
          <cell r="E1396" t="str">
            <v>Pedagogická fakulta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80</v>
          </cell>
          <cell r="BJ1396">
            <v>0</v>
          </cell>
        </row>
        <row r="1397">
          <cell r="D1397" t="str">
            <v>Univerzita Komenského v Bratislave</v>
          </cell>
          <cell r="E1397" t="str">
            <v>Pedagogická fakulta</v>
          </cell>
          <cell r="AN1397">
            <v>0</v>
          </cell>
          <cell r="AO1397">
            <v>1</v>
          </cell>
          <cell r="AP1397">
            <v>0</v>
          </cell>
          <cell r="AQ1397">
            <v>0</v>
          </cell>
          <cell r="AR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1</v>
          </cell>
          <cell r="BJ1397">
            <v>0</v>
          </cell>
        </row>
        <row r="1398">
          <cell r="D1398" t="str">
            <v>Univerzita Komenského v Bratislave</v>
          </cell>
          <cell r="E1398" t="str">
            <v>Pedagogická fakulta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2</v>
          </cell>
          <cell r="BJ1398">
            <v>0</v>
          </cell>
        </row>
        <row r="1399">
          <cell r="D1399" t="str">
            <v>Univerzita Komenského v Bratislave</v>
          </cell>
          <cell r="E1399" t="str">
            <v>Pedagogická fakulta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6</v>
          </cell>
          <cell r="BJ1399">
            <v>0</v>
          </cell>
        </row>
        <row r="1400">
          <cell r="D1400" t="str">
            <v>Univerzita Komenského v Bratislave</v>
          </cell>
          <cell r="E1400" t="str">
            <v>Pedagogická fakulta</v>
          </cell>
          <cell r="AN1400">
            <v>7</v>
          </cell>
          <cell r="AO1400">
            <v>9</v>
          </cell>
          <cell r="AP1400">
            <v>0</v>
          </cell>
          <cell r="AQ1400">
            <v>0</v>
          </cell>
          <cell r="AR1400">
            <v>7</v>
          </cell>
          <cell r="BF1400">
            <v>10.5</v>
          </cell>
          <cell r="BG1400">
            <v>11.445</v>
          </cell>
          <cell r="BH1400">
            <v>11.445</v>
          </cell>
          <cell r="BI1400">
            <v>9</v>
          </cell>
          <cell r="BJ1400">
            <v>0</v>
          </cell>
        </row>
        <row r="1401">
          <cell r="D1401" t="str">
            <v>Univerzita Komenského v Bratislave</v>
          </cell>
          <cell r="E1401" t="str">
            <v>Pedagogická fakulta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13</v>
          </cell>
          <cell r="BJ1401">
            <v>0</v>
          </cell>
        </row>
        <row r="1402">
          <cell r="D1402" t="str">
            <v>Univerzita Komenského v Bratislave</v>
          </cell>
          <cell r="E1402" t="str">
            <v>Pedagogická fakulta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8</v>
          </cell>
          <cell r="BJ1402">
            <v>0</v>
          </cell>
        </row>
        <row r="1403">
          <cell r="D1403" t="str">
            <v>Univerzita Komenského v Bratislave</v>
          </cell>
          <cell r="E1403" t="str">
            <v>Pedagogická fakulta</v>
          </cell>
          <cell r="AN1403">
            <v>18</v>
          </cell>
          <cell r="AO1403">
            <v>19</v>
          </cell>
          <cell r="AP1403">
            <v>0</v>
          </cell>
          <cell r="AQ1403">
            <v>0</v>
          </cell>
          <cell r="AR1403">
            <v>18</v>
          </cell>
          <cell r="BF1403">
            <v>27</v>
          </cell>
          <cell r="BG1403">
            <v>27</v>
          </cell>
          <cell r="BH1403">
            <v>24.923076923076923</v>
          </cell>
          <cell r="BI1403">
            <v>19</v>
          </cell>
          <cell r="BJ1403">
            <v>0</v>
          </cell>
        </row>
        <row r="1404">
          <cell r="D1404" t="str">
            <v>Univerzita Komenského v Bratislave</v>
          </cell>
          <cell r="E1404" t="str">
            <v>Pedagogická fakulta</v>
          </cell>
          <cell r="AN1404">
            <v>111</v>
          </cell>
          <cell r="AO1404">
            <v>120</v>
          </cell>
          <cell r="AP1404">
            <v>0</v>
          </cell>
          <cell r="AQ1404">
            <v>0</v>
          </cell>
          <cell r="AR1404">
            <v>111</v>
          </cell>
          <cell r="BF1404">
            <v>166.5</v>
          </cell>
          <cell r="BG1404">
            <v>198.13499999999999</v>
          </cell>
          <cell r="BH1404">
            <v>193.30243902439022</v>
          </cell>
          <cell r="BI1404">
            <v>120</v>
          </cell>
          <cell r="BJ1404">
            <v>0</v>
          </cell>
        </row>
        <row r="1405">
          <cell r="D1405" t="str">
            <v>Univerzita Komenského v Bratislave</v>
          </cell>
          <cell r="E1405" t="str">
            <v>Pedagogická fakulta</v>
          </cell>
          <cell r="AN1405">
            <v>15</v>
          </cell>
          <cell r="AO1405">
            <v>18</v>
          </cell>
          <cell r="AP1405">
            <v>0</v>
          </cell>
          <cell r="AQ1405">
            <v>0</v>
          </cell>
          <cell r="AR1405">
            <v>15</v>
          </cell>
          <cell r="BF1405">
            <v>22.5</v>
          </cell>
          <cell r="BG1405">
            <v>48.375</v>
          </cell>
          <cell r="BH1405">
            <v>44.34375</v>
          </cell>
          <cell r="BI1405">
            <v>18</v>
          </cell>
          <cell r="BJ1405">
            <v>0</v>
          </cell>
        </row>
        <row r="1406">
          <cell r="D1406" t="str">
            <v>Univerzita Komenského v Bratislave</v>
          </cell>
          <cell r="E1406" t="str">
            <v>Pedagogická fakulta</v>
          </cell>
          <cell r="AN1406">
            <v>1</v>
          </cell>
          <cell r="AO1406">
            <v>2</v>
          </cell>
          <cell r="AP1406">
            <v>0</v>
          </cell>
          <cell r="AQ1406">
            <v>0</v>
          </cell>
          <cell r="AR1406">
            <v>1</v>
          </cell>
          <cell r="BF1406">
            <v>1</v>
          </cell>
          <cell r="BG1406">
            <v>1.04</v>
          </cell>
          <cell r="BH1406">
            <v>1.04</v>
          </cell>
          <cell r="BI1406">
            <v>2</v>
          </cell>
          <cell r="BJ1406">
            <v>0</v>
          </cell>
        </row>
        <row r="1407">
          <cell r="D1407" t="str">
            <v>Univerzita Komenského v Bratislave</v>
          </cell>
          <cell r="E1407" t="str">
            <v>Pedagogická fakulta</v>
          </cell>
          <cell r="AN1407">
            <v>44</v>
          </cell>
          <cell r="AO1407">
            <v>50</v>
          </cell>
          <cell r="AP1407">
            <v>0</v>
          </cell>
          <cell r="AQ1407">
            <v>0</v>
          </cell>
          <cell r="AR1407">
            <v>44</v>
          </cell>
          <cell r="BF1407">
            <v>37.85</v>
          </cell>
          <cell r="BG1407">
            <v>45.041499999999999</v>
          </cell>
          <cell r="BH1407">
            <v>43.54011666666667</v>
          </cell>
          <cell r="BI1407">
            <v>50</v>
          </cell>
          <cell r="BJ1407">
            <v>0</v>
          </cell>
        </row>
        <row r="1408">
          <cell r="D1408" t="str">
            <v>Univerzita Komenského v Bratislave</v>
          </cell>
          <cell r="E1408" t="str">
            <v>Pedagogická fakulta</v>
          </cell>
          <cell r="AN1408">
            <v>65</v>
          </cell>
          <cell r="AO1408">
            <v>72.5</v>
          </cell>
          <cell r="AP1408">
            <v>0</v>
          </cell>
          <cell r="AQ1408">
            <v>0</v>
          </cell>
          <cell r="AR1408">
            <v>65</v>
          </cell>
          <cell r="BF1408">
            <v>56.3</v>
          </cell>
          <cell r="BG1408">
            <v>61.367000000000004</v>
          </cell>
          <cell r="BH1408">
            <v>61.367000000000004</v>
          </cell>
          <cell r="BI1408">
            <v>72.5</v>
          </cell>
          <cell r="BJ1408">
            <v>0</v>
          </cell>
        </row>
        <row r="1409">
          <cell r="D1409" t="str">
            <v>Univerzita Komenského v Bratislave</v>
          </cell>
          <cell r="E1409" t="str">
            <v>Pedagogická fakulta</v>
          </cell>
          <cell r="AN1409">
            <v>32</v>
          </cell>
          <cell r="AO1409">
            <v>36</v>
          </cell>
          <cell r="AP1409">
            <v>0</v>
          </cell>
          <cell r="AQ1409">
            <v>0</v>
          </cell>
          <cell r="AR1409">
            <v>32</v>
          </cell>
          <cell r="BF1409">
            <v>26.45</v>
          </cell>
          <cell r="BG1409">
            <v>31.475499999999997</v>
          </cell>
          <cell r="BH1409">
            <v>31.475499999999997</v>
          </cell>
          <cell r="BI1409">
            <v>36</v>
          </cell>
          <cell r="BJ1409">
            <v>0</v>
          </cell>
        </row>
        <row r="1410">
          <cell r="D1410" t="str">
            <v>Univerzita Komenského v Bratislave</v>
          </cell>
          <cell r="E1410" t="str">
            <v>Pedagogická fakulta</v>
          </cell>
          <cell r="AN1410">
            <v>2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2</v>
          </cell>
          <cell r="BJ1410">
            <v>0</v>
          </cell>
        </row>
        <row r="1411">
          <cell r="D1411" t="str">
            <v>Univerzita Komenského v Bratislave</v>
          </cell>
          <cell r="E1411" t="str">
            <v>Pedagogická fakulta</v>
          </cell>
          <cell r="AN1411">
            <v>215</v>
          </cell>
          <cell r="AO1411">
            <v>233</v>
          </cell>
          <cell r="AP1411">
            <v>0</v>
          </cell>
          <cell r="AQ1411">
            <v>0</v>
          </cell>
          <cell r="AR1411">
            <v>215</v>
          </cell>
          <cell r="BF1411">
            <v>191</v>
          </cell>
          <cell r="BG1411">
            <v>227.29</v>
          </cell>
          <cell r="BH1411">
            <v>227.29</v>
          </cell>
          <cell r="BI1411">
            <v>233</v>
          </cell>
          <cell r="BJ1411">
            <v>0</v>
          </cell>
        </row>
        <row r="1412">
          <cell r="D1412" t="str">
            <v>Univerzita Komenského v Bratislave</v>
          </cell>
          <cell r="E1412" t="str">
            <v>Pedagogická fakulta</v>
          </cell>
          <cell r="AN1412">
            <v>34</v>
          </cell>
          <cell r="AO1412">
            <v>39</v>
          </cell>
          <cell r="AP1412">
            <v>0</v>
          </cell>
          <cell r="AQ1412">
            <v>0</v>
          </cell>
          <cell r="AR1412">
            <v>34</v>
          </cell>
          <cell r="BF1412">
            <v>34</v>
          </cell>
          <cell r="BG1412">
            <v>40.46</v>
          </cell>
          <cell r="BH1412">
            <v>38.08</v>
          </cell>
          <cell r="BI1412">
            <v>39</v>
          </cell>
          <cell r="BJ1412">
            <v>0</v>
          </cell>
        </row>
        <row r="1413">
          <cell r="D1413" t="str">
            <v>Univerzita Komenského v Bratislave</v>
          </cell>
          <cell r="E1413" t="str">
            <v>Pedagogická fakulta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19</v>
          </cell>
          <cell r="BJ1413">
            <v>0</v>
          </cell>
        </row>
        <row r="1414">
          <cell r="D1414" t="str">
            <v>Univerzita Komenského v Bratislave</v>
          </cell>
          <cell r="E1414" t="str">
            <v>Pedagogická fakulta</v>
          </cell>
          <cell r="AN1414">
            <v>154</v>
          </cell>
          <cell r="AO1414">
            <v>165</v>
          </cell>
          <cell r="AP1414">
            <v>0</v>
          </cell>
          <cell r="AQ1414">
            <v>0</v>
          </cell>
          <cell r="AR1414">
            <v>154</v>
          </cell>
          <cell r="BF1414">
            <v>138.4</v>
          </cell>
          <cell r="BG1414">
            <v>164.696</v>
          </cell>
          <cell r="BH1414">
            <v>164.696</v>
          </cell>
          <cell r="BI1414">
            <v>165</v>
          </cell>
          <cell r="BJ1414">
            <v>0</v>
          </cell>
        </row>
        <row r="1415">
          <cell r="D1415" t="str">
            <v>Univerzita Komenského v Bratislave</v>
          </cell>
          <cell r="E1415" t="str">
            <v>Pedagogická fakulta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10</v>
          </cell>
          <cell r="BJ1415">
            <v>0</v>
          </cell>
        </row>
        <row r="1416">
          <cell r="D1416" t="str">
            <v>Univerzita Komenského v Bratislave</v>
          </cell>
          <cell r="E1416" t="str">
            <v>Pedagogická fakulta</v>
          </cell>
          <cell r="AN1416">
            <v>10.5</v>
          </cell>
          <cell r="AO1416">
            <v>12.5</v>
          </cell>
          <cell r="AP1416">
            <v>0</v>
          </cell>
          <cell r="AQ1416">
            <v>0</v>
          </cell>
          <cell r="AR1416">
            <v>10.5</v>
          </cell>
          <cell r="BF1416">
            <v>8.85</v>
          </cell>
          <cell r="BG1416">
            <v>19.0275</v>
          </cell>
          <cell r="BH1416">
            <v>19.0275</v>
          </cell>
          <cell r="BI1416">
            <v>12.5</v>
          </cell>
          <cell r="BJ1416">
            <v>0</v>
          </cell>
        </row>
        <row r="1417">
          <cell r="D1417" t="str">
            <v>Univerzita Komenského v Bratislave</v>
          </cell>
          <cell r="E1417" t="str">
            <v>Pedagogická fakulta</v>
          </cell>
          <cell r="AN1417">
            <v>57</v>
          </cell>
          <cell r="AO1417">
            <v>66</v>
          </cell>
          <cell r="AP1417">
            <v>0</v>
          </cell>
          <cell r="AQ1417">
            <v>0</v>
          </cell>
          <cell r="AR1417">
            <v>57</v>
          </cell>
          <cell r="BF1417">
            <v>51</v>
          </cell>
          <cell r="BG1417">
            <v>51</v>
          </cell>
          <cell r="BH1417">
            <v>48.315789473684212</v>
          </cell>
          <cell r="BI1417">
            <v>66</v>
          </cell>
          <cell r="BJ1417">
            <v>0</v>
          </cell>
        </row>
        <row r="1418">
          <cell r="D1418" t="str">
            <v>Univerzita Komenského v Bratislave</v>
          </cell>
          <cell r="E1418" t="str">
            <v>Pedagogická fakulta</v>
          </cell>
          <cell r="AN1418">
            <v>5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5</v>
          </cell>
          <cell r="BJ1418">
            <v>0</v>
          </cell>
        </row>
        <row r="1419">
          <cell r="D1419" t="str">
            <v>Univerzita Komenského v Bratislave</v>
          </cell>
          <cell r="E1419" t="str">
            <v>Pedagogická fakulta</v>
          </cell>
          <cell r="AN1419">
            <v>2</v>
          </cell>
          <cell r="AO1419">
            <v>0</v>
          </cell>
          <cell r="AP1419">
            <v>0</v>
          </cell>
          <cell r="AQ1419">
            <v>0</v>
          </cell>
          <cell r="AR1419">
            <v>2</v>
          </cell>
          <cell r="BF1419">
            <v>8</v>
          </cell>
          <cell r="BG1419">
            <v>8.8000000000000007</v>
          </cell>
          <cell r="BH1419">
            <v>8.8000000000000007</v>
          </cell>
          <cell r="BI1419">
            <v>2</v>
          </cell>
          <cell r="BJ1419">
            <v>2</v>
          </cell>
        </row>
        <row r="1420">
          <cell r="D1420" t="str">
            <v>Univerzita sv. Cyrila a Metoda v Trnave</v>
          </cell>
          <cell r="E1420" t="str">
            <v>Fakulta sociálnych vied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1</v>
          </cell>
          <cell r="BJ1420">
            <v>0</v>
          </cell>
        </row>
        <row r="1421">
          <cell r="D1421" t="str">
            <v>Univerzita sv. Cyrila a Metoda v Trnave</v>
          </cell>
          <cell r="E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159</v>
          </cell>
          <cell r="BJ1421">
            <v>0</v>
          </cell>
        </row>
        <row r="1422">
          <cell r="D1422" t="str">
            <v>Univerzita sv. Cyrila a Metoda v Trnave</v>
          </cell>
          <cell r="E1422" t="str">
            <v>Fakulta sociálnych vied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2</v>
          </cell>
          <cell r="BJ1422">
            <v>0</v>
          </cell>
        </row>
        <row r="1423">
          <cell r="D1423" t="str">
            <v>Univerzita sv. Cyrila a Metoda v Trnave</v>
          </cell>
          <cell r="E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32</v>
          </cell>
          <cell r="BJ1423">
            <v>0</v>
          </cell>
        </row>
        <row r="1424">
          <cell r="D1424" t="str">
            <v>Univerzita sv. Cyrila a Metoda v Trnave</v>
          </cell>
          <cell r="E1424" t="str">
            <v>Fakulta masmediálnej komunikácie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98</v>
          </cell>
          <cell r="BJ1424">
            <v>0</v>
          </cell>
        </row>
        <row r="1425">
          <cell r="D1425" t="str">
            <v>Univerzita sv. Cyrila a Metoda v Trnave</v>
          </cell>
          <cell r="E1425" t="str">
            <v>Filozofická fakulta</v>
          </cell>
          <cell r="AN1425">
            <v>5</v>
          </cell>
          <cell r="AO1425">
            <v>0</v>
          </cell>
          <cell r="AP1425">
            <v>0</v>
          </cell>
          <cell r="AQ1425">
            <v>0</v>
          </cell>
          <cell r="AR1425">
            <v>5</v>
          </cell>
          <cell r="BF1425">
            <v>15</v>
          </cell>
          <cell r="BG1425">
            <v>16.5</v>
          </cell>
          <cell r="BH1425">
            <v>16.5</v>
          </cell>
          <cell r="BI1425">
            <v>5</v>
          </cell>
          <cell r="BJ1425">
            <v>5</v>
          </cell>
        </row>
        <row r="1426">
          <cell r="D1426" t="str">
            <v>Univerzita sv. Cyrila a Metoda v Trnave</v>
          </cell>
          <cell r="E1426" t="str">
            <v>Fakulta prírodných vied</v>
          </cell>
          <cell r="AN1426">
            <v>7</v>
          </cell>
          <cell r="AO1426">
            <v>0</v>
          </cell>
          <cell r="AP1426">
            <v>0</v>
          </cell>
          <cell r="AQ1426">
            <v>7</v>
          </cell>
          <cell r="AR1426">
            <v>7</v>
          </cell>
          <cell r="BF1426">
            <v>21</v>
          </cell>
          <cell r="BG1426">
            <v>44.73</v>
          </cell>
          <cell r="BH1426">
            <v>44.73</v>
          </cell>
          <cell r="BI1426">
            <v>8</v>
          </cell>
          <cell r="BJ1426">
            <v>7</v>
          </cell>
        </row>
        <row r="1427">
          <cell r="D1427" t="str">
            <v>Univerzita sv. Cyrila a Metoda v Trnave</v>
          </cell>
          <cell r="E1427" t="str">
            <v>Fakulta sociálnych vied</v>
          </cell>
          <cell r="AN1427">
            <v>41</v>
          </cell>
          <cell r="AO1427">
            <v>47</v>
          </cell>
          <cell r="AP1427">
            <v>0</v>
          </cell>
          <cell r="AQ1427">
            <v>0</v>
          </cell>
          <cell r="AR1427">
            <v>41</v>
          </cell>
          <cell r="BF1427">
            <v>61.5</v>
          </cell>
          <cell r="BG1427">
            <v>61.5</v>
          </cell>
          <cell r="BH1427">
            <v>43.411764705882348</v>
          </cell>
          <cell r="BI1427">
            <v>47</v>
          </cell>
          <cell r="BJ1427">
            <v>0</v>
          </cell>
        </row>
        <row r="1428">
          <cell r="D1428" t="str">
            <v>Univerzita sv. Cyrila a Metoda v Trnave</v>
          </cell>
          <cell r="E1428" t="str">
            <v>Fakulta masmediálnej komunikácie</v>
          </cell>
          <cell r="AN1428">
            <v>194</v>
          </cell>
          <cell r="AO1428">
            <v>209</v>
          </cell>
          <cell r="AP1428">
            <v>0</v>
          </cell>
          <cell r="AQ1428">
            <v>0</v>
          </cell>
          <cell r="AR1428">
            <v>194</v>
          </cell>
          <cell r="BF1428">
            <v>291</v>
          </cell>
          <cell r="BG1428">
            <v>346.28999999999996</v>
          </cell>
          <cell r="BH1428">
            <v>291.08434782608691</v>
          </cell>
          <cell r="BI1428">
            <v>209</v>
          </cell>
          <cell r="BJ1428">
            <v>0</v>
          </cell>
        </row>
        <row r="1429">
          <cell r="D1429" t="str">
            <v>Univerzita sv. Cyrila a Metoda v Trnave</v>
          </cell>
          <cell r="E1429" t="str">
            <v>Fakulta masmediálnej komunikácie</v>
          </cell>
          <cell r="AN1429">
            <v>302</v>
          </cell>
          <cell r="AO1429">
            <v>311</v>
          </cell>
          <cell r="AP1429">
            <v>0</v>
          </cell>
          <cell r="AQ1429">
            <v>0</v>
          </cell>
          <cell r="AR1429">
            <v>302</v>
          </cell>
          <cell r="BF1429">
            <v>453</v>
          </cell>
          <cell r="BG1429">
            <v>539.06999999999994</v>
          </cell>
          <cell r="BH1429">
            <v>483.06272727272722</v>
          </cell>
          <cell r="BI1429">
            <v>311</v>
          </cell>
          <cell r="BJ1429">
            <v>0</v>
          </cell>
        </row>
        <row r="1430">
          <cell r="D1430" t="str">
            <v>Univerzita sv. Cyrila a Metoda v Trnave</v>
          </cell>
          <cell r="E1430" t="str">
            <v>Fakulta masmediálnej komunikácie</v>
          </cell>
          <cell r="AN1430">
            <v>47</v>
          </cell>
          <cell r="AO1430">
            <v>50</v>
          </cell>
          <cell r="AP1430">
            <v>0</v>
          </cell>
          <cell r="AQ1430">
            <v>0</v>
          </cell>
          <cell r="AR1430">
            <v>47</v>
          </cell>
          <cell r="BF1430">
            <v>70.5</v>
          </cell>
          <cell r="BG1430">
            <v>83.894999999999996</v>
          </cell>
          <cell r="BH1430">
            <v>83.894999999999996</v>
          </cell>
          <cell r="BI1430">
            <v>50</v>
          </cell>
          <cell r="BJ1430">
            <v>0</v>
          </cell>
        </row>
        <row r="1431">
          <cell r="D1431" t="str">
            <v>Univerzita sv. Cyrila a Metoda v Trnave</v>
          </cell>
          <cell r="E1431" t="str">
            <v>Fakulta masmediálnej komunikácie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5</v>
          </cell>
          <cell r="BJ1431">
            <v>0</v>
          </cell>
        </row>
        <row r="1432">
          <cell r="D1432" t="str">
            <v>Univerzita sv. Cyrila a Metoda v Trnave</v>
          </cell>
          <cell r="E1432" t="str">
            <v>Fakulta sociálnych vied</v>
          </cell>
          <cell r="AN1432">
            <v>59</v>
          </cell>
          <cell r="AO1432">
            <v>67</v>
          </cell>
          <cell r="AP1432">
            <v>0</v>
          </cell>
          <cell r="AQ1432">
            <v>0</v>
          </cell>
          <cell r="AR1432">
            <v>59</v>
          </cell>
          <cell r="BF1432">
            <v>41.3</v>
          </cell>
          <cell r="BG1432">
            <v>41.3</v>
          </cell>
          <cell r="BH1432">
            <v>41.3</v>
          </cell>
          <cell r="BI1432">
            <v>67</v>
          </cell>
          <cell r="BJ1432">
            <v>0</v>
          </cell>
        </row>
        <row r="1433">
          <cell r="D1433" t="str">
            <v>Univerzita sv. Cyrila a Metoda v Trnave</v>
          </cell>
          <cell r="E1433" t="str">
            <v>Fakulta prírodných vied</v>
          </cell>
          <cell r="AN1433">
            <v>18</v>
          </cell>
          <cell r="AO1433">
            <v>22</v>
          </cell>
          <cell r="AP1433">
            <v>22</v>
          </cell>
          <cell r="AQ1433">
            <v>18</v>
          </cell>
          <cell r="AR1433">
            <v>18</v>
          </cell>
          <cell r="BF1433">
            <v>13.5</v>
          </cell>
          <cell r="BG1433">
            <v>19.98</v>
          </cell>
          <cell r="BH1433">
            <v>19.98</v>
          </cell>
          <cell r="BI1433">
            <v>22</v>
          </cell>
          <cell r="BJ1433">
            <v>0</v>
          </cell>
        </row>
        <row r="1434">
          <cell r="D1434" t="str">
            <v>Univerzita sv. Cyrila a Metoda v Trnave</v>
          </cell>
          <cell r="E1434">
            <v>0</v>
          </cell>
          <cell r="AN1434">
            <v>39</v>
          </cell>
          <cell r="AO1434">
            <v>49</v>
          </cell>
          <cell r="AP1434">
            <v>0</v>
          </cell>
          <cell r="AQ1434">
            <v>0</v>
          </cell>
          <cell r="AR1434">
            <v>39</v>
          </cell>
          <cell r="BF1434">
            <v>36</v>
          </cell>
          <cell r="BG1434">
            <v>53.28</v>
          </cell>
          <cell r="BH1434">
            <v>50.963478260869564</v>
          </cell>
          <cell r="BI1434">
            <v>49</v>
          </cell>
          <cell r="BJ1434">
            <v>0</v>
          </cell>
        </row>
        <row r="1435">
          <cell r="D1435" t="str">
            <v>Univerzita sv. Cyrila a Metoda v Trnave</v>
          </cell>
          <cell r="E1435" t="str">
            <v>Filozofická fakulta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1.5</v>
          </cell>
          <cell r="BJ1435">
            <v>0</v>
          </cell>
        </row>
        <row r="1436">
          <cell r="D1436" t="str">
            <v>Univerzita sv. Cyrila a Metoda v Trnave</v>
          </cell>
          <cell r="E1436" t="str">
            <v>Filozofická fakulta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1.5</v>
          </cell>
          <cell r="BJ1436">
            <v>0</v>
          </cell>
        </row>
        <row r="1437">
          <cell r="D1437" t="str">
            <v>Univerzita sv. Cyrila a Metoda v Trnave</v>
          </cell>
          <cell r="E1437" t="str">
            <v>Filozofická fakulta</v>
          </cell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BF1437">
            <v>0</v>
          </cell>
          <cell r="BG1437">
            <v>0</v>
          </cell>
          <cell r="BH1437">
            <v>0</v>
          </cell>
          <cell r="BI1437">
            <v>21</v>
          </cell>
          <cell r="BJ1437">
            <v>0</v>
          </cell>
        </row>
        <row r="1438">
          <cell r="D1438" t="str">
            <v>Univerzita sv. Cyrila a Metoda v Trnave</v>
          </cell>
          <cell r="E1438" t="str">
            <v>Fakulta masmediálnej komunikácie</v>
          </cell>
          <cell r="AN1438">
            <v>47</v>
          </cell>
          <cell r="AO1438">
            <v>56</v>
          </cell>
          <cell r="AP1438">
            <v>0</v>
          </cell>
          <cell r="AQ1438">
            <v>0</v>
          </cell>
          <cell r="AR1438">
            <v>47</v>
          </cell>
          <cell r="BF1438">
            <v>38.9</v>
          </cell>
          <cell r="BG1438">
            <v>46.290999999999997</v>
          </cell>
          <cell r="BH1438">
            <v>46.290999999999997</v>
          </cell>
          <cell r="BI1438">
            <v>56</v>
          </cell>
          <cell r="BJ1438">
            <v>0</v>
          </cell>
        </row>
        <row r="1439">
          <cell r="D1439" t="str">
            <v>Univerzita sv. Cyrila a Metoda v Trnave</v>
          </cell>
          <cell r="E1439" t="str">
            <v>Fakulta prírodných vied</v>
          </cell>
          <cell r="AN1439">
            <v>34</v>
          </cell>
          <cell r="AO1439">
            <v>38</v>
          </cell>
          <cell r="AP1439">
            <v>38</v>
          </cell>
          <cell r="AQ1439">
            <v>34</v>
          </cell>
          <cell r="AR1439">
            <v>34</v>
          </cell>
          <cell r="BF1439">
            <v>25.9</v>
          </cell>
          <cell r="BG1439">
            <v>38.332000000000001</v>
          </cell>
          <cell r="BH1439">
            <v>38.332000000000001</v>
          </cell>
          <cell r="BI1439">
            <v>38</v>
          </cell>
          <cell r="BJ1439">
            <v>0</v>
          </cell>
        </row>
        <row r="1440">
          <cell r="D1440" t="str">
            <v>Univerzita sv. Cyrila a Metoda v Trnave</v>
          </cell>
          <cell r="E1440" t="str">
            <v>Fakulta masmediálnej komunikácie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21</v>
          </cell>
          <cell r="BJ1440">
            <v>0</v>
          </cell>
        </row>
        <row r="1441">
          <cell r="D1441" t="str">
            <v>Univerzita sv. Cyrila a Metoda v Trnave</v>
          </cell>
          <cell r="E1441" t="str">
            <v>Filozofická fakulta</v>
          </cell>
          <cell r="AN1441">
            <v>10.5</v>
          </cell>
          <cell r="AO1441">
            <v>13.5</v>
          </cell>
          <cell r="AP1441">
            <v>0</v>
          </cell>
          <cell r="AQ1441">
            <v>0</v>
          </cell>
          <cell r="AR1441">
            <v>10.5</v>
          </cell>
          <cell r="BF1441">
            <v>9.4499999999999993</v>
          </cell>
          <cell r="BG1441">
            <v>10.3005</v>
          </cell>
          <cell r="BH1441">
            <v>10.3005</v>
          </cell>
          <cell r="BI1441">
            <v>13.5</v>
          </cell>
          <cell r="BJ1441">
            <v>0</v>
          </cell>
        </row>
        <row r="1442">
          <cell r="D1442" t="str">
            <v>Univerzita sv. Cyrila a Metoda v Trnave</v>
          </cell>
          <cell r="E1442" t="str">
            <v>Filozofická fakulta</v>
          </cell>
          <cell r="AN1442">
            <v>13.5</v>
          </cell>
          <cell r="AO1442">
            <v>17</v>
          </cell>
          <cell r="AP1442">
            <v>0</v>
          </cell>
          <cell r="AQ1442">
            <v>0</v>
          </cell>
          <cell r="AR1442">
            <v>13.5</v>
          </cell>
          <cell r="BF1442">
            <v>12.15</v>
          </cell>
          <cell r="BG1442">
            <v>13.243500000000001</v>
          </cell>
          <cell r="BH1442">
            <v>13.243500000000001</v>
          </cell>
          <cell r="BI1442">
            <v>17</v>
          </cell>
          <cell r="BJ1442">
            <v>0</v>
          </cell>
        </row>
        <row r="1443">
          <cell r="D1443" t="str">
            <v>Univerzita sv. Cyrila a Metoda v Trnave</v>
          </cell>
          <cell r="E1443" t="str">
            <v>Filozofická fakulta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1</v>
          </cell>
          <cell r="BJ1443">
            <v>0</v>
          </cell>
        </row>
        <row r="1444">
          <cell r="D1444" t="str">
            <v>Univerzita sv. Cyrila a Metoda v Trnave</v>
          </cell>
          <cell r="E1444" t="str">
            <v>Fakulta masmediálnej komunikácie</v>
          </cell>
          <cell r="AN1444">
            <v>48</v>
          </cell>
          <cell r="AO1444">
            <v>49</v>
          </cell>
          <cell r="AP1444">
            <v>0</v>
          </cell>
          <cell r="AQ1444">
            <v>0</v>
          </cell>
          <cell r="AR1444">
            <v>48</v>
          </cell>
          <cell r="BF1444">
            <v>42</v>
          </cell>
          <cell r="BG1444">
            <v>49.98</v>
          </cell>
          <cell r="BH1444">
            <v>49.98</v>
          </cell>
          <cell r="BI1444">
            <v>49</v>
          </cell>
          <cell r="BJ1444">
            <v>0</v>
          </cell>
        </row>
        <row r="1445">
          <cell r="D1445" t="str">
            <v>Univerzita sv. Cyrila a Metoda v Trnave</v>
          </cell>
          <cell r="E1445">
            <v>0</v>
          </cell>
          <cell r="AN1445">
            <v>329</v>
          </cell>
          <cell r="AO1445">
            <v>341</v>
          </cell>
          <cell r="AP1445">
            <v>0</v>
          </cell>
          <cell r="AQ1445">
            <v>0</v>
          </cell>
          <cell r="AR1445">
            <v>329</v>
          </cell>
          <cell r="BF1445">
            <v>293</v>
          </cell>
          <cell r="BG1445">
            <v>629.94999999999993</v>
          </cell>
          <cell r="BH1445">
            <v>592.89411764705881</v>
          </cell>
          <cell r="BI1445">
            <v>341</v>
          </cell>
          <cell r="BJ1445">
            <v>0</v>
          </cell>
        </row>
        <row r="1446">
          <cell r="D1446" t="str">
            <v>Univerzita sv. Cyrila a Metoda v Trnave</v>
          </cell>
          <cell r="E1446" t="str">
            <v>Filozofická fakulta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BF1446">
            <v>0</v>
          </cell>
          <cell r="BG1446">
            <v>0</v>
          </cell>
          <cell r="BH1446">
            <v>0</v>
          </cell>
          <cell r="BI1446">
            <v>0.5</v>
          </cell>
          <cell r="BJ1446">
            <v>0</v>
          </cell>
        </row>
        <row r="1447">
          <cell r="D1447" t="str">
            <v>Univerzita sv. Cyrila a Metoda v Trnave</v>
          </cell>
          <cell r="E1447" t="str">
            <v>Filozofická fakulta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0.5</v>
          </cell>
          <cell r="BJ1447">
            <v>0</v>
          </cell>
        </row>
        <row r="1448">
          <cell r="D1448" t="str">
            <v>Univerzita sv. Cyrila a Metoda v Trnave</v>
          </cell>
          <cell r="E1448" t="str">
            <v>Filozofická fakulta</v>
          </cell>
          <cell r="AN1448">
            <v>18</v>
          </cell>
          <cell r="AO1448">
            <v>24</v>
          </cell>
          <cell r="AP1448">
            <v>0</v>
          </cell>
          <cell r="AQ1448">
            <v>0</v>
          </cell>
          <cell r="AR1448">
            <v>18</v>
          </cell>
          <cell r="BF1448">
            <v>14.399999999999999</v>
          </cell>
          <cell r="BG1448">
            <v>14.975999999999999</v>
          </cell>
          <cell r="BH1448">
            <v>13.103999999999999</v>
          </cell>
          <cell r="BI1448">
            <v>24</v>
          </cell>
          <cell r="BJ1448">
            <v>0</v>
          </cell>
        </row>
        <row r="1449">
          <cell r="D1449" t="str">
            <v>Univerzita sv. Cyrila a Metoda v Trnave</v>
          </cell>
          <cell r="E1449" t="str">
            <v>Filozofická fakulta</v>
          </cell>
          <cell r="AN1449">
            <v>8</v>
          </cell>
          <cell r="AO1449">
            <v>0</v>
          </cell>
          <cell r="AP1449">
            <v>0</v>
          </cell>
          <cell r="AQ1449">
            <v>0</v>
          </cell>
          <cell r="AR1449">
            <v>8</v>
          </cell>
          <cell r="BF1449">
            <v>32</v>
          </cell>
          <cell r="BG1449">
            <v>35.200000000000003</v>
          </cell>
          <cell r="BH1449">
            <v>35.200000000000003</v>
          </cell>
          <cell r="BI1449">
            <v>9</v>
          </cell>
          <cell r="BJ1449">
            <v>8</v>
          </cell>
        </row>
        <row r="1450">
          <cell r="D1450" t="str">
            <v>Slovenská technická univerzita v Bratislave</v>
          </cell>
          <cell r="E1450" t="str">
            <v>Materiálovotechnologická fakulta so sídlom v Trnave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4</v>
          </cell>
          <cell r="BJ1450">
            <v>0</v>
          </cell>
        </row>
        <row r="1451">
          <cell r="D1451" t="str">
            <v>Slovenská technická univerzita v Bratislave</v>
          </cell>
          <cell r="E1451" t="str">
            <v>Materiálovotechnologická fakulta so sídlom v Trnave</v>
          </cell>
          <cell r="AN1451">
            <v>58</v>
          </cell>
          <cell r="AO1451">
            <v>75</v>
          </cell>
          <cell r="AP1451">
            <v>75</v>
          </cell>
          <cell r="AQ1451">
            <v>58</v>
          </cell>
          <cell r="AR1451">
            <v>58</v>
          </cell>
          <cell r="BF1451">
            <v>49.599999999999994</v>
          </cell>
          <cell r="BG1451">
            <v>73.407999999999987</v>
          </cell>
          <cell r="BH1451">
            <v>73.407999999999987</v>
          </cell>
          <cell r="BI1451">
            <v>75</v>
          </cell>
          <cell r="BJ1451">
            <v>0</v>
          </cell>
        </row>
        <row r="1452">
          <cell r="D1452" t="str">
            <v>Slovenská technická univerzita v Bratislave</v>
          </cell>
          <cell r="E1452" t="str">
            <v>Materiálovotechnologická fakulta so sídlom v Trnave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R1452">
            <v>0</v>
          </cell>
          <cell r="BF1452">
            <v>0</v>
          </cell>
          <cell r="BG1452">
            <v>0</v>
          </cell>
          <cell r="BH1452">
            <v>0</v>
          </cell>
          <cell r="BI1452">
            <v>7</v>
          </cell>
          <cell r="BJ1452">
            <v>0</v>
          </cell>
        </row>
        <row r="1453">
          <cell r="D1453" t="str">
            <v>Slovenská technická univerzita v Bratislave</v>
          </cell>
          <cell r="E1453" t="str">
            <v>Stavebná fakulta</v>
          </cell>
          <cell r="AN1453">
            <v>0</v>
          </cell>
          <cell r="AO1453">
            <v>0</v>
          </cell>
          <cell r="AP1453">
            <v>0</v>
          </cell>
          <cell r="AQ1453">
            <v>0</v>
          </cell>
          <cell r="AR1453">
            <v>0</v>
          </cell>
          <cell r="BF1453">
            <v>0</v>
          </cell>
          <cell r="BG1453">
            <v>0</v>
          </cell>
          <cell r="BH1453">
            <v>0</v>
          </cell>
          <cell r="BI1453">
            <v>2</v>
          </cell>
          <cell r="BJ1453">
            <v>0</v>
          </cell>
        </row>
        <row r="1454">
          <cell r="D1454" t="str">
            <v>Slovenská technická univerzita v Bratislave</v>
          </cell>
          <cell r="E1454" t="str">
            <v>Fakulta elektrotechniky a informatiky</v>
          </cell>
          <cell r="AN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BF1454">
            <v>0</v>
          </cell>
          <cell r="BG1454">
            <v>0</v>
          </cell>
          <cell r="BH1454">
            <v>0</v>
          </cell>
          <cell r="BI1454">
            <v>10</v>
          </cell>
          <cell r="BJ1454">
            <v>0</v>
          </cell>
        </row>
        <row r="1455">
          <cell r="D1455" t="str">
            <v>Slovenská technická univerzita v Bratislave</v>
          </cell>
          <cell r="E1455" t="str">
            <v>Fakulta elektrotechniky a informatiky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R1455">
            <v>0</v>
          </cell>
          <cell r="BF1455">
            <v>0</v>
          </cell>
          <cell r="BG1455">
            <v>0</v>
          </cell>
          <cell r="BH1455">
            <v>0</v>
          </cell>
          <cell r="BI1455">
            <v>2</v>
          </cell>
          <cell r="BJ1455">
            <v>0</v>
          </cell>
        </row>
        <row r="1456">
          <cell r="D1456" t="str">
            <v>Slovenská technická univerzita v Bratislave</v>
          </cell>
          <cell r="E1456" t="str">
            <v>Materiálovotechnologická fakulta so sídlom v Trnave</v>
          </cell>
          <cell r="AN1456">
            <v>49</v>
          </cell>
          <cell r="AO1456">
            <v>68</v>
          </cell>
          <cell r="AP1456">
            <v>68</v>
          </cell>
          <cell r="AQ1456">
            <v>49</v>
          </cell>
          <cell r="AR1456">
            <v>49</v>
          </cell>
          <cell r="BF1456">
            <v>39.4</v>
          </cell>
          <cell r="BG1456">
            <v>58.311999999999998</v>
          </cell>
          <cell r="BH1456">
            <v>58.311999999999998</v>
          </cell>
          <cell r="BI1456">
            <v>68</v>
          </cell>
          <cell r="BJ1456">
            <v>0</v>
          </cell>
        </row>
        <row r="1457">
          <cell r="D1457" t="str">
            <v>Slovenská technická univerzita v Bratislave</v>
          </cell>
          <cell r="E1457" t="str">
            <v>Fakulta architektúry a dizajnu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BF1457">
            <v>0</v>
          </cell>
          <cell r="BG1457">
            <v>0</v>
          </cell>
          <cell r="BH1457">
            <v>0</v>
          </cell>
          <cell r="BI1457">
            <v>2</v>
          </cell>
          <cell r="BJ1457">
            <v>0</v>
          </cell>
        </row>
        <row r="1458">
          <cell r="D1458" t="str">
            <v>Slovenská technická univerzita v Bratislave</v>
          </cell>
          <cell r="E1458" t="str">
            <v>Fakulta elektrotechniky a informatiky</v>
          </cell>
          <cell r="AN1458">
            <v>35</v>
          </cell>
          <cell r="AO1458">
            <v>48</v>
          </cell>
          <cell r="AP1458">
            <v>48</v>
          </cell>
          <cell r="AQ1458">
            <v>35</v>
          </cell>
          <cell r="AR1458">
            <v>35</v>
          </cell>
          <cell r="BF1458">
            <v>52.5</v>
          </cell>
          <cell r="BG1458">
            <v>77.7</v>
          </cell>
          <cell r="BH1458">
            <v>77.7</v>
          </cell>
          <cell r="BI1458">
            <v>48</v>
          </cell>
          <cell r="BJ1458">
            <v>0</v>
          </cell>
        </row>
        <row r="1459">
          <cell r="D1459" t="str">
            <v>Slovenská technická univerzita v Bratislave</v>
          </cell>
          <cell r="E1459" t="str">
            <v>Fakulta chemickej a potravinárskej technológie</v>
          </cell>
          <cell r="AN1459">
            <v>3</v>
          </cell>
          <cell r="AO1459">
            <v>0</v>
          </cell>
          <cell r="AP1459">
            <v>0</v>
          </cell>
          <cell r="AQ1459">
            <v>0</v>
          </cell>
          <cell r="AR1459">
            <v>3</v>
          </cell>
          <cell r="BF1459">
            <v>9</v>
          </cell>
          <cell r="BG1459">
            <v>19.169999999999998</v>
          </cell>
          <cell r="BH1459">
            <v>17.427272727272726</v>
          </cell>
          <cell r="BI1459">
            <v>3</v>
          </cell>
          <cell r="BJ1459">
            <v>3</v>
          </cell>
        </row>
        <row r="1460">
          <cell r="D1460" t="str">
            <v>Slovenská technická univerzita v Bratislave</v>
          </cell>
          <cell r="E1460" t="str">
            <v>Fakulta elektrotechniky a informatiky</v>
          </cell>
          <cell r="AN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3</v>
          </cell>
          <cell r="BJ1460">
            <v>0</v>
          </cell>
        </row>
        <row r="1461">
          <cell r="D1461" t="str">
            <v>Slovenská technická univerzita v Bratislave</v>
          </cell>
          <cell r="E1461" t="str">
            <v>Fakulta chemickej a potravinárskej technológie</v>
          </cell>
          <cell r="AN1461">
            <v>9</v>
          </cell>
          <cell r="AO1461">
            <v>0</v>
          </cell>
          <cell r="AP1461">
            <v>0</v>
          </cell>
          <cell r="AQ1461">
            <v>0</v>
          </cell>
          <cell r="AR1461">
            <v>9</v>
          </cell>
          <cell r="BF1461">
            <v>27</v>
          </cell>
          <cell r="BG1461">
            <v>57.51</v>
          </cell>
          <cell r="BH1461">
            <v>0</v>
          </cell>
          <cell r="BI1461">
            <v>9</v>
          </cell>
          <cell r="BJ1461">
            <v>9</v>
          </cell>
        </row>
        <row r="1462">
          <cell r="D1462" t="str">
            <v>Slovenská technická univerzita v Bratislave</v>
          </cell>
          <cell r="E1462" t="str">
            <v>Stavebná fakulta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BF1462">
            <v>0</v>
          </cell>
          <cell r="BG1462">
            <v>0</v>
          </cell>
          <cell r="BH1462">
            <v>0</v>
          </cell>
          <cell r="BI1462">
            <v>1</v>
          </cell>
          <cell r="BJ1462">
            <v>0</v>
          </cell>
        </row>
        <row r="1463">
          <cell r="D1463" t="str">
            <v>Slovenská technická univerzita v Bratislave</v>
          </cell>
          <cell r="E1463" t="str">
            <v>Fakulta elektrotechniky a informatiky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BF1463">
            <v>0</v>
          </cell>
          <cell r="BG1463">
            <v>0</v>
          </cell>
          <cell r="BH1463">
            <v>0</v>
          </cell>
          <cell r="BI1463">
            <v>2</v>
          </cell>
          <cell r="BJ1463">
            <v>0</v>
          </cell>
        </row>
        <row r="1464">
          <cell r="D1464" t="str">
            <v>Slovenská technická univerzita v Bratislave</v>
          </cell>
          <cell r="E1464" t="str">
            <v>Fakulta elektrotechniky a informatiky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BF1464">
            <v>0</v>
          </cell>
          <cell r="BG1464">
            <v>0</v>
          </cell>
          <cell r="BH1464">
            <v>0</v>
          </cell>
          <cell r="BI1464">
            <v>4</v>
          </cell>
          <cell r="BJ1464">
            <v>0</v>
          </cell>
        </row>
        <row r="1465">
          <cell r="D1465" t="str">
            <v>Slovenská technická univerzita v Bratislave</v>
          </cell>
          <cell r="E1465" t="str">
            <v>Stavebná fakulta</v>
          </cell>
          <cell r="AN1465">
            <v>6</v>
          </cell>
          <cell r="AO1465">
            <v>0</v>
          </cell>
          <cell r="AP1465">
            <v>0</v>
          </cell>
          <cell r="AQ1465">
            <v>6</v>
          </cell>
          <cell r="AR1465">
            <v>6</v>
          </cell>
          <cell r="BF1465">
            <v>18</v>
          </cell>
          <cell r="BG1465">
            <v>38.339999999999996</v>
          </cell>
          <cell r="BH1465">
            <v>38.339999999999996</v>
          </cell>
          <cell r="BI1465">
            <v>6</v>
          </cell>
          <cell r="BJ1465">
            <v>6</v>
          </cell>
        </row>
        <row r="1466">
          <cell r="D1466" t="str">
            <v>Slovenská technická univerzita v Bratislave</v>
          </cell>
          <cell r="E1466" t="str">
            <v>Stavebná fakulta</v>
          </cell>
          <cell r="AN1466">
            <v>7</v>
          </cell>
          <cell r="AO1466">
            <v>0</v>
          </cell>
          <cell r="AP1466">
            <v>0</v>
          </cell>
          <cell r="AQ1466">
            <v>0</v>
          </cell>
          <cell r="AR1466">
            <v>7</v>
          </cell>
          <cell r="BF1466">
            <v>21</v>
          </cell>
          <cell r="BG1466">
            <v>44.73</v>
          </cell>
          <cell r="BH1466">
            <v>0</v>
          </cell>
          <cell r="BI1466">
            <v>7</v>
          </cell>
          <cell r="BJ1466">
            <v>7</v>
          </cell>
        </row>
        <row r="1467">
          <cell r="D1467" t="str">
            <v>Slovenská technická univerzita v Bratislave</v>
          </cell>
          <cell r="E1467" t="str">
            <v>Fakulta elektrotechniky a informatiky</v>
          </cell>
          <cell r="AN1467">
            <v>6</v>
          </cell>
          <cell r="AO1467">
            <v>0</v>
          </cell>
          <cell r="AP1467">
            <v>0</v>
          </cell>
          <cell r="AQ1467">
            <v>6</v>
          </cell>
          <cell r="AR1467">
            <v>6</v>
          </cell>
          <cell r="BF1467">
            <v>24</v>
          </cell>
          <cell r="BG1467">
            <v>51.12</v>
          </cell>
          <cell r="BH1467">
            <v>51.12</v>
          </cell>
          <cell r="BI1467">
            <v>8</v>
          </cell>
          <cell r="BJ1467">
            <v>6</v>
          </cell>
        </row>
        <row r="1468">
          <cell r="D1468" t="str">
            <v>Slovenská technická univerzita v Bratislave</v>
          </cell>
          <cell r="E1468" t="str">
            <v>Fakulta chemickej a potravinárskej technológie</v>
          </cell>
          <cell r="AN1468">
            <v>4</v>
          </cell>
          <cell r="AO1468">
            <v>0</v>
          </cell>
          <cell r="AP1468">
            <v>0</v>
          </cell>
          <cell r="AQ1468">
            <v>0</v>
          </cell>
          <cell r="AR1468">
            <v>4</v>
          </cell>
          <cell r="BF1468">
            <v>12</v>
          </cell>
          <cell r="BG1468">
            <v>25.56</v>
          </cell>
          <cell r="BH1468">
            <v>22.364999999999998</v>
          </cell>
          <cell r="BI1468">
            <v>4</v>
          </cell>
          <cell r="BJ1468">
            <v>4</v>
          </cell>
        </row>
        <row r="1469">
          <cell r="D1469" t="str">
            <v>Slovenská technická univerzita v Bratislave</v>
          </cell>
          <cell r="E1469" t="str">
            <v>Fakulta chemickej a potravinárskej technológie</v>
          </cell>
          <cell r="AN1469">
            <v>18</v>
          </cell>
          <cell r="AO1469">
            <v>0</v>
          </cell>
          <cell r="AP1469">
            <v>0</v>
          </cell>
          <cell r="AQ1469">
            <v>0</v>
          </cell>
          <cell r="AR1469">
            <v>18</v>
          </cell>
          <cell r="BF1469">
            <v>54</v>
          </cell>
          <cell r="BG1469">
            <v>115.02</v>
          </cell>
          <cell r="BH1469">
            <v>86.265000000000001</v>
          </cell>
          <cell r="BI1469">
            <v>18</v>
          </cell>
          <cell r="BJ1469">
            <v>18</v>
          </cell>
        </row>
        <row r="1470">
          <cell r="D1470" t="str">
            <v>Slovenská technická univerzita v Bratislave</v>
          </cell>
          <cell r="E1470" t="str">
            <v>Fakulta chemickej a potravinárskej technológie</v>
          </cell>
          <cell r="AN1470">
            <v>18</v>
          </cell>
          <cell r="AO1470">
            <v>24</v>
          </cell>
          <cell r="AP1470">
            <v>24</v>
          </cell>
          <cell r="AQ1470">
            <v>18</v>
          </cell>
          <cell r="AR1470">
            <v>18</v>
          </cell>
          <cell r="BF1470">
            <v>27</v>
          </cell>
          <cell r="BG1470">
            <v>65.070000000000007</v>
          </cell>
          <cell r="BH1470">
            <v>65.070000000000007</v>
          </cell>
          <cell r="BI1470">
            <v>24</v>
          </cell>
          <cell r="BJ1470">
            <v>0</v>
          </cell>
        </row>
        <row r="1471">
          <cell r="D1471" t="str">
            <v>Slovenská technická univerzita v Bratislave</v>
          </cell>
          <cell r="E1471" t="str">
            <v>Fakulta elektrotechniky a informatiky</v>
          </cell>
          <cell r="AN1471">
            <v>183</v>
          </cell>
          <cell r="AO1471">
            <v>204</v>
          </cell>
          <cell r="AP1471">
            <v>204</v>
          </cell>
          <cell r="AQ1471">
            <v>183</v>
          </cell>
          <cell r="AR1471">
            <v>183</v>
          </cell>
          <cell r="BF1471">
            <v>274.5</v>
          </cell>
          <cell r="BG1471">
            <v>406.26</v>
          </cell>
          <cell r="BH1471">
            <v>386.28</v>
          </cell>
          <cell r="BI1471">
            <v>204</v>
          </cell>
          <cell r="BJ1471">
            <v>0</v>
          </cell>
        </row>
        <row r="1472">
          <cell r="D1472" t="str">
            <v>Slovenská technická univerzita v Bratislave</v>
          </cell>
          <cell r="E1472" t="str">
            <v>Stavebná fakulta</v>
          </cell>
          <cell r="AN1472">
            <v>45</v>
          </cell>
          <cell r="AO1472">
            <v>50</v>
          </cell>
          <cell r="AP1472">
            <v>0</v>
          </cell>
          <cell r="AQ1472">
            <v>0</v>
          </cell>
          <cell r="AR1472">
            <v>45</v>
          </cell>
          <cell r="BF1472">
            <v>67.5</v>
          </cell>
          <cell r="BG1472">
            <v>101.25</v>
          </cell>
          <cell r="BH1472">
            <v>92.045454545454547</v>
          </cell>
          <cell r="BI1472">
            <v>50</v>
          </cell>
          <cell r="BJ1472">
            <v>0</v>
          </cell>
        </row>
        <row r="1473">
          <cell r="D1473" t="str">
            <v>Slovenská technická univerzita v Bratislave</v>
          </cell>
          <cell r="E1473" t="str">
            <v>Stavebná fakulta</v>
          </cell>
          <cell r="AN1473">
            <v>102</v>
          </cell>
          <cell r="AO1473">
            <v>116</v>
          </cell>
          <cell r="AP1473">
            <v>0</v>
          </cell>
          <cell r="AQ1473">
            <v>0</v>
          </cell>
          <cell r="AR1473">
            <v>102</v>
          </cell>
          <cell r="BF1473">
            <v>153</v>
          </cell>
          <cell r="BG1473">
            <v>226.44</v>
          </cell>
          <cell r="BH1473">
            <v>208.07999999999998</v>
          </cell>
          <cell r="BI1473">
            <v>116</v>
          </cell>
          <cell r="BJ1473">
            <v>0</v>
          </cell>
        </row>
        <row r="1474">
          <cell r="D1474" t="str">
            <v>Slovenská technická univerzita v Bratislave</v>
          </cell>
          <cell r="E1474" t="str">
            <v>Strojnícka fakulta</v>
          </cell>
          <cell r="AN1474">
            <v>71</v>
          </cell>
          <cell r="AO1474">
            <v>80</v>
          </cell>
          <cell r="AP1474">
            <v>80</v>
          </cell>
          <cell r="AQ1474">
            <v>71</v>
          </cell>
          <cell r="AR1474">
            <v>71</v>
          </cell>
          <cell r="BF1474">
            <v>106.5</v>
          </cell>
          <cell r="BG1474">
            <v>157.62</v>
          </cell>
          <cell r="BH1474">
            <v>152.36600000000001</v>
          </cell>
          <cell r="BI1474">
            <v>80</v>
          </cell>
          <cell r="BJ1474">
            <v>0</v>
          </cell>
        </row>
        <row r="1475">
          <cell r="D1475" t="str">
            <v>Slovenská technická univerzita v Bratislave</v>
          </cell>
          <cell r="E1475" t="str">
            <v>Materiálovotechnologická fakulta so sídlom v Trnave</v>
          </cell>
          <cell r="AN1475">
            <v>4</v>
          </cell>
          <cell r="AO1475">
            <v>0</v>
          </cell>
          <cell r="AP1475">
            <v>0</v>
          </cell>
          <cell r="AQ1475">
            <v>0</v>
          </cell>
          <cell r="AR1475">
            <v>4</v>
          </cell>
          <cell r="BF1475">
            <v>12</v>
          </cell>
          <cell r="BG1475">
            <v>25.56</v>
          </cell>
          <cell r="BH1475">
            <v>22.152000000000001</v>
          </cell>
          <cell r="BI1475">
            <v>4</v>
          </cell>
          <cell r="BJ1475">
            <v>4</v>
          </cell>
        </row>
        <row r="1476">
          <cell r="D1476" t="str">
            <v>Slovenská technická univerzita v Bratislave</v>
          </cell>
          <cell r="E1476" t="str">
            <v>Materiálovotechnologická fakulta so sídlom v Trnave</v>
          </cell>
          <cell r="AN1476">
            <v>12</v>
          </cell>
          <cell r="AO1476">
            <v>0</v>
          </cell>
          <cell r="AP1476">
            <v>0</v>
          </cell>
          <cell r="AQ1476">
            <v>0</v>
          </cell>
          <cell r="AR1476">
            <v>12</v>
          </cell>
          <cell r="BF1476">
            <v>36</v>
          </cell>
          <cell r="BG1476">
            <v>76.679999999999993</v>
          </cell>
          <cell r="BH1476">
            <v>51.12</v>
          </cell>
          <cell r="BI1476">
            <v>12</v>
          </cell>
          <cell r="BJ1476">
            <v>12</v>
          </cell>
        </row>
        <row r="1477">
          <cell r="D1477" t="str">
            <v>Slovenská technická univerzita v Bratislave</v>
          </cell>
          <cell r="E1477" t="str">
            <v>Fakulta elektrotechniky a informatiky</v>
          </cell>
          <cell r="AN1477">
            <v>10</v>
          </cell>
          <cell r="AO1477">
            <v>0</v>
          </cell>
          <cell r="AP1477">
            <v>0</v>
          </cell>
          <cell r="AQ1477">
            <v>10</v>
          </cell>
          <cell r="AR1477">
            <v>10</v>
          </cell>
          <cell r="BF1477">
            <v>40</v>
          </cell>
          <cell r="BG1477">
            <v>85.199999999999989</v>
          </cell>
          <cell r="BH1477">
            <v>85.199999999999989</v>
          </cell>
          <cell r="BI1477">
            <v>11</v>
          </cell>
          <cell r="BJ1477">
            <v>10</v>
          </cell>
        </row>
        <row r="1478">
          <cell r="D1478" t="str">
            <v>Slovenská technická univerzita v Bratislave</v>
          </cell>
          <cell r="E1478" t="str">
            <v>Strojnícka fakulta</v>
          </cell>
          <cell r="AN1478">
            <v>5</v>
          </cell>
          <cell r="AO1478">
            <v>0</v>
          </cell>
          <cell r="AP1478">
            <v>0</v>
          </cell>
          <cell r="AQ1478">
            <v>5</v>
          </cell>
          <cell r="AR1478">
            <v>5</v>
          </cell>
          <cell r="BF1478">
            <v>20</v>
          </cell>
          <cell r="BG1478">
            <v>42.599999999999994</v>
          </cell>
          <cell r="BH1478">
            <v>42.599999999999994</v>
          </cell>
          <cell r="BI1478">
            <v>6</v>
          </cell>
          <cell r="BJ1478">
            <v>5</v>
          </cell>
        </row>
        <row r="1479">
          <cell r="D1479" t="str">
            <v>Slovenská technická univerzita v Bratislave</v>
          </cell>
          <cell r="E1479" t="str">
            <v>Strojnícka fakulta</v>
          </cell>
          <cell r="AN1479">
            <v>4</v>
          </cell>
          <cell r="AO1479">
            <v>0</v>
          </cell>
          <cell r="AP1479">
            <v>0</v>
          </cell>
          <cell r="AQ1479">
            <v>4</v>
          </cell>
          <cell r="AR1479">
            <v>4</v>
          </cell>
          <cell r="BF1479">
            <v>16</v>
          </cell>
          <cell r="BG1479">
            <v>34.08</v>
          </cell>
          <cell r="BH1479">
            <v>34.08</v>
          </cell>
          <cell r="BI1479">
            <v>5</v>
          </cell>
          <cell r="BJ1479">
            <v>4</v>
          </cell>
        </row>
        <row r="1480">
          <cell r="D1480" t="str">
            <v>Slovenská technická univerzita v Bratislave</v>
          </cell>
          <cell r="E1480" t="str">
            <v>Fakulta chemickej a potravinárskej technológie</v>
          </cell>
          <cell r="AN1480">
            <v>13</v>
          </cell>
          <cell r="AO1480">
            <v>0</v>
          </cell>
          <cell r="AP1480">
            <v>0</v>
          </cell>
          <cell r="AQ1480">
            <v>13</v>
          </cell>
          <cell r="AR1480">
            <v>13</v>
          </cell>
          <cell r="BF1480">
            <v>39</v>
          </cell>
          <cell r="BG1480">
            <v>83.07</v>
          </cell>
          <cell r="BH1480">
            <v>83.07</v>
          </cell>
          <cell r="BI1480">
            <v>13</v>
          </cell>
          <cell r="BJ1480">
            <v>13</v>
          </cell>
        </row>
        <row r="1481">
          <cell r="D1481" t="str">
            <v>Slovenská technická univerzita v Bratislave</v>
          </cell>
          <cell r="E1481" t="str">
            <v>Fakulta chemickej a potravinárskej technológie</v>
          </cell>
          <cell r="AN1481">
            <v>10</v>
          </cell>
          <cell r="AO1481">
            <v>0</v>
          </cell>
          <cell r="AP1481">
            <v>0</v>
          </cell>
          <cell r="AQ1481">
            <v>10</v>
          </cell>
          <cell r="AR1481">
            <v>10</v>
          </cell>
          <cell r="BF1481">
            <v>30</v>
          </cell>
          <cell r="BG1481">
            <v>63.9</v>
          </cell>
          <cell r="BH1481">
            <v>63.9</v>
          </cell>
          <cell r="BI1481">
            <v>10</v>
          </cell>
          <cell r="BJ1481">
            <v>10</v>
          </cell>
        </row>
        <row r="1482">
          <cell r="D1482" t="str">
            <v>Slovenská technická univerzita v Bratislave</v>
          </cell>
          <cell r="E1482" t="str">
            <v>Fakulta chemickej a potravinárskej technológie</v>
          </cell>
          <cell r="AN1482">
            <v>7</v>
          </cell>
          <cell r="AO1482">
            <v>0</v>
          </cell>
          <cell r="AP1482">
            <v>0</v>
          </cell>
          <cell r="AQ1482">
            <v>7</v>
          </cell>
          <cell r="AR1482">
            <v>7</v>
          </cell>
          <cell r="BF1482">
            <v>21</v>
          </cell>
          <cell r="BG1482">
            <v>44.73</v>
          </cell>
          <cell r="BH1482">
            <v>44.73</v>
          </cell>
          <cell r="BI1482">
            <v>7</v>
          </cell>
          <cell r="BJ1482">
            <v>7</v>
          </cell>
        </row>
        <row r="1483">
          <cell r="D1483" t="str">
            <v>Slovenská technická univerzita v Bratislave</v>
          </cell>
          <cell r="E1483" t="str">
            <v>Fakulta chemickej a potravinárskej technológie</v>
          </cell>
          <cell r="AN1483">
            <v>7</v>
          </cell>
          <cell r="AO1483">
            <v>0</v>
          </cell>
          <cell r="AP1483">
            <v>0</v>
          </cell>
          <cell r="AQ1483">
            <v>7</v>
          </cell>
          <cell r="AR1483">
            <v>7</v>
          </cell>
          <cell r="BF1483">
            <v>21</v>
          </cell>
          <cell r="BG1483">
            <v>44.73</v>
          </cell>
          <cell r="BH1483">
            <v>44.73</v>
          </cell>
          <cell r="BI1483">
            <v>7</v>
          </cell>
          <cell r="BJ1483">
            <v>7</v>
          </cell>
        </row>
        <row r="1484">
          <cell r="D1484" t="str">
            <v>Slovenská technická univerzita v Bratislave</v>
          </cell>
          <cell r="E1484" t="str">
            <v>Materiálovotechnologická fakulta so sídlom v Trnave</v>
          </cell>
          <cell r="AN1484">
            <v>1</v>
          </cell>
          <cell r="AO1484">
            <v>0</v>
          </cell>
          <cell r="AP1484">
            <v>0</v>
          </cell>
          <cell r="AQ1484">
            <v>0</v>
          </cell>
          <cell r="AR1484">
            <v>1</v>
          </cell>
          <cell r="BF1484">
            <v>3</v>
          </cell>
          <cell r="BG1484">
            <v>6.39</v>
          </cell>
          <cell r="BH1484">
            <v>5.5380000000000003</v>
          </cell>
          <cell r="BI1484">
            <v>1</v>
          </cell>
          <cell r="BJ1484">
            <v>1</v>
          </cell>
        </row>
        <row r="1485">
          <cell r="D1485" t="str">
            <v>Slovenská technická univerzita v Bratislave</v>
          </cell>
          <cell r="E1485" t="str">
            <v>Materiálovotechnologická fakulta so sídlom v Trnave</v>
          </cell>
          <cell r="AN1485">
            <v>49</v>
          </cell>
          <cell r="AO1485">
            <v>60</v>
          </cell>
          <cell r="AP1485">
            <v>0</v>
          </cell>
          <cell r="AQ1485">
            <v>0</v>
          </cell>
          <cell r="AR1485">
            <v>49</v>
          </cell>
          <cell r="BF1485">
            <v>73.5</v>
          </cell>
          <cell r="BG1485">
            <v>108.78</v>
          </cell>
          <cell r="BH1485">
            <v>99.181764705882358</v>
          </cell>
          <cell r="BI1485">
            <v>60</v>
          </cell>
          <cell r="BJ1485">
            <v>0</v>
          </cell>
        </row>
        <row r="1486">
          <cell r="D1486" t="str">
            <v>Slovenská technická univerzita v Bratislave</v>
          </cell>
          <cell r="E1486" t="str">
            <v>Materiálovotechnologická fakulta so sídlom v Trnave</v>
          </cell>
          <cell r="AN1486">
            <v>117</v>
          </cell>
          <cell r="AO1486">
            <v>146</v>
          </cell>
          <cell r="AP1486">
            <v>146</v>
          </cell>
          <cell r="AQ1486">
            <v>117</v>
          </cell>
          <cell r="AR1486">
            <v>117</v>
          </cell>
          <cell r="BF1486">
            <v>175.5</v>
          </cell>
          <cell r="BG1486">
            <v>259.74</v>
          </cell>
          <cell r="BH1486">
            <v>255.01745454545454</v>
          </cell>
          <cell r="BI1486">
            <v>146</v>
          </cell>
          <cell r="BJ1486">
            <v>0</v>
          </cell>
        </row>
        <row r="1487">
          <cell r="D1487" t="str">
            <v>Slovenská technická univerzita v Bratislave</v>
          </cell>
          <cell r="E1487" t="str">
            <v>Strojnícka fakulta</v>
          </cell>
          <cell r="AN1487">
            <v>4</v>
          </cell>
          <cell r="AO1487">
            <v>0</v>
          </cell>
          <cell r="AP1487">
            <v>0</v>
          </cell>
          <cell r="AQ1487">
            <v>4</v>
          </cell>
          <cell r="AR1487">
            <v>4</v>
          </cell>
          <cell r="BF1487">
            <v>16</v>
          </cell>
          <cell r="BG1487">
            <v>34.08</v>
          </cell>
          <cell r="BH1487">
            <v>34.08</v>
          </cell>
          <cell r="BI1487">
            <v>5</v>
          </cell>
          <cell r="BJ1487">
            <v>4</v>
          </cell>
        </row>
        <row r="1488">
          <cell r="D1488" t="str">
            <v>Slovenská technická univerzita v Bratislave</v>
          </cell>
          <cell r="E1488" t="str">
            <v>Materiálovotechnologická fakulta so sídlom v Trnave</v>
          </cell>
          <cell r="AN1488">
            <v>94</v>
          </cell>
          <cell r="AO1488">
            <v>103</v>
          </cell>
          <cell r="AP1488">
            <v>0</v>
          </cell>
          <cell r="AQ1488">
            <v>0</v>
          </cell>
          <cell r="AR1488">
            <v>94</v>
          </cell>
          <cell r="BF1488">
            <v>141</v>
          </cell>
          <cell r="BG1488">
            <v>208.68</v>
          </cell>
          <cell r="BH1488">
            <v>192.62769230769231</v>
          </cell>
          <cell r="BI1488">
            <v>103</v>
          </cell>
          <cell r="BJ1488">
            <v>0</v>
          </cell>
        </row>
        <row r="1489">
          <cell r="D1489" t="str">
            <v>Slovenská technická univerzita v Bratislave</v>
          </cell>
          <cell r="E1489" t="str">
            <v>Materiálovotechnologická fakulta so sídlom v Trnave</v>
          </cell>
          <cell r="AN1489">
            <v>27</v>
          </cell>
          <cell r="AO1489">
            <v>31</v>
          </cell>
          <cell r="AP1489">
            <v>0</v>
          </cell>
          <cell r="AQ1489">
            <v>0</v>
          </cell>
          <cell r="AR1489">
            <v>27</v>
          </cell>
          <cell r="BF1489">
            <v>40.5</v>
          </cell>
          <cell r="BG1489">
            <v>59.94</v>
          </cell>
          <cell r="BH1489">
            <v>49.041818181818179</v>
          </cell>
          <cell r="BI1489">
            <v>31</v>
          </cell>
          <cell r="BJ1489">
            <v>0</v>
          </cell>
        </row>
        <row r="1490">
          <cell r="D1490" t="str">
            <v>Slovenská technická univerzita v Bratislave</v>
          </cell>
          <cell r="E1490" t="str">
            <v>Stavebná fakulta</v>
          </cell>
          <cell r="AN1490">
            <v>206</v>
          </cell>
          <cell r="AO1490">
            <v>282</v>
          </cell>
          <cell r="AP1490">
            <v>282</v>
          </cell>
          <cell r="AQ1490">
            <v>206</v>
          </cell>
          <cell r="AR1490">
            <v>206</v>
          </cell>
          <cell r="BF1490">
            <v>167.89999999999998</v>
          </cell>
          <cell r="BG1490">
            <v>248.49199999999996</v>
          </cell>
          <cell r="BH1490">
            <v>245.0407222222222</v>
          </cell>
          <cell r="BI1490">
            <v>282</v>
          </cell>
          <cell r="BJ1490">
            <v>0</v>
          </cell>
        </row>
        <row r="1491">
          <cell r="D1491" t="str">
            <v>Slovenská technická univerzita v Bratislave</v>
          </cell>
          <cell r="E1491" t="str">
            <v>Fakulta chemickej a potravinárskej technológie</v>
          </cell>
          <cell r="AN1491">
            <v>201</v>
          </cell>
          <cell r="AO1491">
            <v>242</v>
          </cell>
          <cell r="AP1491">
            <v>242</v>
          </cell>
          <cell r="AQ1491">
            <v>201</v>
          </cell>
          <cell r="AR1491">
            <v>201</v>
          </cell>
          <cell r="BF1491">
            <v>172.8</v>
          </cell>
          <cell r="BG1491">
            <v>336.09600000000006</v>
          </cell>
          <cell r="BH1491">
            <v>336.09600000000006</v>
          </cell>
          <cell r="BI1491">
            <v>242</v>
          </cell>
          <cell r="BJ1491">
            <v>0</v>
          </cell>
        </row>
        <row r="1492">
          <cell r="D1492" t="str">
            <v>Slovenská technická univerzita v Bratislave</v>
          </cell>
          <cell r="E1492">
            <v>0</v>
          </cell>
          <cell r="AN1492">
            <v>33</v>
          </cell>
          <cell r="AO1492">
            <v>40</v>
          </cell>
          <cell r="AP1492">
            <v>0</v>
          </cell>
          <cell r="AQ1492">
            <v>33</v>
          </cell>
          <cell r="AR1492">
            <v>33</v>
          </cell>
          <cell r="BF1492">
            <v>28.799999999999997</v>
          </cell>
          <cell r="BG1492">
            <v>43.199999999999996</v>
          </cell>
          <cell r="BH1492">
            <v>43.199999999999996</v>
          </cell>
          <cell r="BI1492">
            <v>40</v>
          </cell>
          <cell r="BJ1492">
            <v>0</v>
          </cell>
        </row>
        <row r="1493">
          <cell r="D1493" t="str">
            <v>Slovenská technická univerzita v Bratislave</v>
          </cell>
          <cell r="E1493" t="str">
            <v>Stavebná fakulta</v>
          </cell>
          <cell r="AN1493">
            <v>0</v>
          </cell>
          <cell r="AO1493">
            <v>11</v>
          </cell>
          <cell r="AP1493">
            <v>11</v>
          </cell>
          <cell r="AQ1493">
            <v>0</v>
          </cell>
          <cell r="AR1493">
            <v>0</v>
          </cell>
          <cell r="BF1493">
            <v>0</v>
          </cell>
          <cell r="BG1493">
            <v>0</v>
          </cell>
          <cell r="BH1493">
            <v>0</v>
          </cell>
          <cell r="BI1493">
            <v>11</v>
          </cell>
          <cell r="BJ1493">
            <v>0</v>
          </cell>
        </row>
        <row r="1494">
          <cell r="D1494" t="str">
            <v>Slovenská technická univerzita v Bratislave</v>
          </cell>
          <cell r="E1494" t="str">
            <v>Fakulta chemickej a potravinárskej technológie</v>
          </cell>
          <cell r="AN1494">
            <v>71</v>
          </cell>
          <cell r="AO1494">
            <v>81</v>
          </cell>
          <cell r="AP1494">
            <v>81</v>
          </cell>
          <cell r="AQ1494">
            <v>71</v>
          </cell>
          <cell r="AR1494">
            <v>71</v>
          </cell>
          <cell r="BF1494">
            <v>60.5</v>
          </cell>
          <cell r="BG1494">
            <v>145.80500000000001</v>
          </cell>
          <cell r="BH1494">
            <v>141.86432432432434</v>
          </cell>
          <cell r="BI1494">
            <v>81</v>
          </cell>
          <cell r="BJ1494">
            <v>0</v>
          </cell>
        </row>
        <row r="1495">
          <cell r="D1495" t="str">
            <v>Slovenská technická univerzita v Bratislave</v>
          </cell>
          <cell r="E1495" t="str">
            <v>Fakulta elektrotechniky a informatiky</v>
          </cell>
          <cell r="AN1495">
            <v>19</v>
          </cell>
          <cell r="AO1495">
            <v>26</v>
          </cell>
          <cell r="AP1495">
            <v>26</v>
          </cell>
          <cell r="AQ1495">
            <v>19</v>
          </cell>
          <cell r="AR1495">
            <v>19</v>
          </cell>
          <cell r="BF1495">
            <v>15.1</v>
          </cell>
          <cell r="BG1495">
            <v>22.347999999999999</v>
          </cell>
          <cell r="BH1495">
            <v>22.347999999999999</v>
          </cell>
          <cell r="BI1495">
            <v>26</v>
          </cell>
          <cell r="BJ1495">
            <v>0</v>
          </cell>
        </row>
        <row r="1496">
          <cell r="D1496" t="str">
            <v>Slovenská technická univerzita v Bratislave</v>
          </cell>
          <cell r="E1496" t="str">
            <v>Fakulta chemickej a potravinárskej technológie</v>
          </cell>
          <cell r="AN1496">
            <v>15</v>
          </cell>
          <cell r="AO1496">
            <v>19</v>
          </cell>
          <cell r="AP1496">
            <v>19</v>
          </cell>
          <cell r="AQ1496">
            <v>15</v>
          </cell>
          <cell r="AR1496">
            <v>15</v>
          </cell>
          <cell r="BF1496">
            <v>12.899999999999999</v>
          </cell>
          <cell r="BG1496">
            <v>19.091999999999999</v>
          </cell>
          <cell r="BH1496">
            <v>19.091999999999999</v>
          </cell>
          <cell r="BI1496">
            <v>19</v>
          </cell>
          <cell r="BJ1496">
            <v>0</v>
          </cell>
        </row>
        <row r="1497">
          <cell r="D1497" t="str">
            <v>Slovenská technická univerzita v Bratislave</v>
          </cell>
          <cell r="E1497" t="str">
            <v>Fakulta chemickej a potravinárskej technológie</v>
          </cell>
          <cell r="AN1497">
            <v>104</v>
          </cell>
          <cell r="AO1497">
            <v>126</v>
          </cell>
          <cell r="AP1497">
            <v>126</v>
          </cell>
          <cell r="AQ1497">
            <v>104</v>
          </cell>
          <cell r="AR1497">
            <v>104</v>
          </cell>
          <cell r="BF1497">
            <v>89.9</v>
          </cell>
          <cell r="BG1497">
            <v>133.05200000000002</v>
          </cell>
          <cell r="BH1497">
            <v>133.05200000000002</v>
          </cell>
          <cell r="BI1497">
            <v>126</v>
          </cell>
          <cell r="BJ1497">
            <v>0</v>
          </cell>
        </row>
        <row r="1498">
          <cell r="D1498" t="str">
            <v>Slovenská technická univerzita v Bratislave</v>
          </cell>
          <cell r="E1498" t="str">
            <v>Materiálovotechnologická fakulta so sídlom v Trnave</v>
          </cell>
          <cell r="AN1498">
            <v>50</v>
          </cell>
          <cell r="AO1498">
            <v>72</v>
          </cell>
          <cell r="AP1498">
            <v>72</v>
          </cell>
          <cell r="AQ1498">
            <v>50</v>
          </cell>
          <cell r="AR1498">
            <v>50</v>
          </cell>
          <cell r="BF1498">
            <v>41.599999999999994</v>
          </cell>
          <cell r="BG1498">
            <v>61.567999999999991</v>
          </cell>
          <cell r="BH1498">
            <v>61.567999999999991</v>
          </cell>
          <cell r="BI1498">
            <v>72</v>
          </cell>
          <cell r="BJ1498">
            <v>0</v>
          </cell>
        </row>
        <row r="1499">
          <cell r="D1499" t="str">
            <v>Slovenská technická univerzita v Bratislave</v>
          </cell>
          <cell r="E1499" t="str">
            <v>Fakulta chemickej a potravinárskej technológie</v>
          </cell>
          <cell r="AN1499">
            <v>136</v>
          </cell>
          <cell r="AO1499">
            <v>179</v>
          </cell>
          <cell r="AP1499">
            <v>179</v>
          </cell>
          <cell r="AQ1499">
            <v>136</v>
          </cell>
          <cell r="AR1499">
            <v>136</v>
          </cell>
          <cell r="BF1499">
            <v>116.8</v>
          </cell>
          <cell r="BG1499">
            <v>172.864</v>
          </cell>
          <cell r="BH1499">
            <v>172.864</v>
          </cell>
          <cell r="BI1499">
            <v>179</v>
          </cell>
          <cell r="BJ1499">
            <v>0</v>
          </cell>
        </row>
        <row r="1500">
          <cell r="D1500" t="str">
            <v>Slovenská technická univerzita v Bratislave</v>
          </cell>
          <cell r="E1500" t="str">
            <v>Strojnícka fakulta</v>
          </cell>
          <cell r="AN1500">
            <v>65</v>
          </cell>
          <cell r="AO1500">
            <v>69</v>
          </cell>
          <cell r="AP1500">
            <v>69</v>
          </cell>
          <cell r="AQ1500">
            <v>65</v>
          </cell>
          <cell r="AR1500">
            <v>65</v>
          </cell>
          <cell r="BF1500">
            <v>51.8</v>
          </cell>
          <cell r="BG1500">
            <v>76.664000000000001</v>
          </cell>
          <cell r="BH1500">
            <v>76.664000000000001</v>
          </cell>
          <cell r="BI1500">
            <v>69</v>
          </cell>
          <cell r="BJ1500">
            <v>0</v>
          </cell>
        </row>
        <row r="1501">
          <cell r="D1501" t="str">
            <v>Slovenská technická univerzita v Bratislave</v>
          </cell>
          <cell r="E1501" t="str">
            <v>Fakulta chemickej a potravinárskej technológie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1</v>
          </cell>
          <cell r="BJ1501">
            <v>0</v>
          </cell>
        </row>
        <row r="1502">
          <cell r="D1502" t="str">
            <v>Slovenská technická univerzita v Bratislave</v>
          </cell>
          <cell r="E1502" t="str">
            <v>Strojnícka fakulta</v>
          </cell>
          <cell r="AN1502">
            <v>152</v>
          </cell>
          <cell r="AO1502">
            <v>184</v>
          </cell>
          <cell r="AP1502">
            <v>184</v>
          </cell>
          <cell r="AQ1502">
            <v>152</v>
          </cell>
          <cell r="AR1502">
            <v>152</v>
          </cell>
          <cell r="BF1502">
            <v>127.4</v>
          </cell>
          <cell r="BG1502">
            <v>188.55199999999999</v>
          </cell>
          <cell r="BH1502">
            <v>188.55199999999999</v>
          </cell>
          <cell r="BI1502">
            <v>184</v>
          </cell>
          <cell r="BJ1502">
            <v>0</v>
          </cell>
        </row>
        <row r="1503">
          <cell r="D1503" t="str">
            <v>Slovenská technická univerzita v Bratislave</v>
          </cell>
          <cell r="E1503" t="str">
            <v>Stavebná fakulta</v>
          </cell>
          <cell r="AN1503">
            <v>34</v>
          </cell>
          <cell r="AO1503">
            <v>46</v>
          </cell>
          <cell r="AP1503">
            <v>0</v>
          </cell>
          <cell r="AQ1503">
            <v>0</v>
          </cell>
          <cell r="AR1503">
            <v>34</v>
          </cell>
          <cell r="BF1503">
            <v>28.6</v>
          </cell>
          <cell r="BG1503">
            <v>42.328000000000003</v>
          </cell>
          <cell r="BH1503">
            <v>37.037000000000006</v>
          </cell>
          <cell r="BI1503">
            <v>46</v>
          </cell>
          <cell r="BJ1503">
            <v>0</v>
          </cell>
        </row>
        <row r="1504">
          <cell r="D1504" t="str">
            <v>Slovenská technická univerzita v Bratislave</v>
          </cell>
          <cell r="E1504" t="str">
            <v>Stavebná fakulta</v>
          </cell>
          <cell r="AN1504">
            <v>23</v>
          </cell>
          <cell r="AO1504">
            <v>30</v>
          </cell>
          <cell r="AP1504">
            <v>30</v>
          </cell>
          <cell r="AQ1504">
            <v>23</v>
          </cell>
          <cell r="AR1504">
            <v>23</v>
          </cell>
          <cell r="BF1504">
            <v>18.799999999999997</v>
          </cell>
          <cell r="BG1504">
            <v>27.823999999999995</v>
          </cell>
          <cell r="BH1504">
            <v>26.348484848484844</v>
          </cell>
          <cell r="BI1504">
            <v>30</v>
          </cell>
          <cell r="BJ1504">
            <v>0</v>
          </cell>
        </row>
        <row r="1505">
          <cell r="D1505" t="str">
            <v>Slovenská technická univerzita v Bratislave</v>
          </cell>
          <cell r="E1505">
            <v>0</v>
          </cell>
          <cell r="AN1505">
            <v>28</v>
          </cell>
          <cell r="AO1505">
            <v>37</v>
          </cell>
          <cell r="AP1505">
            <v>0</v>
          </cell>
          <cell r="AQ1505">
            <v>0</v>
          </cell>
          <cell r="AR1505">
            <v>28</v>
          </cell>
          <cell r="BF1505">
            <v>23.2</v>
          </cell>
          <cell r="BG1505">
            <v>24.128</v>
          </cell>
          <cell r="BH1505">
            <v>24.128</v>
          </cell>
          <cell r="BI1505">
            <v>37</v>
          </cell>
          <cell r="BJ1505">
            <v>0</v>
          </cell>
        </row>
        <row r="1506">
          <cell r="D1506" t="str">
            <v>Slovenská technická univerzita v Bratislave</v>
          </cell>
          <cell r="E1506" t="str">
            <v>Fakulta architektúry a dizajnu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4</v>
          </cell>
          <cell r="BJ1506">
            <v>0</v>
          </cell>
        </row>
        <row r="1507">
          <cell r="D1507" t="str">
            <v>Slovenská technická univerzita v Bratislave</v>
          </cell>
          <cell r="E1507" t="str">
            <v>Materiálovotechnologická fakulta so sídlom v Trnave</v>
          </cell>
          <cell r="AN1507">
            <v>57</v>
          </cell>
          <cell r="AO1507">
            <v>62</v>
          </cell>
          <cell r="AP1507">
            <v>62</v>
          </cell>
          <cell r="AQ1507">
            <v>57</v>
          </cell>
          <cell r="AR1507">
            <v>57</v>
          </cell>
          <cell r="BF1507">
            <v>45.9</v>
          </cell>
          <cell r="BG1507">
            <v>67.932000000000002</v>
          </cell>
          <cell r="BH1507">
            <v>67.932000000000002</v>
          </cell>
          <cell r="BI1507">
            <v>62</v>
          </cell>
          <cell r="BJ1507">
            <v>0</v>
          </cell>
        </row>
        <row r="1508">
          <cell r="D1508" t="str">
            <v>Slovenská technická univerzita v Bratislave</v>
          </cell>
          <cell r="E1508" t="str">
            <v>Materiálovotechnologická fakulta so sídlom v Trnave</v>
          </cell>
          <cell r="AN1508">
            <v>166</v>
          </cell>
          <cell r="AO1508">
            <v>215</v>
          </cell>
          <cell r="AP1508">
            <v>215</v>
          </cell>
          <cell r="AQ1508">
            <v>166</v>
          </cell>
          <cell r="AR1508">
            <v>166</v>
          </cell>
          <cell r="BF1508">
            <v>139.9</v>
          </cell>
          <cell r="BG1508">
            <v>207.05199999999999</v>
          </cell>
          <cell r="BH1508">
            <v>207.05199999999999</v>
          </cell>
          <cell r="BI1508">
            <v>215</v>
          </cell>
          <cell r="BJ1508">
            <v>0</v>
          </cell>
        </row>
        <row r="1509">
          <cell r="D1509" t="str">
            <v>Slovenská technická univerzita v Bratislave</v>
          </cell>
          <cell r="E1509" t="str">
            <v>Materiálovotechnologická fakulta so sídlom v Trnave</v>
          </cell>
          <cell r="AN1509">
            <v>45</v>
          </cell>
          <cell r="AO1509">
            <v>63</v>
          </cell>
          <cell r="AP1509">
            <v>0</v>
          </cell>
          <cell r="AQ1509">
            <v>0</v>
          </cell>
          <cell r="AR1509">
            <v>45</v>
          </cell>
          <cell r="BF1509">
            <v>37.200000000000003</v>
          </cell>
          <cell r="BG1509">
            <v>55.056000000000004</v>
          </cell>
          <cell r="BH1509">
            <v>51.385600000000004</v>
          </cell>
          <cell r="BI1509">
            <v>63</v>
          </cell>
          <cell r="BJ1509">
            <v>0</v>
          </cell>
        </row>
        <row r="1510">
          <cell r="D1510" t="str">
            <v>Slovenská technická univerzita v Bratislave</v>
          </cell>
          <cell r="E1510" t="str">
            <v>Fakulta elektrotechniky a informatiky</v>
          </cell>
          <cell r="AN1510">
            <v>63</v>
          </cell>
          <cell r="AO1510">
            <v>75</v>
          </cell>
          <cell r="AP1510">
            <v>75</v>
          </cell>
          <cell r="AQ1510">
            <v>63</v>
          </cell>
          <cell r="AR1510">
            <v>63</v>
          </cell>
          <cell r="BF1510">
            <v>51</v>
          </cell>
          <cell r="BG1510">
            <v>75.48</v>
          </cell>
          <cell r="BH1510">
            <v>75.48</v>
          </cell>
          <cell r="BI1510">
            <v>75</v>
          </cell>
          <cell r="BJ1510">
            <v>0</v>
          </cell>
        </row>
        <row r="1511">
          <cell r="D1511" t="str">
            <v>Slovenská technická univerzita v Bratislave</v>
          </cell>
          <cell r="E1511" t="str">
            <v>Materiálovotechnologická fakulta so sídlom v Trnave</v>
          </cell>
          <cell r="AN1511">
            <v>165</v>
          </cell>
          <cell r="AO1511">
            <v>200</v>
          </cell>
          <cell r="AP1511">
            <v>200</v>
          </cell>
          <cell r="AQ1511">
            <v>165</v>
          </cell>
          <cell r="AR1511">
            <v>165</v>
          </cell>
          <cell r="BF1511">
            <v>135.6</v>
          </cell>
          <cell r="BG1511">
            <v>200.68799999999999</v>
          </cell>
          <cell r="BH1511">
            <v>200.68799999999999</v>
          </cell>
          <cell r="BI1511">
            <v>200</v>
          </cell>
          <cell r="BJ1511">
            <v>0</v>
          </cell>
        </row>
        <row r="1512">
          <cell r="D1512" t="str">
            <v>Slovenská technická univerzita v Bratislave</v>
          </cell>
          <cell r="E1512" t="str">
            <v>Fakulta informatiky a informačných technológií</v>
          </cell>
          <cell r="AN1512">
            <v>26</v>
          </cell>
          <cell r="AO1512">
            <v>26</v>
          </cell>
          <cell r="AP1512">
            <v>26</v>
          </cell>
          <cell r="AQ1512">
            <v>26</v>
          </cell>
          <cell r="AR1512">
            <v>26</v>
          </cell>
          <cell r="BF1512">
            <v>26</v>
          </cell>
          <cell r="BG1512">
            <v>38.479999999999997</v>
          </cell>
          <cell r="BH1512">
            <v>38.065493716337521</v>
          </cell>
          <cell r="BI1512">
            <v>26</v>
          </cell>
          <cell r="BJ1512">
            <v>0</v>
          </cell>
        </row>
        <row r="1513">
          <cell r="D1513" t="str">
            <v>Slovenská technická univerzita v Bratislave</v>
          </cell>
          <cell r="E1513" t="str">
            <v>Fakulta informatiky a informačných technológií</v>
          </cell>
          <cell r="AN1513">
            <v>22</v>
          </cell>
          <cell r="AO1513">
            <v>26</v>
          </cell>
          <cell r="AP1513">
            <v>26</v>
          </cell>
          <cell r="AQ1513">
            <v>22</v>
          </cell>
          <cell r="AR1513">
            <v>22</v>
          </cell>
          <cell r="BF1513">
            <v>20.8</v>
          </cell>
          <cell r="BG1513">
            <v>30.783999999999999</v>
          </cell>
          <cell r="BH1513">
            <v>30.783999999999999</v>
          </cell>
          <cell r="BI1513">
            <v>26</v>
          </cell>
          <cell r="BJ1513">
            <v>0</v>
          </cell>
        </row>
        <row r="1514">
          <cell r="D1514" t="str">
            <v>Slovenská technická univerzita v Bratislave</v>
          </cell>
          <cell r="E1514" t="str">
            <v>Fakulta elektrotechniky a informatiky</v>
          </cell>
          <cell r="AN1514">
            <v>1</v>
          </cell>
          <cell r="AO1514">
            <v>0</v>
          </cell>
          <cell r="AP1514">
            <v>0</v>
          </cell>
          <cell r="AQ1514">
            <v>1</v>
          </cell>
          <cell r="AR1514">
            <v>1</v>
          </cell>
          <cell r="BF1514">
            <v>4</v>
          </cell>
          <cell r="BG1514">
            <v>8.52</v>
          </cell>
          <cell r="BH1514">
            <v>8.52</v>
          </cell>
          <cell r="BI1514">
            <v>2</v>
          </cell>
          <cell r="BJ1514">
            <v>1</v>
          </cell>
        </row>
        <row r="1515">
          <cell r="D1515" t="str">
            <v>Slovenská technická univerzita v Bratislave</v>
          </cell>
          <cell r="E1515" t="str">
            <v>Materiálovotechnologická fakulta so sídlom v Trnave</v>
          </cell>
          <cell r="AN1515">
            <v>58</v>
          </cell>
          <cell r="AO1515">
            <v>72</v>
          </cell>
          <cell r="AP1515">
            <v>72</v>
          </cell>
          <cell r="AQ1515">
            <v>58</v>
          </cell>
          <cell r="AR1515">
            <v>58</v>
          </cell>
          <cell r="BF1515">
            <v>44.8</v>
          </cell>
          <cell r="BG1515">
            <v>66.304000000000002</v>
          </cell>
          <cell r="BH1515">
            <v>66.304000000000002</v>
          </cell>
          <cell r="BI1515">
            <v>72</v>
          </cell>
          <cell r="BJ1515">
            <v>0</v>
          </cell>
        </row>
        <row r="1516">
          <cell r="D1516" t="str">
            <v>Technická univerzita vo Zvolene</v>
          </cell>
          <cell r="E1516" t="str">
            <v>Drevárska fakulta</v>
          </cell>
          <cell r="AN1516">
            <v>4</v>
          </cell>
          <cell r="AO1516">
            <v>0</v>
          </cell>
          <cell r="AP1516">
            <v>0</v>
          </cell>
          <cell r="AQ1516">
            <v>4</v>
          </cell>
          <cell r="AR1516">
            <v>4</v>
          </cell>
          <cell r="BF1516">
            <v>16</v>
          </cell>
          <cell r="BG1516">
            <v>34.08</v>
          </cell>
          <cell r="BH1516">
            <v>34.08</v>
          </cell>
          <cell r="BI1516">
            <v>5</v>
          </cell>
          <cell r="BJ1516">
            <v>4</v>
          </cell>
        </row>
        <row r="1517">
          <cell r="D1517" t="str">
            <v>Technická univerzita vo Zvolene</v>
          </cell>
          <cell r="E1517" t="str">
            <v>Fakulta techniky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30</v>
          </cell>
          <cell r="BJ1517">
            <v>0</v>
          </cell>
        </row>
        <row r="1518">
          <cell r="D1518" t="str">
            <v>Technická univerzita vo Zvolene</v>
          </cell>
          <cell r="E1518" t="str">
            <v>Fakulta techniky</v>
          </cell>
          <cell r="AN1518">
            <v>6</v>
          </cell>
          <cell r="AO1518">
            <v>0</v>
          </cell>
          <cell r="AP1518">
            <v>0</v>
          </cell>
          <cell r="AQ1518">
            <v>6</v>
          </cell>
          <cell r="AR1518">
            <v>6</v>
          </cell>
          <cell r="BF1518">
            <v>24</v>
          </cell>
          <cell r="BG1518">
            <v>51.12</v>
          </cell>
          <cell r="BH1518">
            <v>51.12</v>
          </cell>
          <cell r="BI1518">
            <v>8</v>
          </cell>
          <cell r="BJ1518">
            <v>6</v>
          </cell>
        </row>
        <row r="1519">
          <cell r="D1519" t="str">
            <v>Technická univerzita vo Zvolene</v>
          </cell>
          <cell r="E1519" t="str">
            <v>Fakulta ekológie a environmentalistiky</v>
          </cell>
          <cell r="AN1519">
            <v>6</v>
          </cell>
          <cell r="AO1519">
            <v>0</v>
          </cell>
          <cell r="AP1519">
            <v>0</v>
          </cell>
          <cell r="AQ1519">
            <v>6</v>
          </cell>
          <cell r="AR1519">
            <v>6</v>
          </cell>
          <cell r="BF1519">
            <v>18</v>
          </cell>
          <cell r="BG1519">
            <v>38.339999999999996</v>
          </cell>
          <cell r="BH1519">
            <v>38.339999999999996</v>
          </cell>
          <cell r="BI1519">
            <v>6</v>
          </cell>
          <cell r="BJ1519">
            <v>6</v>
          </cell>
        </row>
        <row r="1520">
          <cell r="D1520" t="str">
            <v>Technická univerzita vo Zvolene</v>
          </cell>
          <cell r="E1520" t="str">
            <v>Drevárska fakulta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BF1520">
            <v>0</v>
          </cell>
          <cell r="BG1520">
            <v>0</v>
          </cell>
          <cell r="BH1520">
            <v>0</v>
          </cell>
          <cell r="BI1520">
            <v>2</v>
          </cell>
          <cell r="BJ1520">
            <v>0</v>
          </cell>
        </row>
        <row r="1521">
          <cell r="D1521" t="str">
            <v>Technická univerzita vo Zvolene</v>
          </cell>
          <cell r="E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BF1521">
            <v>0</v>
          </cell>
          <cell r="BG1521">
            <v>0</v>
          </cell>
          <cell r="BH1521">
            <v>0</v>
          </cell>
          <cell r="BI1521">
            <v>15</v>
          </cell>
          <cell r="BJ1521">
            <v>0</v>
          </cell>
        </row>
        <row r="1522">
          <cell r="D1522" t="str">
            <v>Technická univerzita vo Zvolene</v>
          </cell>
          <cell r="E1522" t="str">
            <v>Lesnícka fakulta</v>
          </cell>
          <cell r="AN1522">
            <v>61</v>
          </cell>
          <cell r="AO1522">
            <v>73</v>
          </cell>
          <cell r="AP1522">
            <v>0</v>
          </cell>
          <cell r="AQ1522">
            <v>0</v>
          </cell>
          <cell r="AR1522">
            <v>61</v>
          </cell>
          <cell r="BF1522">
            <v>53.8</v>
          </cell>
          <cell r="BG1522">
            <v>85.542000000000002</v>
          </cell>
          <cell r="BH1522">
            <v>82.690600000000003</v>
          </cell>
          <cell r="BI1522">
            <v>73</v>
          </cell>
          <cell r="BJ1522">
            <v>0</v>
          </cell>
        </row>
        <row r="1523">
          <cell r="D1523" t="str">
            <v>Technická univerzita vo Zvolene</v>
          </cell>
          <cell r="E1523" t="str">
            <v>Lesnícka fakulta</v>
          </cell>
          <cell r="AN1523">
            <v>200</v>
          </cell>
          <cell r="AO1523">
            <v>230</v>
          </cell>
          <cell r="AP1523">
            <v>0</v>
          </cell>
          <cell r="AQ1523">
            <v>0</v>
          </cell>
          <cell r="AR1523">
            <v>200</v>
          </cell>
          <cell r="BF1523">
            <v>174.2</v>
          </cell>
          <cell r="BG1523">
            <v>276.97800000000001</v>
          </cell>
          <cell r="BH1523">
            <v>267.25947368421055</v>
          </cell>
          <cell r="BI1523">
            <v>230</v>
          </cell>
          <cell r="BJ1523">
            <v>0</v>
          </cell>
        </row>
        <row r="1524">
          <cell r="D1524" t="str">
            <v>Technická univerzita vo Zvolene</v>
          </cell>
          <cell r="E1524" t="str">
            <v>Lesnícka fakulta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BF1524">
            <v>0</v>
          </cell>
          <cell r="BG1524">
            <v>0</v>
          </cell>
          <cell r="BH1524">
            <v>0</v>
          </cell>
          <cell r="BI1524">
            <v>30</v>
          </cell>
          <cell r="BJ1524">
            <v>0</v>
          </cell>
        </row>
        <row r="1525">
          <cell r="D1525" t="str">
            <v>Technická univerzita vo Zvolene</v>
          </cell>
          <cell r="E1525" t="str">
            <v>Lesnícka fakulta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52</v>
          </cell>
          <cell r="BJ1525">
            <v>0</v>
          </cell>
        </row>
        <row r="1526">
          <cell r="D1526" t="str">
            <v>Technická univerzita vo Zvolene</v>
          </cell>
          <cell r="E1526" t="str">
            <v>Drevárska fakulta</v>
          </cell>
          <cell r="AN1526">
            <v>159</v>
          </cell>
          <cell r="AO1526">
            <v>190</v>
          </cell>
          <cell r="AP1526">
            <v>0</v>
          </cell>
          <cell r="AQ1526">
            <v>0</v>
          </cell>
          <cell r="AR1526">
            <v>159</v>
          </cell>
          <cell r="BF1526">
            <v>139.80000000000001</v>
          </cell>
          <cell r="BG1526">
            <v>206.90400000000002</v>
          </cell>
          <cell r="BH1526">
            <v>206.90400000000002</v>
          </cell>
          <cell r="BI1526">
            <v>190</v>
          </cell>
          <cell r="BJ1526">
            <v>0</v>
          </cell>
        </row>
        <row r="1527">
          <cell r="D1527" t="str">
            <v>Technická univerzita vo Zvolene</v>
          </cell>
          <cell r="E1527" t="str">
            <v>Drevárska fakulta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BF1527">
            <v>0</v>
          </cell>
          <cell r="BG1527">
            <v>0</v>
          </cell>
          <cell r="BH1527">
            <v>0</v>
          </cell>
          <cell r="BI1527">
            <v>35</v>
          </cell>
          <cell r="BJ1527">
            <v>0</v>
          </cell>
        </row>
        <row r="1528">
          <cell r="D1528" t="str">
            <v>Technická univerzita vo Zvolene</v>
          </cell>
          <cell r="E1528" t="str">
            <v>Drevárska fakulta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48</v>
          </cell>
          <cell r="BJ1528">
            <v>0</v>
          </cell>
        </row>
        <row r="1529">
          <cell r="D1529" t="str">
            <v>Technická univerzita vo Zvolene</v>
          </cell>
          <cell r="E1529" t="str">
            <v>Drevárska fakulta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47</v>
          </cell>
          <cell r="BJ1529">
            <v>0</v>
          </cell>
        </row>
        <row r="1530">
          <cell r="D1530" t="str">
            <v>Technická univerzita vo Zvolene</v>
          </cell>
          <cell r="E1530" t="str">
            <v>Drevárska fakulta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BF1530">
            <v>0</v>
          </cell>
          <cell r="BG1530">
            <v>0</v>
          </cell>
          <cell r="BH1530">
            <v>0</v>
          </cell>
          <cell r="BI1530">
            <v>16</v>
          </cell>
          <cell r="BJ1530">
            <v>0</v>
          </cell>
        </row>
        <row r="1531">
          <cell r="D1531" t="str">
            <v>Technická univerzita vo Zvolene</v>
          </cell>
          <cell r="E1531" t="str">
            <v>Fakulta techniky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5</v>
          </cell>
          <cell r="BJ1531">
            <v>0</v>
          </cell>
        </row>
        <row r="1532">
          <cell r="D1532" t="str">
            <v>Technická univerzita vo Zvolene</v>
          </cell>
          <cell r="E1532" t="str">
            <v>Drevárska fakulta</v>
          </cell>
          <cell r="AN1532">
            <v>94</v>
          </cell>
          <cell r="AO1532">
            <v>110</v>
          </cell>
          <cell r="AP1532">
            <v>0</v>
          </cell>
          <cell r="AQ1532">
            <v>0</v>
          </cell>
          <cell r="AR1532">
            <v>94</v>
          </cell>
          <cell r="BF1532">
            <v>80.5</v>
          </cell>
          <cell r="BG1532">
            <v>83.72</v>
          </cell>
          <cell r="BH1532">
            <v>83.72</v>
          </cell>
          <cell r="BI1532">
            <v>110</v>
          </cell>
          <cell r="BJ1532">
            <v>0</v>
          </cell>
        </row>
        <row r="1533">
          <cell r="D1533" t="str">
            <v>Technická univerzita vo Zvolene</v>
          </cell>
          <cell r="E1533" t="str">
            <v>Drevárska fakulta</v>
          </cell>
          <cell r="AN1533">
            <v>28</v>
          </cell>
          <cell r="AO1533">
            <v>35</v>
          </cell>
          <cell r="AP1533">
            <v>35</v>
          </cell>
          <cell r="AQ1533">
            <v>28</v>
          </cell>
          <cell r="AR1533">
            <v>28</v>
          </cell>
          <cell r="BF1533">
            <v>22.9</v>
          </cell>
          <cell r="BG1533">
            <v>33.891999999999996</v>
          </cell>
          <cell r="BH1533">
            <v>33.891999999999996</v>
          </cell>
          <cell r="BI1533">
            <v>35</v>
          </cell>
          <cell r="BJ1533">
            <v>0</v>
          </cell>
        </row>
        <row r="1534">
          <cell r="D1534" t="str">
            <v>Univerzita J. Selyeho</v>
          </cell>
          <cell r="E1534" t="str">
            <v>Pedagogická fakulta</v>
          </cell>
          <cell r="AN1534">
            <v>5</v>
          </cell>
          <cell r="AO1534">
            <v>6</v>
          </cell>
          <cell r="AP1534">
            <v>0</v>
          </cell>
          <cell r="AQ1534">
            <v>0</v>
          </cell>
          <cell r="AR1534">
            <v>5</v>
          </cell>
          <cell r="BF1534">
            <v>5</v>
          </cell>
          <cell r="BG1534">
            <v>5.2</v>
          </cell>
          <cell r="BH1534">
            <v>2.6</v>
          </cell>
          <cell r="BI1534">
            <v>6</v>
          </cell>
          <cell r="BJ1534">
            <v>0</v>
          </cell>
        </row>
        <row r="1535">
          <cell r="D1535" t="str">
            <v>Univerzita J. Selyeho</v>
          </cell>
          <cell r="E1535" t="str">
            <v>Fakulta ekonómie a informatiky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BF1535">
            <v>0</v>
          </cell>
          <cell r="BG1535">
            <v>0</v>
          </cell>
          <cell r="BH1535">
            <v>0</v>
          </cell>
          <cell r="BI1535">
            <v>7</v>
          </cell>
          <cell r="BJ1535">
            <v>0</v>
          </cell>
        </row>
        <row r="1536">
          <cell r="D1536" t="str">
            <v>Univerzita J. Selyeho</v>
          </cell>
          <cell r="E1536" t="str">
            <v>Pedagogická fakulta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1</v>
          </cell>
          <cell r="BJ1536">
            <v>0</v>
          </cell>
        </row>
        <row r="1537">
          <cell r="D1537" t="str">
            <v>Univerzita J. Selyeho</v>
          </cell>
          <cell r="E1537" t="str">
            <v>Pedagogická fakulta</v>
          </cell>
          <cell r="AN1537">
            <v>219</v>
          </cell>
          <cell r="AO1537">
            <v>226</v>
          </cell>
          <cell r="AP1537">
            <v>0</v>
          </cell>
          <cell r="AQ1537">
            <v>0</v>
          </cell>
          <cell r="AR1537">
            <v>219</v>
          </cell>
          <cell r="BF1537">
            <v>195</v>
          </cell>
          <cell r="BG1537">
            <v>232.04999999999998</v>
          </cell>
          <cell r="BH1537">
            <v>222.76799999999997</v>
          </cell>
          <cell r="BI1537">
            <v>226</v>
          </cell>
          <cell r="BJ1537">
            <v>0</v>
          </cell>
        </row>
        <row r="1538">
          <cell r="D1538" t="str">
            <v>Univerzita J. Selyeho</v>
          </cell>
          <cell r="E1538" t="str">
            <v>Reformovaná teologická fakulta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7</v>
          </cell>
          <cell r="BJ1538">
            <v>0</v>
          </cell>
        </row>
        <row r="1539">
          <cell r="D1539" t="str">
            <v>Univerzita J. Selyeho</v>
          </cell>
          <cell r="E1539" t="str">
            <v>Pedagogická fakulta</v>
          </cell>
          <cell r="AN1539">
            <v>15</v>
          </cell>
          <cell r="AO1539">
            <v>16</v>
          </cell>
          <cell r="AP1539">
            <v>0</v>
          </cell>
          <cell r="AQ1539">
            <v>0</v>
          </cell>
          <cell r="AR1539">
            <v>15</v>
          </cell>
          <cell r="BF1539">
            <v>22.5</v>
          </cell>
          <cell r="BG1539">
            <v>32.4</v>
          </cell>
          <cell r="BH1539">
            <v>30.375</v>
          </cell>
          <cell r="BI1539">
            <v>16</v>
          </cell>
          <cell r="BJ1539">
            <v>0</v>
          </cell>
        </row>
        <row r="1540">
          <cell r="D1540" t="str">
            <v>Univerzita J. Selyeho</v>
          </cell>
          <cell r="E1540" t="str">
            <v>Pedagogická fakulta</v>
          </cell>
          <cell r="AN1540">
            <v>25.5</v>
          </cell>
          <cell r="AO1540">
            <v>28</v>
          </cell>
          <cell r="AP1540">
            <v>0</v>
          </cell>
          <cell r="AQ1540">
            <v>0</v>
          </cell>
          <cell r="AR1540">
            <v>25.5</v>
          </cell>
          <cell r="BF1540">
            <v>38.25</v>
          </cell>
          <cell r="BG1540">
            <v>41.692500000000003</v>
          </cell>
          <cell r="BH1540">
            <v>35.278269230769233</v>
          </cell>
          <cell r="BI1540">
            <v>28</v>
          </cell>
          <cell r="BJ1540">
            <v>0</v>
          </cell>
        </row>
        <row r="1541">
          <cell r="D1541" t="str">
            <v>Univerzita J. Selyeho</v>
          </cell>
          <cell r="E1541" t="str">
            <v>Pedagogická fakulta</v>
          </cell>
          <cell r="AN1541">
            <v>56</v>
          </cell>
          <cell r="AO1541">
            <v>67</v>
          </cell>
          <cell r="AP1541">
            <v>0</v>
          </cell>
          <cell r="AQ1541">
            <v>0</v>
          </cell>
          <cell r="AR1541">
            <v>56</v>
          </cell>
          <cell r="BF1541">
            <v>48.2</v>
          </cell>
          <cell r="BG1541">
            <v>52.538000000000004</v>
          </cell>
          <cell r="BH1541">
            <v>52.538000000000004</v>
          </cell>
          <cell r="BI1541">
            <v>67</v>
          </cell>
          <cell r="BJ1541">
            <v>0</v>
          </cell>
        </row>
        <row r="1542">
          <cell r="D1542" t="str">
            <v>Univerzita J. Selyeho</v>
          </cell>
          <cell r="E1542" t="str">
            <v>Pedagogická fakulta</v>
          </cell>
          <cell r="AN1542">
            <v>9</v>
          </cell>
          <cell r="AO1542">
            <v>11.5</v>
          </cell>
          <cell r="AP1542">
            <v>0</v>
          </cell>
          <cell r="AQ1542">
            <v>0</v>
          </cell>
          <cell r="AR1542">
            <v>9</v>
          </cell>
          <cell r="BF1542">
            <v>7.9499999999999993</v>
          </cell>
          <cell r="BG1542">
            <v>8.6654999999999998</v>
          </cell>
          <cell r="BH1542">
            <v>8.6654999999999998</v>
          </cell>
          <cell r="BI1542">
            <v>11.5</v>
          </cell>
          <cell r="BJ1542">
            <v>0</v>
          </cell>
        </row>
        <row r="1543">
          <cell r="D1543" t="str">
            <v>Univerzita J. Selyeho</v>
          </cell>
          <cell r="E1543" t="str">
            <v>Pedagogická fakulta</v>
          </cell>
          <cell r="AN1543">
            <v>10</v>
          </cell>
          <cell r="AO1543">
            <v>11</v>
          </cell>
          <cell r="AP1543">
            <v>0</v>
          </cell>
          <cell r="AQ1543">
            <v>0</v>
          </cell>
          <cell r="AR1543">
            <v>10</v>
          </cell>
          <cell r="BF1543">
            <v>15</v>
          </cell>
          <cell r="BG1543">
            <v>17.849999999999998</v>
          </cell>
          <cell r="BH1543">
            <v>12.749999999999998</v>
          </cell>
          <cell r="BI1543">
            <v>11</v>
          </cell>
          <cell r="BJ1543">
            <v>0</v>
          </cell>
        </row>
        <row r="1544">
          <cell r="D1544" t="str">
            <v>Univerzita J. Selyeho</v>
          </cell>
          <cell r="E1544" t="str">
            <v>Pedagogická fakulta</v>
          </cell>
          <cell r="AN1544">
            <v>11.5</v>
          </cell>
          <cell r="AO1544">
            <v>13</v>
          </cell>
          <cell r="AP1544">
            <v>0</v>
          </cell>
          <cell r="AQ1544">
            <v>0</v>
          </cell>
          <cell r="AR1544">
            <v>11.5</v>
          </cell>
          <cell r="BF1544">
            <v>17.25</v>
          </cell>
          <cell r="BG1544">
            <v>20.5275</v>
          </cell>
          <cell r="BH1544">
            <v>16.422000000000001</v>
          </cell>
          <cell r="BI1544">
            <v>13</v>
          </cell>
          <cell r="BJ1544">
            <v>0</v>
          </cell>
        </row>
        <row r="1545">
          <cell r="D1545" t="str">
            <v>Univerzita J. Selyeho</v>
          </cell>
          <cell r="E1545" t="str">
            <v>Pedagogická fakulta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1</v>
          </cell>
          <cell r="BJ1545">
            <v>0</v>
          </cell>
        </row>
        <row r="1546">
          <cell r="D1546" t="str">
            <v>Univerzita J. Selyeho</v>
          </cell>
          <cell r="E1546" t="str">
            <v>Fakulta ekonómie a informatiky</v>
          </cell>
          <cell r="AN1546">
            <v>171</v>
          </cell>
          <cell r="AO1546">
            <v>195</v>
          </cell>
          <cell r="AP1546">
            <v>0</v>
          </cell>
          <cell r="AQ1546">
            <v>0</v>
          </cell>
          <cell r="AR1546">
            <v>171</v>
          </cell>
          <cell r="BF1546">
            <v>142.19999999999999</v>
          </cell>
          <cell r="BG1546">
            <v>210.45599999999999</v>
          </cell>
          <cell r="BH1546">
            <v>182.39519999999999</v>
          </cell>
          <cell r="BI1546">
            <v>195</v>
          </cell>
          <cell r="BJ1546">
            <v>0</v>
          </cell>
        </row>
        <row r="1547">
          <cell r="D1547" t="str">
            <v>Univerzita J. Selyeho</v>
          </cell>
          <cell r="E1547" t="str">
            <v>Reformovaná teologická fakulta</v>
          </cell>
          <cell r="AN1547">
            <v>25</v>
          </cell>
          <cell r="AO1547">
            <v>29</v>
          </cell>
          <cell r="AP1547">
            <v>0</v>
          </cell>
          <cell r="AQ1547">
            <v>0</v>
          </cell>
          <cell r="AR1547">
            <v>25</v>
          </cell>
          <cell r="BF1547">
            <v>26.5</v>
          </cell>
          <cell r="BG1547">
            <v>26.5</v>
          </cell>
          <cell r="BH1547">
            <v>26.5</v>
          </cell>
          <cell r="BI1547">
            <v>29</v>
          </cell>
          <cell r="BJ1547">
            <v>0</v>
          </cell>
        </row>
        <row r="1548">
          <cell r="D1548" t="str">
            <v>Univerzita J. Selyeho</v>
          </cell>
          <cell r="E1548" t="str">
            <v>Fakulta ekonómie a informatiky</v>
          </cell>
          <cell r="AN1548">
            <v>293</v>
          </cell>
          <cell r="AO1548">
            <v>323</v>
          </cell>
          <cell r="AP1548">
            <v>0</v>
          </cell>
          <cell r="AQ1548">
            <v>0</v>
          </cell>
          <cell r="AR1548">
            <v>293</v>
          </cell>
          <cell r="BF1548">
            <v>253.7</v>
          </cell>
          <cell r="BG1548">
            <v>263.84800000000001</v>
          </cell>
          <cell r="BH1548">
            <v>263.84800000000001</v>
          </cell>
          <cell r="BI1548">
            <v>323</v>
          </cell>
          <cell r="BJ1548">
            <v>0</v>
          </cell>
        </row>
        <row r="1549">
          <cell r="D1549" t="str">
            <v>Univerzita J. Selyeho</v>
          </cell>
          <cell r="E1549" t="str">
            <v>Pedagogická fakulta</v>
          </cell>
          <cell r="AN1549">
            <v>42.5</v>
          </cell>
          <cell r="AO1549">
            <v>57.5</v>
          </cell>
          <cell r="AP1549">
            <v>0</v>
          </cell>
          <cell r="AQ1549">
            <v>0</v>
          </cell>
          <cell r="AR1549">
            <v>42.5</v>
          </cell>
          <cell r="BF1549">
            <v>34.700000000000003</v>
          </cell>
          <cell r="BG1549">
            <v>37.823000000000008</v>
          </cell>
          <cell r="BH1549">
            <v>37.823000000000008</v>
          </cell>
          <cell r="BI1549">
            <v>57.5</v>
          </cell>
          <cell r="BJ1549">
            <v>0</v>
          </cell>
        </row>
        <row r="1550">
          <cell r="D1550" t="str">
            <v>Univerzita J. Selyeho</v>
          </cell>
          <cell r="E1550" t="str">
            <v>Pedagogická fakulta</v>
          </cell>
          <cell r="AN1550">
            <v>17</v>
          </cell>
          <cell r="AO1550">
            <v>22</v>
          </cell>
          <cell r="AP1550">
            <v>22</v>
          </cell>
          <cell r="AQ1550">
            <v>17</v>
          </cell>
          <cell r="AR1550">
            <v>17</v>
          </cell>
          <cell r="BF1550">
            <v>12.799999999999999</v>
          </cell>
          <cell r="BG1550">
            <v>15.231999999999998</v>
          </cell>
          <cell r="BH1550">
            <v>15.231999999999998</v>
          </cell>
          <cell r="BI1550">
            <v>22</v>
          </cell>
          <cell r="BJ1550">
            <v>0</v>
          </cell>
        </row>
        <row r="1551">
          <cell r="D1551" t="str">
            <v>Univerzita J. Selyeho</v>
          </cell>
          <cell r="E1551" t="str">
            <v>Pedagogická fakulta</v>
          </cell>
          <cell r="AN1551">
            <v>12</v>
          </cell>
          <cell r="AO1551">
            <v>15</v>
          </cell>
          <cell r="AP1551">
            <v>15</v>
          </cell>
          <cell r="AQ1551">
            <v>12</v>
          </cell>
          <cell r="AR1551">
            <v>12</v>
          </cell>
          <cell r="BF1551">
            <v>10.5</v>
          </cell>
          <cell r="BG1551">
            <v>12.494999999999999</v>
          </cell>
          <cell r="BH1551">
            <v>12.494999999999999</v>
          </cell>
          <cell r="BI1551">
            <v>15</v>
          </cell>
          <cell r="BJ1551">
            <v>0</v>
          </cell>
        </row>
        <row r="1552">
          <cell r="D1552" t="str">
            <v>Univerzita J. Selyeho</v>
          </cell>
          <cell r="E1552" t="str">
            <v>Pedagogická fakulta</v>
          </cell>
          <cell r="AN1552">
            <v>39.5</v>
          </cell>
          <cell r="AO1552">
            <v>48</v>
          </cell>
          <cell r="AP1552">
            <v>0</v>
          </cell>
          <cell r="AQ1552">
            <v>0</v>
          </cell>
          <cell r="AR1552">
            <v>39.5</v>
          </cell>
          <cell r="BF1552">
            <v>34.25</v>
          </cell>
          <cell r="BG1552">
            <v>37.332500000000003</v>
          </cell>
          <cell r="BH1552">
            <v>37.332500000000003</v>
          </cell>
          <cell r="BI1552">
            <v>48</v>
          </cell>
          <cell r="BJ1552">
            <v>0</v>
          </cell>
        </row>
        <row r="1553">
          <cell r="D1553" t="str">
            <v>Univerzita J. Selyeho</v>
          </cell>
          <cell r="E1553" t="str">
            <v>Pedagogická fakulta</v>
          </cell>
          <cell r="AN1553">
            <v>4.5</v>
          </cell>
          <cell r="AO1553">
            <v>5</v>
          </cell>
          <cell r="AP1553">
            <v>5</v>
          </cell>
          <cell r="AQ1553">
            <v>4.5</v>
          </cell>
          <cell r="AR1553">
            <v>4.5</v>
          </cell>
          <cell r="BF1553">
            <v>3.5999999999999996</v>
          </cell>
          <cell r="BG1553">
            <v>5.1839999999999993</v>
          </cell>
          <cell r="BH1553">
            <v>5.1839999999999993</v>
          </cell>
          <cell r="BI1553">
            <v>5</v>
          </cell>
          <cell r="BJ1553">
            <v>0</v>
          </cell>
        </row>
        <row r="1554">
          <cell r="D1554" t="str">
            <v>Univerzita J. Selyeho</v>
          </cell>
          <cell r="E1554" t="str">
            <v>Fakulta ekonómie a informatiky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2</v>
          </cell>
          <cell r="BJ1554">
            <v>0</v>
          </cell>
        </row>
        <row r="1555">
          <cell r="D1555" t="str">
            <v>Univerzita Pavla Jozefa Šafárika v Košiciach</v>
          </cell>
          <cell r="E1555" t="str">
            <v>Fakulta verejnej správy</v>
          </cell>
          <cell r="AN1555">
            <v>2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3</v>
          </cell>
          <cell r="BJ1555">
            <v>0</v>
          </cell>
        </row>
        <row r="1556">
          <cell r="D1556" t="str">
            <v>Vysoká škola manažmentu</v>
          </cell>
          <cell r="E1556">
            <v>0</v>
          </cell>
          <cell r="AN1556">
            <v>4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BF1556">
            <v>0</v>
          </cell>
          <cell r="BG1556">
            <v>0</v>
          </cell>
          <cell r="BH1556">
            <v>0</v>
          </cell>
          <cell r="BI1556">
            <v>4</v>
          </cell>
          <cell r="BJ1556">
            <v>0</v>
          </cell>
        </row>
        <row r="1557">
          <cell r="D1557" t="str">
            <v>Univerzita Pavla Jozefa Šafárika v Košiciach</v>
          </cell>
          <cell r="E1557" t="str">
            <v>Filozofická fakulta</v>
          </cell>
          <cell r="AN1557">
            <v>1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1</v>
          </cell>
          <cell r="BJ1557">
            <v>0</v>
          </cell>
        </row>
        <row r="1558">
          <cell r="D1558" t="str">
            <v>Univerzita Konštantína Filozofa v Nitre</v>
          </cell>
          <cell r="E1558" t="str">
            <v>Filozofická fakulta</v>
          </cell>
          <cell r="AN1558">
            <v>7</v>
          </cell>
          <cell r="AO1558">
            <v>0</v>
          </cell>
          <cell r="AP1558">
            <v>0</v>
          </cell>
          <cell r="AQ1558">
            <v>0</v>
          </cell>
          <cell r="AR1558">
            <v>7</v>
          </cell>
          <cell r="BF1558">
            <v>28</v>
          </cell>
          <cell r="BG1558">
            <v>30.800000000000004</v>
          </cell>
          <cell r="BH1558">
            <v>30.800000000000004</v>
          </cell>
          <cell r="BI1558">
            <v>8</v>
          </cell>
          <cell r="BJ1558">
            <v>7</v>
          </cell>
        </row>
        <row r="1559">
          <cell r="D1559" t="str">
            <v>Univerzita Pavla Jozefa Šafárika v Košiciach</v>
          </cell>
          <cell r="E1559" t="str">
            <v>Filozofická fakulta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5</v>
          </cell>
          <cell r="BJ1559">
            <v>0</v>
          </cell>
        </row>
        <row r="1560">
          <cell r="D1560" t="str">
            <v>Vysoká škola Danubius</v>
          </cell>
          <cell r="E1560" t="str">
            <v>Fakulta verejnej politiky a verejnej správy</v>
          </cell>
          <cell r="AN1560">
            <v>1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1</v>
          </cell>
          <cell r="BJ1560">
            <v>0</v>
          </cell>
        </row>
        <row r="1561">
          <cell r="D1561" t="str">
            <v>Vysoká škola Danubius</v>
          </cell>
          <cell r="E1561" t="str">
            <v>Fakulta práva Janka Jesenského</v>
          </cell>
          <cell r="AN1561">
            <v>2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2</v>
          </cell>
          <cell r="BJ1561">
            <v>0</v>
          </cell>
        </row>
        <row r="1562">
          <cell r="D1562" t="str">
            <v>Vysoká škola Danubius</v>
          </cell>
          <cell r="E1562" t="str">
            <v>Fakulta verejnej politiky a verejnej správy</v>
          </cell>
          <cell r="AN1562">
            <v>1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1</v>
          </cell>
          <cell r="BJ1562">
            <v>0</v>
          </cell>
        </row>
        <row r="1563">
          <cell r="D1563" t="str">
            <v>Vysoká škola Danubius</v>
          </cell>
          <cell r="E1563" t="str">
            <v>Fakulta práva Janka Jesenského</v>
          </cell>
          <cell r="AN1563">
            <v>101</v>
          </cell>
          <cell r="AO1563">
            <v>101</v>
          </cell>
          <cell r="AP1563">
            <v>0</v>
          </cell>
          <cell r="AQ1563">
            <v>0</v>
          </cell>
          <cell r="AR1563">
            <v>101</v>
          </cell>
          <cell r="BF1563">
            <v>151.5</v>
          </cell>
          <cell r="BG1563">
            <v>151.5</v>
          </cell>
          <cell r="BH1563">
            <v>144.45348837209303</v>
          </cell>
          <cell r="BI1563">
            <v>101</v>
          </cell>
          <cell r="BJ1563">
            <v>0</v>
          </cell>
        </row>
        <row r="1564">
          <cell r="D1564" t="str">
            <v>Vysoká škola Danubius</v>
          </cell>
          <cell r="E1564" t="str">
            <v>Fakulta práva Janka Jesenského</v>
          </cell>
          <cell r="AN1564">
            <v>156</v>
          </cell>
          <cell r="AO1564">
            <v>156</v>
          </cell>
          <cell r="AP1564">
            <v>0</v>
          </cell>
          <cell r="AQ1564">
            <v>0</v>
          </cell>
          <cell r="AR1564">
            <v>156</v>
          </cell>
          <cell r="BF1564">
            <v>136.80000000000001</v>
          </cell>
          <cell r="BG1564">
            <v>136.80000000000001</v>
          </cell>
          <cell r="BH1564">
            <v>136.80000000000001</v>
          </cell>
          <cell r="BI1564">
            <v>156</v>
          </cell>
          <cell r="BJ1564">
            <v>0</v>
          </cell>
        </row>
        <row r="1565">
          <cell r="D1565" t="str">
            <v>Univerzita veterinárskeho lekárstva a farmácie v Košiciach</v>
          </cell>
          <cell r="E1565">
            <v>0</v>
          </cell>
          <cell r="AN1565">
            <v>82</v>
          </cell>
          <cell r="AO1565">
            <v>82</v>
          </cell>
          <cell r="AP1565">
            <v>0</v>
          </cell>
          <cell r="AQ1565">
            <v>0</v>
          </cell>
          <cell r="AR1565">
            <v>82</v>
          </cell>
          <cell r="BF1565">
            <v>72.400000000000006</v>
          </cell>
          <cell r="BG1565">
            <v>319.28400000000005</v>
          </cell>
          <cell r="BH1565">
            <v>238.01170909090916</v>
          </cell>
          <cell r="BI1565">
            <v>82</v>
          </cell>
          <cell r="BJ1565">
            <v>0</v>
          </cell>
        </row>
        <row r="1566">
          <cell r="D1566" t="str">
            <v>Slovenská zdravotnícka univerzita v Bratislave</v>
          </cell>
          <cell r="E1566" t="str">
            <v>Fakulta ošetrovateľstva a zdravotníckych odborných štúdií</v>
          </cell>
          <cell r="AN1566">
            <v>88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301</v>
          </cell>
          <cell r="BJ1566">
            <v>0</v>
          </cell>
        </row>
        <row r="1567">
          <cell r="D1567" t="str">
            <v>Slovenská zdravotnícka univerzita v Bratislave</v>
          </cell>
          <cell r="E1567" t="str">
            <v>Fakulta ošetrovateľstva a zdravotníckych odborných štúdií</v>
          </cell>
          <cell r="AN1567">
            <v>25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25</v>
          </cell>
          <cell r="BJ1567">
            <v>0</v>
          </cell>
        </row>
        <row r="1568">
          <cell r="D1568" t="str">
            <v>Slovenská zdravotnícka univerzita v Bratislave</v>
          </cell>
          <cell r="E1568" t="str">
            <v>Fakulta ošetrovateľstva a zdravotníckych odborných štúdií</v>
          </cell>
          <cell r="AN1568">
            <v>44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124</v>
          </cell>
          <cell r="BJ1568">
            <v>0</v>
          </cell>
        </row>
        <row r="1569">
          <cell r="D1569" t="str">
            <v>Slovenská zdravotnícka univerzita v Bratislave</v>
          </cell>
          <cell r="E1569" t="str">
            <v>Fakulta verejného zdravotníctva</v>
          </cell>
          <cell r="AN1569">
            <v>3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37</v>
          </cell>
          <cell r="BJ1569">
            <v>0</v>
          </cell>
        </row>
        <row r="1570">
          <cell r="D1570" t="str">
            <v>Paneurópska vysoká škola</v>
          </cell>
          <cell r="E1570" t="str">
            <v>Fakulta psychológie</v>
          </cell>
          <cell r="AN1570">
            <v>0</v>
          </cell>
          <cell r="AO1570">
            <v>65</v>
          </cell>
          <cell r="AP1570">
            <v>0</v>
          </cell>
          <cell r="AQ1570">
            <v>0</v>
          </cell>
          <cell r="AR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65</v>
          </cell>
          <cell r="BJ1570">
            <v>0</v>
          </cell>
        </row>
        <row r="1571">
          <cell r="D1571" t="str">
            <v>Univerzita Komenského v Bratislave</v>
          </cell>
          <cell r="E1571" t="str">
            <v>Fakulta managementu</v>
          </cell>
          <cell r="AN1571">
            <v>2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415</v>
          </cell>
          <cell r="BJ1571">
            <v>0</v>
          </cell>
        </row>
        <row r="1572">
          <cell r="D1572" t="str">
            <v>Univerzita Komenského v Bratislave</v>
          </cell>
          <cell r="E1572" t="str">
            <v>Fakulta managementu</v>
          </cell>
          <cell r="AN1572">
            <v>92</v>
          </cell>
          <cell r="AO1572">
            <v>96</v>
          </cell>
          <cell r="AP1572">
            <v>0</v>
          </cell>
          <cell r="AQ1572">
            <v>0</v>
          </cell>
          <cell r="AR1572">
            <v>92</v>
          </cell>
          <cell r="BF1572">
            <v>77.3</v>
          </cell>
          <cell r="BG1572">
            <v>80.391999999999996</v>
          </cell>
          <cell r="BH1572">
            <v>80.391999999999996</v>
          </cell>
          <cell r="BI1572">
            <v>96</v>
          </cell>
          <cell r="BJ1572">
            <v>0</v>
          </cell>
        </row>
        <row r="1573">
          <cell r="D1573" t="str">
            <v>Bratislavská medzinárodná škola liberálnych štúdií</v>
          </cell>
          <cell r="E1573">
            <v>0</v>
          </cell>
          <cell r="AN1573">
            <v>49</v>
          </cell>
          <cell r="AO1573">
            <v>49</v>
          </cell>
          <cell r="AP1573">
            <v>0</v>
          </cell>
          <cell r="AQ1573">
            <v>0</v>
          </cell>
          <cell r="AR1573">
            <v>49</v>
          </cell>
          <cell r="BF1573">
            <v>41.8</v>
          </cell>
          <cell r="BG1573">
            <v>41.8</v>
          </cell>
          <cell r="BH1573">
            <v>31.349999999999998</v>
          </cell>
          <cell r="BI1573">
            <v>49</v>
          </cell>
          <cell r="BJ1573">
            <v>0</v>
          </cell>
        </row>
        <row r="1574">
          <cell r="D1574" t="str">
            <v>Slovenská zdravotnícka univerzita v Bratislave</v>
          </cell>
          <cell r="E1574" t="str">
            <v>Fakulta zdravotníctva so sídlom v Banskej Bystrici</v>
          </cell>
          <cell r="AN1574">
            <v>6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30</v>
          </cell>
          <cell r="BJ1574">
            <v>0</v>
          </cell>
        </row>
        <row r="1575">
          <cell r="D1575" t="str">
            <v>Univerzita Komenského v Bratislave</v>
          </cell>
          <cell r="E1575" t="str">
            <v>Filozofická fakulta</v>
          </cell>
          <cell r="AN1575">
            <v>3</v>
          </cell>
          <cell r="AO1575">
            <v>0</v>
          </cell>
          <cell r="AP1575">
            <v>0</v>
          </cell>
          <cell r="AQ1575">
            <v>0</v>
          </cell>
          <cell r="AR1575">
            <v>3</v>
          </cell>
          <cell r="BF1575">
            <v>9</v>
          </cell>
          <cell r="BG1575">
            <v>9.9</v>
          </cell>
          <cell r="BH1575">
            <v>9.9</v>
          </cell>
          <cell r="BI1575">
            <v>3</v>
          </cell>
          <cell r="BJ1575">
            <v>3</v>
          </cell>
        </row>
        <row r="1576">
          <cell r="D1576" t="str">
            <v>Katolícka univerzita v Ružomberku</v>
          </cell>
          <cell r="E1576" t="str">
            <v>Filozofická fakulta</v>
          </cell>
          <cell r="AN1576">
            <v>33</v>
          </cell>
          <cell r="AO1576">
            <v>41</v>
          </cell>
          <cell r="AP1576">
            <v>0</v>
          </cell>
          <cell r="AQ1576">
            <v>0</v>
          </cell>
          <cell r="AR1576">
            <v>33</v>
          </cell>
          <cell r="BF1576">
            <v>28.799999999999997</v>
          </cell>
          <cell r="BG1576">
            <v>34.271999999999998</v>
          </cell>
          <cell r="BH1576">
            <v>34.271999999999998</v>
          </cell>
          <cell r="BI1576">
            <v>41</v>
          </cell>
          <cell r="BJ1576">
            <v>0</v>
          </cell>
        </row>
        <row r="1577">
          <cell r="D1577" t="str">
            <v>Žilinská univerzita v Žiline</v>
          </cell>
          <cell r="E1577" t="str">
            <v>Strojnícka fakulta</v>
          </cell>
          <cell r="AN1577">
            <v>1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7</v>
          </cell>
          <cell r="BJ1577">
            <v>0</v>
          </cell>
        </row>
        <row r="1578">
          <cell r="D1578" t="str">
            <v>Žilinská univerzita v Žiline</v>
          </cell>
          <cell r="E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14</v>
          </cell>
          <cell r="BJ1578">
            <v>0</v>
          </cell>
        </row>
        <row r="1579">
          <cell r="D1579" t="str">
            <v>Žilinská univerzita v Žiline</v>
          </cell>
          <cell r="E1579" t="str">
            <v>Fakulta elektrotechniky a informačných technológií</v>
          </cell>
          <cell r="AN1579">
            <v>5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5</v>
          </cell>
          <cell r="BJ1579">
            <v>0</v>
          </cell>
        </row>
        <row r="1580">
          <cell r="D1580" t="str">
            <v>Žilinská univerzita v Žiline</v>
          </cell>
          <cell r="E1580" t="str">
            <v>Fakulta bezpečnostného inžinierstva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4</v>
          </cell>
          <cell r="BJ1580">
            <v>0</v>
          </cell>
        </row>
        <row r="1581">
          <cell r="D1581" t="str">
            <v>Žilinská univerzita v Žiline</v>
          </cell>
          <cell r="E1581" t="str">
            <v>Fakulta elektrotechniky a informačných technológií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13</v>
          </cell>
          <cell r="BJ1581">
            <v>0</v>
          </cell>
        </row>
        <row r="1582">
          <cell r="D1582" t="str">
            <v>Žilinská univerzita v Žiline</v>
          </cell>
          <cell r="E1582" t="str">
            <v>Strojnícka fakulta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5</v>
          </cell>
          <cell r="BJ1582">
            <v>0</v>
          </cell>
        </row>
        <row r="1583">
          <cell r="D1583" t="str">
            <v>Žilinská univerzita v Žiline</v>
          </cell>
          <cell r="E1583" t="str">
            <v>Strojnícka fakulta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76</v>
          </cell>
          <cell r="BJ1583">
            <v>0</v>
          </cell>
        </row>
        <row r="1584">
          <cell r="D1584" t="str">
            <v>Žilinská univerzita v Žiline</v>
          </cell>
          <cell r="E1584" t="str">
            <v>Stavebná fakulta</v>
          </cell>
          <cell r="AN1584">
            <v>1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21</v>
          </cell>
          <cell r="BJ1584">
            <v>0</v>
          </cell>
        </row>
        <row r="1585">
          <cell r="D1585" t="str">
            <v>Žilinská univerzita v Žiline</v>
          </cell>
          <cell r="E1585" t="str">
            <v>Strojnícka fakulta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41</v>
          </cell>
          <cell r="BJ1585">
            <v>0</v>
          </cell>
        </row>
        <row r="1586">
          <cell r="D1586" t="str">
            <v>Žilinská univerzita v Žiline</v>
          </cell>
          <cell r="E1586" t="str">
            <v>Fakulta humanitných vied</v>
          </cell>
          <cell r="AN1586">
            <v>2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3</v>
          </cell>
          <cell r="BJ1586">
            <v>0</v>
          </cell>
        </row>
        <row r="1587">
          <cell r="D1587" t="str">
            <v>Žilinská univerzita v Žiline</v>
          </cell>
          <cell r="E1587" t="str">
            <v>Fakulta bezpečnostného inžinierstva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15</v>
          </cell>
          <cell r="BJ1587">
            <v>0</v>
          </cell>
        </row>
        <row r="1588">
          <cell r="D1588" t="str">
            <v>Žilinská univerzita v Žiline</v>
          </cell>
          <cell r="E1588" t="str">
            <v>Strojnícka fakulta</v>
          </cell>
          <cell r="AN1588">
            <v>1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1</v>
          </cell>
          <cell r="BJ1588">
            <v>0</v>
          </cell>
        </row>
        <row r="1589">
          <cell r="D1589" t="str">
            <v>Žilinská univerzita v Žiline</v>
          </cell>
          <cell r="E1589" t="str">
            <v>Stavebná fakulta</v>
          </cell>
          <cell r="AN1589">
            <v>2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18</v>
          </cell>
          <cell r="BJ1589">
            <v>0</v>
          </cell>
        </row>
        <row r="1590">
          <cell r="D1590" t="str">
            <v>Žilinská univerzita v Žiline</v>
          </cell>
          <cell r="E1590" t="str">
            <v>Fakulta prevádzky a ekonomiky dopravy a spojov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6</v>
          </cell>
          <cell r="BJ1590">
            <v>0</v>
          </cell>
        </row>
        <row r="1591">
          <cell r="D1591" t="str">
            <v>Žilinská univerzita v Žiline</v>
          </cell>
          <cell r="E1591" t="str">
            <v>Fakulta bezpečnostného inžinierstva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15</v>
          </cell>
          <cell r="BJ1591">
            <v>0</v>
          </cell>
        </row>
        <row r="1592">
          <cell r="D1592" t="str">
            <v>Žilinská univerzita v Žiline</v>
          </cell>
          <cell r="E1592" t="str">
            <v>Fakulta prevádzky a ekonomiky dopravy a spojov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23</v>
          </cell>
          <cell r="BJ1592">
            <v>0</v>
          </cell>
        </row>
        <row r="1593">
          <cell r="D1593" t="str">
            <v>Žilinská univerzita v Žiline</v>
          </cell>
          <cell r="E1593" t="str">
            <v>Strojnícka fakulta</v>
          </cell>
          <cell r="AN1593">
            <v>4</v>
          </cell>
          <cell r="AO1593">
            <v>0</v>
          </cell>
          <cell r="AP1593">
            <v>0</v>
          </cell>
          <cell r="AQ1593">
            <v>4</v>
          </cell>
          <cell r="AR1593">
            <v>4</v>
          </cell>
          <cell r="BF1593">
            <v>16</v>
          </cell>
          <cell r="BG1593">
            <v>34.08</v>
          </cell>
          <cell r="BH1593">
            <v>34.08</v>
          </cell>
          <cell r="BI1593">
            <v>4</v>
          </cell>
          <cell r="BJ1593">
            <v>4</v>
          </cell>
        </row>
        <row r="1594">
          <cell r="D1594" t="str">
            <v>Žilinská univerzita v Žiline</v>
          </cell>
          <cell r="E1594" t="str">
            <v>Fakulta riadenia a informatiky</v>
          </cell>
          <cell r="AN1594">
            <v>1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2</v>
          </cell>
          <cell r="BJ1594">
            <v>0</v>
          </cell>
        </row>
        <row r="1595">
          <cell r="D1595" t="str">
            <v>Žilinská univerzita v Žiline</v>
          </cell>
          <cell r="E1595" t="str">
            <v>Fakulta elektrotechniky a informačných technológií</v>
          </cell>
          <cell r="AN1595">
            <v>0</v>
          </cell>
          <cell r="AO1595">
            <v>0</v>
          </cell>
          <cell r="AP1595">
            <v>0</v>
          </cell>
          <cell r="AQ1595">
            <v>0</v>
          </cell>
          <cell r="AR1595">
            <v>0</v>
          </cell>
          <cell r="BF1595">
            <v>0</v>
          </cell>
          <cell r="BG1595">
            <v>0</v>
          </cell>
          <cell r="BH1595">
            <v>0</v>
          </cell>
          <cell r="BI1595">
            <v>1</v>
          </cell>
          <cell r="BJ1595">
            <v>0</v>
          </cell>
        </row>
        <row r="1596">
          <cell r="D1596" t="str">
            <v>Žilinská univerzita v Žiline</v>
          </cell>
          <cell r="E1596" t="str">
            <v>Fakulta humanitných vied</v>
          </cell>
          <cell r="AN1596">
            <v>9</v>
          </cell>
          <cell r="AO1596">
            <v>0</v>
          </cell>
          <cell r="AP1596">
            <v>0</v>
          </cell>
          <cell r="AQ1596">
            <v>0</v>
          </cell>
          <cell r="AR1596">
            <v>9</v>
          </cell>
          <cell r="BF1596">
            <v>36</v>
          </cell>
          <cell r="BG1596">
            <v>39.6</v>
          </cell>
          <cell r="BH1596">
            <v>39.6</v>
          </cell>
          <cell r="BI1596">
            <v>9</v>
          </cell>
          <cell r="BJ1596">
            <v>9</v>
          </cell>
        </row>
        <row r="1597">
          <cell r="D1597" t="str">
            <v>Žilinská univerzita v Žiline</v>
          </cell>
          <cell r="E1597" t="str">
            <v>Fakulta prevádzky a ekonomiky dopravy a spojov</v>
          </cell>
          <cell r="AN1597">
            <v>76</v>
          </cell>
          <cell r="AO1597">
            <v>79</v>
          </cell>
          <cell r="AP1597">
            <v>0</v>
          </cell>
          <cell r="AQ1597">
            <v>0</v>
          </cell>
          <cell r="AR1597">
            <v>76</v>
          </cell>
          <cell r="BF1597">
            <v>114</v>
          </cell>
          <cell r="BG1597">
            <v>118.56</v>
          </cell>
          <cell r="BH1597">
            <v>97.940869565217398</v>
          </cell>
          <cell r="BI1597">
            <v>79</v>
          </cell>
          <cell r="BJ1597">
            <v>0</v>
          </cell>
        </row>
        <row r="1598">
          <cell r="D1598" t="str">
            <v>Žilinská univerzita v Žiline</v>
          </cell>
          <cell r="E1598" t="str">
            <v>Stavebná fakulta</v>
          </cell>
          <cell r="AN1598">
            <v>10</v>
          </cell>
          <cell r="AO1598">
            <v>0</v>
          </cell>
          <cell r="AP1598">
            <v>0</v>
          </cell>
          <cell r="AQ1598">
            <v>10</v>
          </cell>
          <cell r="AR1598">
            <v>10</v>
          </cell>
          <cell r="BF1598">
            <v>40</v>
          </cell>
          <cell r="BG1598">
            <v>85.199999999999989</v>
          </cell>
          <cell r="BH1598">
            <v>85.199999999999989</v>
          </cell>
          <cell r="BI1598">
            <v>10</v>
          </cell>
          <cell r="BJ1598">
            <v>10</v>
          </cell>
        </row>
        <row r="1599">
          <cell r="D1599" t="str">
            <v>Žilinská univerzita v Žiline</v>
          </cell>
          <cell r="E1599" t="str">
            <v>Fakulta riadenia a informatiky</v>
          </cell>
          <cell r="AN1599">
            <v>109</v>
          </cell>
          <cell r="AO1599">
            <v>116</v>
          </cell>
          <cell r="AP1599">
            <v>0</v>
          </cell>
          <cell r="AQ1599">
            <v>0</v>
          </cell>
          <cell r="AR1599">
            <v>109</v>
          </cell>
          <cell r="BF1599">
            <v>163.5</v>
          </cell>
          <cell r="BG1599">
            <v>170.04</v>
          </cell>
          <cell r="BH1599">
            <v>148.09935483870967</v>
          </cell>
          <cell r="BI1599">
            <v>116</v>
          </cell>
          <cell r="BJ1599">
            <v>0</v>
          </cell>
        </row>
        <row r="1600">
          <cell r="D1600" t="str">
            <v>Žilinská univerzita v Žiline</v>
          </cell>
          <cell r="E1600" t="str">
            <v>Fakulta elektrotechniky a informačných technológií</v>
          </cell>
          <cell r="AN1600">
            <v>40</v>
          </cell>
          <cell r="AO1600">
            <v>43</v>
          </cell>
          <cell r="AP1600">
            <v>43</v>
          </cell>
          <cell r="AQ1600">
            <v>40</v>
          </cell>
          <cell r="AR1600">
            <v>40</v>
          </cell>
          <cell r="BF1600">
            <v>60</v>
          </cell>
          <cell r="BG1600">
            <v>88.8</v>
          </cell>
          <cell r="BH1600">
            <v>88.8</v>
          </cell>
          <cell r="BI1600">
            <v>43</v>
          </cell>
          <cell r="BJ1600">
            <v>0</v>
          </cell>
        </row>
        <row r="1601">
          <cell r="D1601" t="str">
            <v>Žilinská univerzita v Žiline</v>
          </cell>
          <cell r="E1601" t="str">
            <v>Fakulta riadenia a informatiky</v>
          </cell>
          <cell r="AN1601">
            <v>149</v>
          </cell>
          <cell r="AO1601">
            <v>181</v>
          </cell>
          <cell r="AP1601">
            <v>181</v>
          </cell>
          <cell r="AQ1601">
            <v>149</v>
          </cell>
          <cell r="AR1601">
            <v>149</v>
          </cell>
          <cell r="BF1601">
            <v>223.5</v>
          </cell>
          <cell r="BG1601">
            <v>330.78</v>
          </cell>
          <cell r="BH1601">
            <v>316.39826086956521</v>
          </cell>
          <cell r="BI1601">
            <v>181</v>
          </cell>
          <cell r="BJ1601">
            <v>0</v>
          </cell>
        </row>
        <row r="1602">
          <cell r="D1602" t="str">
            <v>Žilinská univerzita v Žiline</v>
          </cell>
          <cell r="E1602" t="str">
            <v>Fakulta humanitných vied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17</v>
          </cell>
          <cell r="BJ1602">
            <v>0</v>
          </cell>
        </row>
        <row r="1603">
          <cell r="D1603" t="str">
            <v>Žilinská univerzita v Žiline</v>
          </cell>
          <cell r="E1603" t="str">
            <v>Fakulta humanitných vied</v>
          </cell>
          <cell r="AN1603">
            <v>100</v>
          </cell>
          <cell r="AO1603">
            <v>106</v>
          </cell>
          <cell r="AP1603">
            <v>0</v>
          </cell>
          <cell r="AQ1603">
            <v>0</v>
          </cell>
          <cell r="AR1603">
            <v>100</v>
          </cell>
          <cell r="BF1603">
            <v>150</v>
          </cell>
          <cell r="BG1603">
            <v>178.5</v>
          </cell>
          <cell r="BH1603">
            <v>168.29999999999998</v>
          </cell>
          <cell r="BI1603">
            <v>106</v>
          </cell>
          <cell r="BJ1603">
            <v>0</v>
          </cell>
        </row>
        <row r="1604">
          <cell r="D1604" t="str">
            <v>Žilinská univerzita v Žiline</v>
          </cell>
          <cell r="E1604" t="str">
            <v>Fakulta prevádzky a ekonomiky dopravy a spojov</v>
          </cell>
          <cell r="AN1604">
            <v>31</v>
          </cell>
          <cell r="AO1604">
            <v>33</v>
          </cell>
          <cell r="AP1604">
            <v>0</v>
          </cell>
          <cell r="AQ1604">
            <v>0</v>
          </cell>
          <cell r="AR1604">
            <v>31</v>
          </cell>
          <cell r="BF1604">
            <v>46.5</v>
          </cell>
          <cell r="BG1604">
            <v>68.819999999999993</v>
          </cell>
          <cell r="BH1604">
            <v>63.526153846153846</v>
          </cell>
          <cell r="BI1604">
            <v>33</v>
          </cell>
          <cell r="BJ1604">
            <v>0</v>
          </cell>
        </row>
        <row r="1605">
          <cell r="D1605" t="str">
            <v>Žilinská univerzita v Žiline</v>
          </cell>
          <cell r="E1605" t="str">
            <v>Stavebná fakulta</v>
          </cell>
          <cell r="AN1605">
            <v>1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BF1605">
            <v>0</v>
          </cell>
          <cell r="BG1605">
            <v>0</v>
          </cell>
          <cell r="BH1605">
            <v>0</v>
          </cell>
          <cell r="BI1605">
            <v>51</v>
          </cell>
          <cell r="BJ1605">
            <v>0</v>
          </cell>
        </row>
        <row r="1606">
          <cell r="D1606" t="str">
            <v>Žilinská univerzita v Žiline</v>
          </cell>
          <cell r="E1606" t="str">
            <v>Fakulta prevádzky a ekonomiky dopravy a spojov</v>
          </cell>
          <cell r="AN1606">
            <v>136</v>
          </cell>
          <cell r="AO1606">
            <v>156</v>
          </cell>
          <cell r="AP1606">
            <v>0</v>
          </cell>
          <cell r="AQ1606">
            <v>136</v>
          </cell>
          <cell r="AR1606">
            <v>136</v>
          </cell>
          <cell r="BF1606">
            <v>115.9</v>
          </cell>
          <cell r="BG1606">
            <v>171.53200000000001</v>
          </cell>
          <cell r="BH1606">
            <v>167.44790476190477</v>
          </cell>
          <cell r="BI1606">
            <v>156</v>
          </cell>
          <cell r="BJ1606">
            <v>0</v>
          </cell>
        </row>
        <row r="1607">
          <cell r="D1607" t="str">
            <v>Žilinská univerzita v Žiline</v>
          </cell>
          <cell r="E1607" t="str">
            <v>Fakulta prevádzky a ekonomiky dopravy a spojov</v>
          </cell>
          <cell r="AN1607">
            <v>146</v>
          </cell>
          <cell r="AO1607">
            <v>153</v>
          </cell>
          <cell r="AP1607">
            <v>0</v>
          </cell>
          <cell r="AQ1607">
            <v>0</v>
          </cell>
          <cell r="AR1607">
            <v>146</v>
          </cell>
          <cell r="BF1607">
            <v>122.6</v>
          </cell>
          <cell r="BG1607">
            <v>127.504</v>
          </cell>
          <cell r="BH1607">
            <v>127.504</v>
          </cell>
          <cell r="BI1607">
            <v>153</v>
          </cell>
          <cell r="BJ1607">
            <v>0</v>
          </cell>
        </row>
        <row r="1608">
          <cell r="D1608" t="str">
            <v>Žilinská univerzita v Žiline</v>
          </cell>
          <cell r="E1608" t="str">
            <v>Fakulta elektrotechniky a informačných technológií</v>
          </cell>
          <cell r="AN1608">
            <v>59</v>
          </cell>
          <cell r="AO1608">
            <v>73</v>
          </cell>
          <cell r="AP1608">
            <v>73</v>
          </cell>
          <cell r="AQ1608">
            <v>59</v>
          </cell>
          <cell r="AR1608">
            <v>59</v>
          </cell>
          <cell r="BF1608">
            <v>46.7</v>
          </cell>
          <cell r="BG1608">
            <v>69.116</v>
          </cell>
          <cell r="BH1608">
            <v>69.116</v>
          </cell>
          <cell r="BI1608">
            <v>73</v>
          </cell>
          <cell r="BJ1608">
            <v>0</v>
          </cell>
        </row>
        <row r="1609">
          <cell r="D1609" t="str">
            <v>Žilinská univerzita v Žiline</v>
          </cell>
          <cell r="E1609" t="str">
            <v>Fakulta prevádzky a ekonomiky dopravy a spojov</v>
          </cell>
          <cell r="AN1609">
            <v>74</v>
          </cell>
          <cell r="AO1609">
            <v>78</v>
          </cell>
          <cell r="AP1609">
            <v>0</v>
          </cell>
          <cell r="AQ1609">
            <v>74</v>
          </cell>
          <cell r="AR1609">
            <v>74</v>
          </cell>
          <cell r="BF1609">
            <v>66.2</v>
          </cell>
          <cell r="BG1609">
            <v>97.975999999999999</v>
          </cell>
          <cell r="BH1609">
            <v>97.975999999999999</v>
          </cell>
          <cell r="BI1609">
            <v>78</v>
          </cell>
          <cell r="BJ1609">
            <v>0</v>
          </cell>
        </row>
        <row r="1610">
          <cell r="D1610" t="str">
            <v>Žilinská univerzita v Žiline</v>
          </cell>
          <cell r="E1610" t="str">
            <v>Stavebná fakulta</v>
          </cell>
          <cell r="AN1610">
            <v>60</v>
          </cell>
          <cell r="AO1610">
            <v>66</v>
          </cell>
          <cell r="AP1610">
            <v>66</v>
          </cell>
          <cell r="AQ1610">
            <v>60</v>
          </cell>
          <cell r="AR1610">
            <v>60</v>
          </cell>
          <cell r="BF1610">
            <v>53.4</v>
          </cell>
          <cell r="BG1610">
            <v>79.031999999999996</v>
          </cell>
          <cell r="BH1610">
            <v>79.031999999999996</v>
          </cell>
          <cell r="BI1610">
            <v>66</v>
          </cell>
          <cell r="BJ1610">
            <v>0</v>
          </cell>
        </row>
        <row r="1611">
          <cell r="D1611" t="str">
            <v>Žilinská univerzita v Žiline</v>
          </cell>
          <cell r="E1611" t="str">
            <v>Fakulta elektrotechniky a informačných technológií</v>
          </cell>
          <cell r="AN1611">
            <v>95</v>
          </cell>
          <cell r="AO1611">
            <v>106</v>
          </cell>
          <cell r="AP1611">
            <v>106</v>
          </cell>
          <cell r="AQ1611">
            <v>95</v>
          </cell>
          <cell r="AR1611">
            <v>95</v>
          </cell>
          <cell r="BF1611">
            <v>79.099999999999994</v>
          </cell>
          <cell r="BG1611">
            <v>117.06799999999998</v>
          </cell>
          <cell r="BH1611">
            <v>117.06799999999998</v>
          </cell>
          <cell r="BI1611">
            <v>106</v>
          </cell>
          <cell r="BJ1611">
            <v>0</v>
          </cell>
        </row>
        <row r="1612">
          <cell r="D1612" t="str">
            <v>Žilinská univerzita v Žiline</v>
          </cell>
          <cell r="E1612" t="str">
            <v>Fakulta prevádzky a ekonomiky dopravy a spojov</v>
          </cell>
          <cell r="AN1612">
            <v>92</v>
          </cell>
          <cell r="AO1612">
            <v>96</v>
          </cell>
          <cell r="AP1612">
            <v>0</v>
          </cell>
          <cell r="AQ1612">
            <v>92</v>
          </cell>
          <cell r="AR1612">
            <v>92</v>
          </cell>
          <cell r="BF1612">
            <v>80.3</v>
          </cell>
          <cell r="BG1612">
            <v>118.84399999999999</v>
          </cell>
          <cell r="BH1612">
            <v>118.84399999999999</v>
          </cell>
          <cell r="BI1612">
            <v>96</v>
          </cell>
          <cell r="BJ1612">
            <v>0</v>
          </cell>
        </row>
        <row r="1613">
          <cell r="D1613" t="str">
            <v>Žilinská univerzita v Žiline</v>
          </cell>
          <cell r="E1613" t="str">
            <v>Fakulta bezpečnostného inžinierstva</v>
          </cell>
          <cell r="AN1613">
            <v>141</v>
          </cell>
          <cell r="AO1613">
            <v>167</v>
          </cell>
          <cell r="AP1613">
            <v>0</v>
          </cell>
          <cell r="AQ1613">
            <v>0</v>
          </cell>
          <cell r="AR1613">
            <v>141</v>
          </cell>
          <cell r="BF1613">
            <v>120.9</v>
          </cell>
          <cell r="BG1613">
            <v>178.93200000000002</v>
          </cell>
          <cell r="BH1613">
            <v>178.93200000000002</v>
          </cell>
          <cell r="BI1613">
            <v>167</v>
          </cell>
          <cell r="BJ1613">
            <v>0</v>
          </cell>
        </row>
        <row r="1614">
          <cell r="D1614" t="str">
            <v>Žilinská univerzita v Žiline</v>
          </cell>
          <cell r="E1614" t="str">
            <v>Fakulta prevádzky a ekonomiky dopravy a spojov</v>
          </cell>
          <cell r="AN1614">
            <v>158</v>
          </cell>
          <cell r="AO1614">
            <v>175</v>
          </cell>
          <cell r="AP1614">
            <v>0</v>
          </cell>
          <cell r="AQ1614">
            <v>158</v>
          </cell>
          <cell r="AR1614">
            <v>158</v>
          </cell>
          <cell r="BF1614">
            <v>135.19999999999999</v>
          </cell>
          <cell r="BG1614">
            <v>200.09599999999998</v>
          </cell>
          <cell r="BH1614">
            <v>195.21560975609754</v>
          </cell>
          <cell r="BI1614">
            <v>175</v>
          </cell>
          <cell r="BJ1614">
            <v>0</v>
          </cell>
        </row>
        <row r="1615">
          <cell r="D1615" t="str">
            <v>Žilinská univerzita v Žiline</v>
          </cell>
          <cell r="E1615" t="str">
            <v>Strojnícka fakulta</v>
          </cell>
          <cell r="AN1615">
            <v>93</v>
          </cell>
          <cell r="AO1615">
            <v>97</v>
          </cell>
          <cell r="AP1615">
            <v>97</v>
          </cell>
          <cell r="AQ1615">
            <v>93</v>
          </cell>
          <cell r="AR1615">
            <v>93</v>
          </cell>
          <cell r="BF1615">
            <v>79.5</v>
          </cell>
          <cell r="BG1615">
            <v>117.66</v>
          </cell>
          <cell r="BH1615">
            <v>117.66</v>
          </cell>
          <cell r="BI1615">
            <v>97</v>
          </cell>
          <cell r="BJ1615">
            <v>0</v>
          </cell>
        </row>
        <row r="1616">
          <cell r="D1616" t="str">
            <v>Žilinská univerzita v Žiline</v>
          </cell>
          <cell r="E1616" t="str">
            <v>Fakulta elektrotechniky a informačných technológií</v>
          </cell>
          <cell r="AN1616">
            <v>61</v>
          </cell>
          <cell r="AO1616">
            <v>70</v>
          </cell>
          <cell r="AP1616">
            <v>70</v>
          </cell>
          <cell r="AQ1616">
            <v>61</v>
          </cell>
          <cell r="AR1616">
            <v>61</v>
          </cell>
          <cell r="BF1616">
            <v>52.599999999999994</v>
          </cell>
          <cell r="BG1616">
            <v>77.847999999999985</v>
          </cell>
          <cell r="BH1616">
            <v>77.847999999999985</v>
          </cell>
          <cell r="BI1616">
            <v>70</v>
          </cell>
          <cell r="BJ1616">
            <v>0</v>
          </cell>
        </row>
        <row r="1617">
          <cell r="D1617" t="str">
            <v>Žilinská univerzita v Žiline</v>
          </cell>
          <cell r="E1617" t="str">
            <v>Fakulta prevádzky a ekonomiky dopravy a spojov</v>
          </cell>
          <cell r="AN1617">
            <v>348</v>
          </cell>
          <cell r="AO1617">
            <v>357</v>
          </cell>
          <cell r="AP1617">
            <v>0</v>
          </cell>
          <cell r="AQ1617">
            <v>0</v>
          </cell>
          <cell r="AR1617">
            <v>348</v>
          </cell>
          <cell r="BF1617">
            <v>307.5</v>
          </cell>
          <cell r="BG1617">
            <v>319.8</v>
          </cell>
          <cell r="BH1617">
            <v>312.9225806451613</v>
          </cell>
          <cell r="BI1617">
            <v>357</v>
          </cell>
          <cell r="BJ1617">
            <v>0</v>
          </cell>
        </row>
        <row r="1618">
          <cell r="D1618" t="str">
            <v>Žilinská univerzita v Žiline</v>
          </cell>
          <cell r="E1618" t="str">
            <v>Fakulta prevádzky a ekonomiky dopravy a spojov</v>
          </cell>
          <cell r="AN1618">
            <v>45</v>
          </cell>
          <cell r="AO1618">
            <v>49</v>
          </cell>
          <cell r="AP1618">
            <v>0</v>
          </cell>
          <cell r="AQ1618">
            <v>0</v>
          </cell>
          <cell r="AR1618">
            <v>45</v>
          </cell>
          <cell r="BF1618">
            <v>38.4</v>
          </cell>
          <cell r="BG1618">
            <v>56.832000000000001</v>
          </cell>
          <cell r="BH1618">
            <v>53.28</v>
          </cell>
          <cell r="BI1618">
            <v>49</v>
          </cell>
          <cell r="BJ1618">
            <v>0</v>
          </cell>
        </row>
        <row r="1619">
          <cell r="D1619" t="str">
            <v>Žilinská univerzita v Žiline</v>
          </cell>
          <cell r="E1619" t="str">
            <v>Strojnícka fakulta</v>
          </cell>
          <cell r="AN1619">
            <v>171</v>
          </cell>
          <cell r="AO1619">
            <v>179</v>
          </cell>
          <cell r="AP1619">
            <v>179</v>
          </cell>
          <cell r="AQ1619">
            <v>171</v>
          </cell>
          <cell r="AR1619">
            <v>171</v>
          </cell>
          <cell r="BF1619">
            <v>149.1</v>
          </cell>
          <cell r="BG1619">
            <v>220.66799999999998</v>
          </cell>
          <cell r="BH1619">
            <v>220.66799999999998</v>
          </cell>
          <cell r="BI1619">
            <v>179</v>
          </cell>
          <cell r="BJ1619">
            <v>0</v>
          </cell>
        </row>
        <row r="1620">
          <cell r="D1620" t="str">
            <v>Žilinská univerzita v Žiline</v>
          </cell>
          <cell r="E1620" t="str">
            <v>Fakulta humanitných vied</v>
          </cell>
          <cell r="AN1620">
            <v>110</v>
          </cell>
          <cell r="AO1620">
            <v>120</v>
          </cell>
          <cell r="AP1620">
            <v>0</v>
          </cell>
          <cell r="AQ1620">
            <v>0</v>
          </cell>
          <cell r="AR1620">
            <v>110</v>
          </cell>
          <cell r="BF1620">
            <v>92.6</v>
          </cell>
          <cell r="BG1620">
            <v>110.19399999999999</v>
          </cell>
          <cell r="BH1620">
            <v>106.25849999999998</v>
          </cell>
          <cell r="BI1620">
            <v>120</v>
          </cell>
          <cell r="BJ1620">
            <v>0</v>
          </cell>
        </row>
        <row r="1621">
          <cell r="D1621" t="str">
            <v>Žilinská univerzita v Žiline</v>
          </cell>
          <cell r="E1621" t="str">
            <v>Fakulta bezpečnostného inžinierstva</v>
          </cell>
          <cell r="AN1621">
            <v>52</v>
          </cell>
          <cell r="AO1621">
            <v>57</v>
          </cell>
          <cell r="AP1621">
            <v>0</v>
          </cell>
          <cell r="AQ1621">
            <v>0</v>
          </cell>
          <cell r="AR1621">
            <v>52</v>
          </cell>
          <cell r="BF1621">
            <v>45.4</v>
          </cell>
          <cell r="BG1621">
            <v>67.191999999999993</v>
          </cell>
          <cell r="BH1621">
            <v>67.191999999999993</v>
          </cell>
          <cell r="BI1621">
            <v>57</v>
          </cell>
          <cell r="BJ1621">
            <v>0</v>
          </cell>
        </row>
        <row r="1622">
          <cell r="D1622" t="str">
            <v>Vysoká škola zdravotníctva a sociálnej práce sv. Alžbety v Bratislave, n. o.</v>
          </cell>
          <cell r="E1622">
            <v>0</v>
          </cell>
          <cell r="AN1622">
            <v>47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47</v>
          </cell>
          <cell r="BJ1622">
            <v>0</v>
          </cell>
        </row>
        <row r="1623">
          <cell r="D1623" t="str">
            <v>Vysoká škola zdravotníctva a sociálnej práce sv. Alžbety v Bratislave, n. o.</v>
          </cell>
          <cell r="E1623">
            <v>0</v>
          </cell>
          <cell r="AN1623">
            <v>22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22</v>
          </cell>
          <cell r="BJ1623">
            <v>0</v>
          </cell>
        </row>
        <row r="1624">
          <cell r="D1624" t="str">
            <v>Vysoká škola zdravotníctva a sociálnej práce sv. Alžbety v Bratislave, n. o.</v>
          </cell>
          <cell r="E1624" t="str">
            <v>Inštitút sociálnych vied a zdravotníctva bl. P. P. Gojdiča v Prešove</v>
          </cell>
          <cell r="AN1624">
            <v>1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1</v>
          </cell>
          <cell r="BJ1624">
            <v>0</v>
          </cell>
        </row>
        <row r="1625">
          <cell r="D1625" t="str">
            <v>Vysoká škola zdravotníctva a sociálnej práce sv. Alžbety v Bratislave, n. o.</v>
          </cell>
          <cell r="E1625">
            <v>0</v>
          </cell>
          <cell r="AN1625">
            <v>105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BF1625">
            <v>0</v>
          </cell>
          <cell r="BG1625">
            <v>0</v>
          </cell>
          <cell r="BH1625">
            <v>0</v>
          </cell>
          <cell r="BI1625">
            <v>105</v>
          </cell>
          <cell r="BJ1625">
            <v>0</v>
          </cell>
        </row>
        <row r="1626">
          <cell r="D1626" t="str">
            <v>Vysoká škola múzických umení v Bratislave</v>
          </cell>
          <cell r="E1626" t="str">
            <v>Filmová a televízna fakulta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1</v>
          </cell>
          <cell r="BJ1626">
            <v>0</v>
          </cell>
        </row>
        <row r="1627">
          <cell r="D1627" t="str">
            <v>Vysoká škola múzických umení v Bratislave</v>
          </cell>
          <cell r="E1627" t="str">
            <v>Divadelná fakulta</v>
          </cell>
          <cell r="AN1627">
            <v>3</v>
          </cell>
          <cell r="AO1627">
            <v>0</v>
          </cell>
          <cell r="AP1627">
            <v>0</v>
          </cell>
          <cell r="AQ1627">
            <v>0</v>
          </cell>
          <cell r="AR1627">
            <v>3</v>
          </cell>
          <cell r="BF1627">
            <v>12</v>
          </cell>
          <cell r="BG1627">
            <v>13.200000000000001</v>
          </cell>
          <cell r="BH1627">
            <v>13.200000000000001</v>
          </cell>
          <cell r="BI1627">
            <v>3</v>
          </cell>
          <cell r="BJ1627">
            <v>3</v>
          </cell>
        </row>
        <row r="1628">
          <cell r="D1628" t="str">
            <v>Vysoká škola múzických umení v Bratislave</v>
          </cell>
          <cell r="E1628" t="str">
            <v>Divadelná fakulta</v>
          </cell>
          <cell r="AN1628">
            <v>2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3</v>
          </cell>
          <cell r="BJ1628">
            <v>0</v>
          </cell>
        </row>
        <row r="1629">
          <cell r="D1629" t="str">
            <v>Vysoká škola múzických umení v Bratislave</v>
          </cell>
          <cell r="E1629" t="str">
            <v>Hudobná a tanečná fakulta</v>
          </cell>
          <cell r="AN1629">
            <v>1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5</v>
          </cell>
          <cell r="BJ1629">
            <v>0</v>
          </cell>
        </row>
        <row r="1630">
          <cell r="D1630" t="str">
            <v>Vysoká škola múzických umení v Bratislave</v>
          </cell>
          <cell r="E1630" t="str">
            <v>Filmová a televízna fakulta</v>
          </cell>
          <cell r="AN1630">
            <v>38</v>
          </cell>
          <cell r="AO1630">
            <v>60</v>
          </cell>
          <cell r="AP1630">
            <v>0</v>
          </cell>
          <cell r="AQ1630">
            <v>0</v>
          </cell>
          <cell r="AR1630">
            <v>38</v>
          </cell>
          <cell r="BF1630">
            <v>34.1</v>
          </cell>
          <cell r="BG1630">
            <v>110.143</v>
          </cell>
          <cell r="BH1630">
            <v>100.96441666666666</v>
          </cell>
          <cell r="BI1630">
            <v>60</v>
          </cell>
          <cell r="BJ1630">
            <v>0</v>
          </cell>
        </row>
        <row r="1631">
          <cell r="D1631" t="str">
            <v>Vysoká škola múzických umení v Bratislave</v>
          </cell>
          <cell r="E1631" t="str">
            <v>Divadelná fakulta</v>
          </cell>
          <cell r="AN1631">
            <v>37</v>
          </cell>
          <cell r="AO1631">
            <v>43</v>
          </cell>
          <cell r="AP1631">
            <v>0</v>
          </cell>
          <cell r="AQ1631">
            <v>0</v>
          </cell>
          <cell r="AR1631">
            <v>37</v>
          </cell>
          <cell r="BF1631">
            <v>32.799999999999997</v>
          </cell>
          <cell r="BG1631">
            <v>105.94399999999999</v>
          </cell>
          <cell r="BH1631">
            <v>105.94399999999999</v>
          </cell>
          <cell r="BI1631">
            <v>43</v>
          </cell>
          <cell r="BJ1631">
            <v>0</v>
          </cell>
        </row>
        <row r="1632">
          <cell r="D1632" t="str">
            <v>Vysoká škola múzických umení v Bratislave</v>
          </cell>
          <cell r="E1632" t="str">
            <v>Hudobná a tanečná fakulta</v>
          </cell>
          <cell r="AN1632">
            <v>78</v>
          </cell>
          <cell r="AO1632">
            <v>82</v>
          </cell>
          <cell r="AP1632">
            <v>0</v>
          </cell>
          <cell r="AQ1632">
            <v>0</v>
          </cell>
          <cell r="AR1632">
            <v>78</v>
          </cell>
          <cell r="BF1632">
            <v>68.099999999999994</v>
          </cell>
          <cell r="BG1632">
            <v>219.96299999999999</v>
          </cell>
          <cell r="BH1632">
            <v>219.96299999999999</v>
          </cell>
          <cell r="BI1632">
            <v>82</v>
          </cell>
          <cell r="BJ1632">
            <v>0</v>
          </cell>
        </row>
        <row r="1633">
          <cell r="D1633" t="str">
            <v>Vysoká škola múzických umení v Bratislave</v>
          </cell>
          <cell r="E1633" t="str">
            <v>Filmová a televízna fakulta</v>
          </cell>
          <cell r="AN1633">
            <v>9</v>
          </cell>
          <cell r="AO1633">
            <v>12</v>
          </cell>
          <cell r="AP1633">
            <v>0</v>
          </cell>
          <cell r="AQ1633">
            <v>0</v>
          </cell>
          <cell r="AR1633">
            <v>9</v>
          </cell>
          <cell r="BF1633">
            <v>7.8</v>
          </cell>
          <cell r="BG1633">
            <v>7.8</v>
          </cell>
          <cell r="BH1633">
            <v>7.8</v>
          </cell>
          <cell r="BI1633">
            <v>12</v>
          </cell>
          <cell r="BJ1633">
            <v>0</v>
          </cell>
        </row>
        <row r="1634">
          <cell r="D1634" t="str">
            <v>Vysoká škola výtvarných umení v Bratislave</v>
          </cell>
          <cell r="E1634">
            <v>0</v>
          </cell>
          <cell r="AN1634">
            <v>18</v>
          </cell>
          <cell r="AO1634">
            <v>21</v>
          </cell>
          <cell r="AP1634">
            <v>0</v>
          </cell>
          <cell r="AQ1634">
            <v>0</v>
          </cell>
          <cell r="AR1634">
            <v>18</v>
          </cell>
          <cell r="BF1634">
            <v>16.8</v>
          </cell>
          <cell r="BG1634">
            <v>54.264000000000003</v>
          </cell>
          <cell r="BH1634">
            <v>54.264000000000003</v>
          </cell>
          <cell r="BI1634">
            <v>21</v>
          </cell>
          <cell r="BJ1634">
            <v>0</v>
          </cell>
        </row>
        <row r="1635">
          <cell r="D1635" t="str">
            <v>Vysoká škola výtvarných umení v Bratislave</v>
          </cell>
          <cell r="E1635">
            <v>0</v>
          </cell>
          <cell r="AN1635">
            <v>45</v>
          </cell>
          <cell r="AO1635">
            <v>46</v>
          </cell>
          <cell r="AP1635">
            <v>0</v>
          </cell>
          <cell r="AQ1635">
            <v>0</v>
          </cell>
          <cell r="AR1635">
            <v>45</v>
          </cell>
          <cell r="BF1635">
            <v>41.7</v>
          </cell>
          <cell r="BG1635">
            <v>134.691</v>
          </cell>
          <cell r="BH1635">
            <v>134.691</v>
          </cell>
          <cell r="BI1635">
            <v>46</v>
          </cell>
          <cell r="BJ1635">
            <v>0</v>
          </cell>
        </row>
        <row r="1636">
          <cell r="D1636" t="str">
            <v>Slovenská technická univerzita v Bratislave</v>
          </cell>
          <cell r="E1636" t="str">
            <v>Strojnícka fakulta</v>
          </cell>
          <cell r="AN1636">
            <v>0</v>
          </cell>
          <cell r="AO1636">
            <v>2</v>
          </cell>
          <cell r="AP1636">
            <v>0</v>
          </cell>
          <cell r="AQ1636">
            <v>0</v>
          </cell>
          <cell r="AR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2</v>
          </cell>
          <cell r="BJ1636">
            <v>0</v>
          </cell>
        </row>
        <row r="1637">
          <cell r="D1637" t="str">
            <v>Akadémia ozbrojených síl generála Milana Rastislava Štefánika</v>
          </cell>
          <cell r="E1637">
            <v>0</v>
          </cell>
          <cell r="AN1637">
            <v>10</v>
          </cell>
          <cell r="AO1637">
            <v>10</v>
          </cell>
          <cell r="AP1637">
            <v>0</v>
          </cell>
          <cell r="AQ1637">
            <v>0</v>
          </cell>
          <cell r="AR1637">
            <v>10</v>
          </cell>
          <cell r="BF1637">
            <v>15</v>
          </cell>
          <cell r="BG1637">
            <v>22.2</v>
          </cell>
          <cell r="BH1637">
            <v>22.2</v>
          </cell>
          <cell r="BI1637">
            <v>10</v>
          </cell>
          <cell r="BJ1637">
            <v>0</v>
          </cell>
        </row>
        <row r="1638">
          <cell r="D1638" t="str">
            <v>Univerzita Mateja Bela v Banskej Bystrici</v>
          </cell>
          <cell r="E1638" t="str">
            <v>Fakulta prírodných vied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BF1638">
            <v>0</v>
          </cell>
          <cell r="BG1638">
            <v>0</v>
          </cell>
          <cell r="BH1638">
            <v>0</v>
          </cell>
          <cell r="BI1638">
            <v>25</v>
          </cell>
          <cell r="BJ1638">
            <v>0</v>
          </cell>
        </row>
        <row r="1639">
          <cell r="D1639" t="str">
            <v>Univerzita Mateja Bela v Banskej Bystrici</v>
          </cell>
          <cell r="E1639" t="str">
            <v>Fakulta prírodných vied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1</v>
          </cell>
          <cell r="BJ1639">
            <v>0</v>
          </cell>
        </row>
        <row r="1640">
          <cell r="D1640" t="str">
            <v>Univerzita Mateja Bela v Banskej Bystrici</v>
          </cell>
          <cell r="E1640" t="str">
            <v>Fakulta prírodných vied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7</v>
          </cell>
          <cell r="BJ1640">
            <v>0</v>
          </cell>
        </row>
        <row r="1641">
          <cell r="D1641" t="str">
            <v>Univerzita Mateja Bela v Banskej Bystrici</v>
          </cell>
          <cell r="E1641" t="str">
            <v>Fakulta prírodných vied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1</v>
          </cell>
          <cell r="BJ1641">
            <v>0</v>
          </cell>
        </row>
        <row r="1642">
          <cell r="D1642" t="str">
            <v>Vysoká škola DTI</v>
          </cell>
          <cell r="E1642">
            <v>0</v>
          </cell>
          <cell r="AN1642">
            <v>114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114</v>
          </cell>
          <cell r="BJ1642">
            <v>0</v>
          </cell>
        </row>
        <row r="1643">
          <cell r="D1643" t="str">
            <v>Vysoká škola zdravotníctva a sociálnej práce sv. Alžbety v Bratislave, n. o.</v>
          </cell>
          <cell r="E1643">
            <v>0</v>
          </cell>
          <cell r="AN1643">
            <v>1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1</v>
          </cell>
          <cell r="BJ1643">
            <v>0</v>
          </cell>
        </row>
        <row r="1644">
          <cell r="D1644" t="str">
            <v>Vysoká škola zdravotníctva a sociálnej práce sv. Alžbety v Bratislave, n. o.</v>
          </cell>
          <cell r="E1644">
            <v>0</v>
          </cell>
          <cell r="AN1644">
            <v>101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101</v>
          </cell>
          <cell r="BJ1644">
            <v>0</v>
          </cell>
        </row>
        <row r="1645">
          <cell r="D1645" t="str">
            <v>Vysoká škola zdravotníctva a sociálnej práce sv. Alžbety v Bratislave, n. o.</v>
          </cell>
          <cell r="E1645">
            <v>0</v>
          </cell>
          <cell r="AN1645">
            <v>374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374</v>
          </cell>
          <cell r="BJ1645">
            <v>0</v>
          </cell>
        </row>
        <row r="1646">
          <cell r="D1646" t="str">
            <v>Vysoká škola zdravotníctva a sociálnej práce sv. Alžbety v Bratislave, n. o.</v>
          </cell>
          <cell r="E1646">
            <v>0</v>
          </cell>
          <cell r="AN1646">
            <v>52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52</v>
          </cell>
          <cell r="BJ1646">
            <v>0</v>
          </cell>
        </row>
        <row r="1647">
          <cell r="D1647" t="str">
            <v>Vysoká škola zdravotníctva a sociálnej práce sv. Alžbety v Bratislave, n. o.</v>
          </cell>
          <cell r="E1647">
            <v>0</v>
          </cell>
          <cell r="AN1647">
            <v>208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208</v>
          </cell>
          <cell r="BJ1647">
            <v>0</v>
          </cell>
        </row>
        <row r="1648">
          <cell r="D1648" t="str">
            <v>Vysoká škola zdravotníctva a sociálnej práce sv. Alžbety v Bratislave, n. o.</v>
          </cell>
          <cell r="E1648">
            <v>0</v>
          </cell>
          <cell r="AN1648">
            <v>484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484</v>
          </cell>
          <cell r="BJ1648">
            <v>0</v>
          </cell>
        </row>
        <row r="1649">
          <cell r="D1649" t="str">
            <v>Vysoká škola zdravotníctva a sociálnej práce sv. Alžbety v Bratislave, n. o.</v>
          </cell>
          <cell r="E1649">
            <v>0</v>
          </cell>
          <cell r="AN1649">
            <v>305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305</v>
          </cell>
          <cell r="BJ1649">
            <v>0</v>
          </cell>
        </row>
        <row r="1650">
          <cell r="D1650" t="str">
            <v>Vysoká škola zdravotníctva a sociálnej práce sv. Alžbety v Bratislave, n. o.</v>
          </cell>
          <cell r="E1650">
            <v>0</v>
          </cell>
          <cell r="AN1650">
            <v>78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78</v>
          </cell>
          <cell r="BJ1650">
            <v>0</v>
          </cell>
        </row>
        <row r="1651">
          <cell r="D1651" t="str">
            <v>Vysoká škola zdravotníctva a sociálnej práce sv. Alžbety v Bratislave, n. o.</v>
          </cell>
          <cell r="E1651">
            <v>0</v>
          </cell>
          <cell r="AN1651">
            <v>134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BF1651">
            <v>0</v>
          </cell>
          <cell r="BG1651">
            <v>0</v>
          </cell>
          <cell r="BH1651">
            <v>0</v>
          </cell>
          <cell r="BI1651">
            <v>134</v>
          </cell>
          <cell r="BJ1651">
            <v>0</v>
          </cell>
        </row>
        <row r="1652">
          <cell r="D1652" t="str">
            <v>Vysoká škola zdravotníctva a sociálnej práce sv. Alžbety v Bratislave, n. o.</v>
          </cell>
          <cell r="E1652">
            <v>0</v>
          </cell>
          <cell r="AN1652">
            <v>110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BF1652">
            <v>0</v>
          </cell>
          <cell r="BG1652">
            <v>0</v>
          </cell>
          <cell r="BH1652">
            <v>0</v>
          </cell>
          <cell r="BI1652">
            <v>110</v>
          </cell>
          <cell r="BJ1652">
            <v>0</v>
          </cell>
        </row>
        <row r="1653">
          <cell r="D1653" t="str">
            <v>Vysoká škola zdravotníctva a sociálnej práce sv. Alžbety v Bratislave, n. o.</v>
          </cell>
          <cell r="E1653">
            <v>0</v>
          </cell>
          <cell r="AN1653">
            <v>72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BF1653">
            <v>0</v>
          </cell>
          <cell r="BG1653">
            <v>0</v>
          </cell>
          <cell r="BH1653">
            <v>0</v>
          </cell>
          <cell r="BI1653">
            <v>72</v>
          </cell>
          <cell r="BJ1653">
            <v>0</v>
          </cell>
        </row>
        <row r="1654">
          <cell r="D1654" t="str">
            <v>Vysoká škola zdravotníctva a sociálnej práce sv. Alžbety v Bratislave, n. o.</v>
          </cell>
          <cell r="E1654">
            <v>0</v>
          </cell>
          <cell r="AN1654">
            <v>100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BF1654">
            <v>0</v>
          </cell>
          <cell r="BG1654">
            <v>0</v>
          </cell>
          <cell r="BH1654">
            <v>0</v>
          </cell>
          <cell r="BI1654">
            <v>100</v>
          </cell>
          <cell r="BJ1654">
            <v>0</v>
          </cell>
        </row>
        <row r="1655">
          <cell r="D1655" t="str">
            <v>Vysoká škola zdravotníctva a sociálnej práce sv. Alžbety v Bratislave, n. o.</v>
          </cell>
          <cell r="E1655">
            <v>0</v>
          </cell>
          <cell r="AN1655">
            <v>252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BF1655">
            <v>0</v>
          </cell>
          <cell r="BG1655">
            <v>0</v>
          </cell>
          <cell r="BH1655">
            <v>0</v>
          </cell>
          <cell r="BI1655">
            <v>252</v>
          </cell>
          <cell r="BJ1655">
            <v>0</v>
          </cell>
        </row>
        <row r="1656">
          <cell r="D1656" t="str">
            <v>Vysoká škola zdravotníctva a sociálnej práce sv. Alžbety v Bratislave, n. o.</v>
          </cell>
          <cell r="E1656">
            <v>0</v>
          </cell>
          <cell r="AN1656">
            <v>1</v>
          </cell>
          <cell r="AO1656">
            <v>0</v>
          </cell>
          <cell r="AP1656">
            <v>0</v>
          </cell>
          <cell r="AQ1656">
            <v>0</v>
          </cell>
          <cell r="AR1656">
            <v>0</v>
          </cell>
          <cell r="BF1656">
            <v>0</v>
          </cell>
          <cell r="BG1656">
            <v>0</v>
          </cell>
          <cell r="BH1656">
            <v>0</v>
          </cell>
          <cell r="BI1656">
            <v>1</v>
          </cell>
          <cell r="BJ1656">
            <v>0</v>
          </cell>
        </row>
        <row r="1657">
          <cell r="D1657" t="str">
            <v>Vysoká škola zdravotníctva a sociálnej práce sv. Alžbety v Bratislave, n. o.</v>
          </cell>
          <cell r="E1657">
            <v>0</v>
          </cell>
          <cell r="AN1657">
            <v>111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BF1657">
            <v>0</v>
          </cell>
          <cell r="BG1657">
            <v>0</v>
          </cell>
          <cell r="BH1657">
            <v>0</v>
          </cell>
          <cell r="BI1657">
            <v>111</v>
          </cell>
          <cell r="BJ1657">
            <v>0</v>
          </cell>
        </row>
        <row r="1658">
          <cell r="D1658" t="str">
            <v>Ekonomická univerzita v Bratislave</v>
          </cell>
          <cell r="E1658" t="str">
            <v>Fakulta hospodárskej informatiky</v>
          </cell>
          <cell r="AN1658">
            <v>5</v>
          </cell>
          <cell r="AO1658">
            <v>14</v>
          </cell>
          <cell r="AP1658">
            <v>0</v>
          </cell>
          <cell r="AQ1658">
            <v>0</v>
          </cell>
          <cell r="AR1658">
            <v>5</v>
          </cell>
          <cell r="BF1658">
            <v>7.5</v>
          </cell>
          <cell r="BG1658">
            <v>7.8000000000000007</v>
          </cell>
          <cell r="BH1658">
            <v>7.8000000000000007</v>
          </cell>
          <cell r="BI1658">
            <v>14</v>
          </cell>
          <cell r="BJ1658">
            <v>0</v>
          </cell>
        </row>
        <row r="1659">
          <cell r="D1659" t="str">
            <v>Paneurópska vysoká škola</v>
          </cell>
          <cell r="E1659" t="str">
            <v>Fakulta ekonómie a podnikania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BF1659">
            <v>0</v>
          </cell>
          <cell r="BG1659">
            <v>0</v>
          </cell>
          <cell r="BH1659">
            <v>0</v>
          </cell>
          <cell r="BI1659">
            <v>9</v>
          </cell>
          <cell r="BJ1659">
            <v>0</v>
          </cell>
        </row>
        <row r="1660">
          <cell r="D1660" t="str">
            <v>Vysoká škola zdravotníctva a sociálnej práce sv. Alžbety v Bratislave, n. o.</v>
          </cell>
          <cell r="E1660">
            <v>0</v>
          </cell>
          <cell r="AN1660">
            <v>105</v>
          </cell>
          <cell r="AO1660">
            <v>0</v>
          </cell>
          <cell r="AP1660">
            <v>0</v>
          </cell>
          <cell r="AQ1660">
            <v>0</v>
          </cell>
          <cell r="AR1660">
            <v>0</v>
          </cell>
          <cell r="BF1660">
            <v>0</v>
          </cell>
          <cell r="BG1660">
            <v>0</v>
          </cell>
          <cell r="BH1660">
            <v>0</v>
          </cell>
          <cell r="BI1660">
            <v>105</v>
          </cell>
          <cell r="BJ1660">
            <v>0</v>
          </cell>
        </row>
        <row r="1661">
          <cell r="D1661" t="str">
            <v>Vysoká škola zdravotníctva a sociálnej práce sv. Alžbety v Bratislave, n. o.</v>
          </cell>
          <cell r="E1661">
            <v>0</v>
          </cell>
          <cell r="AN1661">
            <v>13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BF1661">
            <v>0</v>
          </cell>
          <cell r="BG1661">
            <v>0</v>
          </cell>
          <cell r="BH1661">
            <v>0</v>
          </cell>
          <cell r="BI1661">
            <v>13</v>
          </cell>
          <cell r="BJ1661">
            <v>0</v>
          </cell>
        </row>
        <row r="1662">
          <cell r="D1662" t="str">
            <v>Technická univerzita v Košiciach</v>
          </cell>
          <cell r="E1662" t="str">
            <v>Fakulta výrobných technológií so sídlom v Prešove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BF1662">
            <v>0</v>
          </cell>
          <cell r="BG1662">
            <v>0</v>
          </cell>
          <cell r="BH1662">
            <v>0</v>
          </cell>
          <cell r="BI1662">
            <v>1</v>
          </cell>
          <cell r="BJ1662">
            <v>0</v>
          </cell>
        </row>
        <row r="1663">
          <cell r="D1663" t="str">
            <v>Vysoká škola manažmentu</v>
          </cell>
          <cell r="E1663">
            <v>0</v>
          </cell>
          <cell r="AN1663">
            <v>8</v>
          </cell>
          <cell r="AO1663">
            <v>0</v>
          </cell>
          <cell r="AP1663">
            <v>0</v>
          </cell>
          <cell r="AQ1663">
            <v>0</v>
          </cell>
          <cell r="AR1663">
            <v>0</v>
          </cell>
          <cell r="BF1663">
            <v>0</v>
          </cell>
          <cell r="BG1663">
            <v>0</v>
          </cell>
          <cell r="BH1663">
            <v>0</v>
          </cell>
          <cell r="BI1663">
            <v>8</v>
          </cell>
          <cell r="BJ1663">
            <v>0</v>
          </cell>
        </row>
        <row r="1664">
          <cell r="D1664" t="str">
            <v>Prešovská univerzita v Prešove</v>
          </cell>
          <cell r="E1664" t="str">
            <v>Filozofická fakulta</v>
          </cell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BF1664">
            <v>0</v>
          </cell>
          <cell r="BG1664">
            <v>0</v>
          </cell>
          <cell r="BH1664">
            <v>0</v>
          </cell>
          <cell r="BI1664">
            <v>10</v>
          </cell>
          <cell r="BJ1664">
            <v>0</v>
          </cell>
        </row>
        <row r="1665">
          <cell r="D1665" t="str">
            <v>Prešovská univerzita v Prešove</v>
          </cell>
          <cell r="E1665" t="str">
            <v>Filozofická fakulta</v>
          </cell>
          <cell r="AN1665">
            <v>5</v>
          </cell>
          <cell r="AO1665">
            <v>0</v>
          </cell>
          <cell r="AP1665">
            <v>0</v>
          </cell>
          <cell r="AQ1665">
            <v>0</v>
          </cell>
          <cell r="AR1665">
            <v>5</v>
          </cell>
          <cell r="BF1665">
            <v>15</v>
          </cell>
          <cell r="BG1665">
            <v>16.5</v>
          </cell>
          <cell r="BH1665">
            <v>8.25</v>
          </cell>
          <cell r="BI1665">
            <v>5</v>
          </cell>
          <cell r="BJ1665">
            <v>5</v>
          </cell>
        </row>
        <row r="1666">
          <cell r="D1666" t="str">
            <v>Prešovská univerzita v Prešove</v>
          </cell>
          <cell r="E1666" t="str">
            <v>Filozofická fakulta</v>
          </cell>
          <cell r="AN1666">
            <v>3</v>
          </cell>
          <cell r="AO1666">
            <v>0</v>
          </cell>
          <cell r="AP1666">
            <v>0</v>
          </cell>
          <cell r="AQ1666">
            <v>0</v>
          </cell>
          <cell r="AR1666">
            <v>3</v>
          </cell>
          <cell r="BF1666">
            <v>9</v>
          </cell>
          <cell r="BG1666">
            <v>9.9</v>
          </cell>
          <cell r="BH1666">
            <v>9.9</v>
          </cell>
          <cell r="BI1666">
            <v>3</v>
          </cell>
          <cell r="BJ1666">
            <v>3</v>
          </cell>
        </row>
        <row r="1667">
          <cell r="D1667" t="str">
            <v>Prešovská univerzita v Prešove</v>
          </cell>
          <cell r="E1667" t="str">
            <v>Filozofická fakulta</v>
          </cell>
          <cell r="AN1667">
            <v>2</v>
          </cell>
          <cell r="AO1667">
            <v>0</v>
          </cell>
          <cell r="AP1667">
            <v>0</v>
          </cell>
          <cell r="AQ1667">
            <v>0</v>
          </cell>
          <cell r="AR1667">
            <v>2</v>
          </cell>
          <cell r="BF1667">
            <v>8</v>
          </cell>
          <cell r="BG1667">
            <v>8.8000000000000007</v>
          </cell>
          <cell r="BH1667">
            <v>8.8000000000000007</v>
          </cell>
          <cell r="BI1667">
            <v>2</v>
          </cell>
          <cell r="BJ1667">
            <v>2</v>
          </cell>
        </row>
        <row r="1668">
          <cell r="D1668" t="str">
            <v>Prešovská univerzita v Prešove</v>
          </cell>
          <cell r="E1668" t="str">
            <v>Filozofická fakulta</v>
          </cell>
          <cell r="AN1668">
            <v>3</v>
          </cell>
          <cell r="AO1668">
            <v>0</v>
          </cell>
          <cell r="AP1668">
            <v>0</v>
          </cell>
          <cell r="AQ1668">
            <v>0</v>
          </cell>
          <cell r="AR1668">
            <v>3</v>
          </cell>
          <cell r="BF1668">
            <v>9</v>
          </cell>
          <cell r="BG1668">
            <v>9.9</v>
          </cell>
          <cell r="BH1668">
            <v>0</v>
          </cell>
          <cell r="BI1668">
            <v>3</v>
          </cell>
          <cell r="BJ1668">
            <v>3</v>
          </cell>
        </row>
        <row r="1669">
          <cell r="D1669" t="str">
            <v>Prešovská univerzita v Prešove</v>
          </cell>
          <cell r="E1669" t="str">
            <v>Filozofická fakulta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3</v>
          </cell>
          <cell r="BJ1669">
            <v>0</v>
          </cell>
        </row>
        <row r="1670">
          <cell r="D1670" t="str">
            <v>Prešovská univerzita v Prešove</v>
          </cell>
          <cell r="E1670" t="str">
            <v>Filozofická fakulta</v>
          </cell>
          <cell r="AN1670">
            <v>2</v>
          </cell>
          <cell r="AO1670">
            <v>0</v>
          </cell>
          <cell r="AP1670">
            <v>0</v>
          </cell>
          <cell r="AQ1670">
            <v>0</v>
          </cell>
          <cell r="AR1670">
            <v>2</v>
          </cell>
          <cell r="BF1670">
            <v>6</v>
          </cell>
          <cell r="BG1670">
            <v>6.6000000000000005</v>
          </cell>
          <cell r="BH1670">
            <v>6.6000000000000005</v>
          </cell>
          <cell r="BI1670">
            <v>2</v>
          </cell>
          <cell r="BJ1670">
            <v>2</v>
          </cell>
        </row>
        <row r="1671">
          <cell r="D1671" t="str">
            <v>Prešovská univerzita v Prešove</v>
          </cell>
          <cell r="E1671" t="str">
            <v>Filozofická fakulta</v>
          </cell>
          <cell r="AN1671">
            <v>2</v>
          </cell>
          <cell r="AO1671">
            <v>0</v>
          </cell>
          <cell r="AP1671">
            <v>0</v>
          </cell>
          <cell r="AQ1671">
            <v>0</v>
          </cell>
          <cell r="AR1671">
            <v>2</v>
          </cell>
          <cell r="BF1671">
            <v>6</v>
          </cell>
          <cell r="BG1671">
            <v>6.6000000000000005</v>
          </cell>
          <cell r="BH1671">
            <v>6.6000000000000005</v>
          </cell>
          <cell r="BI1671">
            <v>2</v>
          </cell>
          <cell r="BJ1671">
            <v>2</v>
          </cell>
        </row>
        <row r="1672">
          <cell r="D1672" t="str">
            <v>Prešovská univerzita v Prešove</v>
          </cell>
          <cell r="E1672" t="str">
            <v>Filozofická fakulta</v>
          </cell>
          <cell r="AN1672">
            <v>6</v>
          </cell>
          <cell r="AO1672">
            <v>0</v>
          </cell>
          <cell r="AP1672">
            <v>0</v>
          </cell>
          <cell r="AQ1672">
            <v>0</v>
          </cell>
          <cell r="AR1672">
            <v>6</v>
          </cell>
          <cell r="BF1672">
            <v>18</v>
          </cell>
          <cell r="BG1672">
            <v>19.8</v>
          </cell>
          <cell r="BH1672">
            <v>19.8</v>
          </cell>
          <cell r="BI1672">
            <v>6</v>
          </cell>
          <cell r="BJ1672">
            <v>6</v>
          </cell>
        </row>
        <row r="1673">
          <cell r="D1673" t="str">
            <v>Prešovská univerzita v Prešove</v>
          </cell>
          <cell r="E1673" t="str">
            <v>Filozofická fakulta</v>
          </cell>
          <cell r="AN1673">
            <v>1</v>
          </cell>
          <cell r="AO1673">
            <v>0</v>
          </cell>
          <cell r="AP1673">
            <v>0</v>
          </cell>
          <cell r="AQ1673">
            <v>0</v>
          </cell>
          <cell r="AR1673">
            <v>1</v>
          </cell>
          <cell r="BF1673">
            <v>3</v>
          </cell>
          <cell r="BG1673">
            <v>3.3000000000000003</v>
          </cell>
          <cell r="BH1673">
            <v>3.3000000000000003</v>
          </cell>
          <cell r="BI1673">
            <v>1</v>
          </cell>
          <cell r="BJ1673">
            <v>1</v>
          </cell>
        </row>
        <row r="1674">
          <cell r="D1674" t="str">
            <v>Prešovská univerzita v Prešove</v>
          </cell>
          <cell r="E1674" t="str">
            <v>Filozofická fakulta</v>
          </cell>
          <cell r="AN1674">
            <v>4</v>
          </cell>
          <cell r="AO1674">
            <v>0</v>
          </cell>
          <cell r="AP1674">
            <v>0</v>
          </cell>
          <cell r="AQ1674">
            <v>0</v>
          </cell>
          <cell r="AR1674">
            <v>4</v>
          </cell>
          <cell r="BF1674">
            <v>12</v>
          </cell>
          <cell r="BG1674">
            <v>13.200000000000001</v>
          </cell>
          <cell r="BH1674">
            <v>13.200000000000001</v>
          </cell>
          <cell r="BI1674">
            <v>4</v>
          </cell>
          <cell r="BJ1674">
            <v>4</v>
          </cell>
        </row>
        <row r="1675">
          <cell r="D1675" t="str">
            <v>Prešovská univerzita v Prešove</v>
          </cell>
          <cell r="E1675" t="str">
            <v>Filozofická fakulta</v>
          </cell>
          <cell r="AN1675">
            <v>4</v>
          </cell>
          <cell r="AO1675">
            <v>5</v>
          </cell>
          <cell r="AP1675">
            <v>0</v>
          </cell>
          <cell r="AQ1675">
            <v>0</v>
          </cell>
          <cell r="AR1675">
            <v>4</v>
          </cell>
          <cell r="BF1675">
            <v>6</v>
          </cell>
          <cell r="BG1675">
            <v>6</v>
          </cell>
          <cell r="BH1675">
            <v>3.5999999999999996</v>
          </cell>
          <cell r="BI1675">
            <v>5</v>
          </cell>
          <cell r="BJ1675">
            <v>0</v>
          </cell>
        </row>
        <row r="1676">
          <cell r="D1676" t="str">
            <v>Prešovská univerzita v Prešove</v>
          </cell>
          <cell r="E1676" t="str">
            <v>Filozofická fakulta</v>
          </cell>
          <cell r="AN1676">
            <v>63</v>
          </cell>
          <cell r="AO1676">
            <v>69</v>
          </cell>
          <cell r="AP1676">
            <v>0</v>
          </cell>
          <cell r="AQ1676">
            <v>0</v>
          </cell>
          <cell r="AR1676">
            <v>63</v>
          </cell>
          <cell r="BF1676">
            <v>55.2</v>
          </cell>
          <cell r="BG1676">
            <v>57.408000000000008</v>
          </cell>
          <cell r="BH1676">
            <v>57.408000000000008</v>
          </cell>
          <cell r="BI1676">
            <v>69</v>
          </cell>
          <cell r="BJ1676">
            <v>0</v>
          </cell>
        </row>
        <row r="1677">
          <cell r="D1677" t="str">
            <v>Prešovská univerzita v Prešove</v>
          </cell>
          <cell r="E1677" t="str">
            <v>Filozofická fakulta</v>
          </cell>
          <cell r="AN1677">
            <v>4</v>
          </cell>
          <cell r="AO1677">
            <v>11</v>
          </cell>
          <cell r="AP1677">
            <v>0</v>
          </cell>
          <cell r="AQ1677">
            <v>0</v>
          </cell>
          <cell r="AR1677">
            <v>4</v>
          </cell>
          <cell r="BF1677">
            <v>3.7</v>
          </cell>
          <cell r="BG1677">
            <v>4.0330000000000004</v>
          </cell>
          <cell r="BH1677">
            <v>4.0330000000000004</v>
          </cell>
          <cell r="BI1677">
            <v>11</v>
          </cell>
          <cell r="BJ1677">
            <v>0</v>
          </cell>
        </row>
        <row r="1678">
          <cell r="D1678" t="str">
            <v>Prešovská univerzita v Prešove</v>
          </cell>
          <cell r="E1678" t="str">
            <v>Filozofická fakulta</v>
          </cell>
          <cell r="AN1678">
            <v>73</v>
          </cell>
          <cell r="AO1678">
            <v>83.5</v>
          </cell>
          <cell r="AP1678">
            <v>0</v>
          </cell>
          <cell r="AQ1678">
            <v>0</v>
          </cell>
          <cell r="AR1678">
            <v>73</v>
          </cell>
          <cell r="BF1678">
            <v>62.05</v>
          </cell>
          <cell r="BG1678">
            <v>93.074999999999989</v>
          </cell>
          <cell r="BH1678">
            <v>88.421249999999986</v>
          </cell>
          <cell r="BI1678">
            <v>83.5</v>
          </cell>
          <cell r="BJ1678">
            <v>0</v>
          </cell>
        </row>
        <row r="1679">
          <cell r="D1679" t="str">
            <v>Prešovská univerzita v Prešove</v>
          </cell>
          <cell r="E1679" t="str">
            <v>Filozofická fakulta</v>
          </cell>
          <cell r="AN1679">
            <v>16</v>
          </cell>
          <cell r="AO1679">
            <v>19.5</v>
          </cell>
          <cell r="AP1679">
            <v>0</v>
          </cell>
          <cell r="AQ1679">
            <v>0</v>
          </cell>
          <cell r="AR1679">
            <v>16</v>
          </cell>
          <cell r="BF1679">
            <v>14.35</v>
          </cell>
          <cell r="BG1679">
            <v>21.524999999999999</v>
          </cell>
          <cell r="BH1679">
            <v>21.524999999999999</v>
          </cell>
          <cell r="BI1679">
            <v>19.5</v>
          </cell>
          <cell r="BJ1679">
            <v>0</v>
          </cell>
        </row>
        <row r="1680">
          <cell r="D1680" t="str">
            <v>Prešovská univerzita v Prešove</v>
          </cell>
          <cell r="E1680" t="str">
            <v>Filozofická fakulta</v>
          </cell>
          <cell r="AN1680">
            <v>14.5</v>
          </cell>
          <cell r="AO1680">
            <v>19.5</v>
          </cell>
          <cell r="AP1680">
            <v>0</v>
          </cell>
          <cell r="AQ1680">
            <v>0</v>
          </cell>
          <cell r="AR1680">
            <v>14.5</v>
          </cell>
          <cell r="BF1680">
            <v>12.55</v>
          </cell>
          <cell r="BG1680">
            <v>13.679500000000003</v>
          </cell>
          <cell r="BH1680">
            <v>13.679500000000003</v>
          </cell>
          <cell r="BI1680">
            <v>19.5</v>
          </cell>
          <cell r="BJ1680">
            <v>0</v>
          </cell>
        </row>
        <row r="1681">
          <cell r="D1681" t="str">
            <v>Prešovská univerzita v Prešove</v>
          </cell>
          <cell r="E1681" t="str">
            <v>Filozofická fakulta</v>
          </cell>
          <cell r="AN1681">
            <v>16.5</v>
          </cell>
          <cell r="AO1681">
            <v>18</v>
          </cell>
          <cell r="AP1681">
            <v>0</v>
          </cell>
          <cell r="AQ1681">
            <v>0</v>
          </cell>
          <cell r="AR1681">
            <v>16.5</v>
          </cell>
          <cell r="BF1681">
            <v>14.25</v>
          </cell>
          <cell r="BG1681">
            <v>15.532500000000001</v>
          </cell>
          <cell r="BH1681">
            <v>15.532500000000001</v>
          </cell>
          <cell r="BI1681">
            <v>18</v>
          </cell>
          <cell r="BJ1681">
            <v>0</v>
          </cell>
        </row>
        <row r="1682">
          <cell r="D1682" t="str">
            <v>Prešovská univerzita v Prešove</v>
          </cell>
          <cell r="E1682" t="str">
            <v>Filozofická fakulta</v>
          </cell>
          <cell r="AN1682">
            <v>50</v>
          </cell>
          <cell r="AO1682">
            <v>58</v>
          </cell>
          <cell r="AP1682">
            <v>0</v>
          </cell>
          <cell r="AQ1682">
            <v>0</v>
          </cell>
          <cell r="AR1682">
            <v>50</v>
          </cell>
          <cell r="BF1682">
            <v>42.8</v>
          </cell>
          <cell r="BG1682">
            <v>44.512</v>
          </cell>
          <cell r="BH1682">
            <v>34.973714285714287</v>
          </cell>
          <cell r="BI1682">
            <v>58</v>
          </cell>
          <cell r="BJ1682">
            <v>0</v>
          </cell>
        </row>
        <row r="1683">
          <cell r="D1683" t="str">
            <v>Prešovská univerzita v Prešove</v>
          </cell>
          <cell r="E1683" t="str">
            <v>Filozofická fakulta</v>
          </cell>
          <cell r="AN1683">
            <v>89</v>
          </cell>
          <cell r="AO1683">
            <v>98</v>
          </cell>
          <cell r="AP1683">
            <v>0</v>
          </cell>
          <cell r="AQ1683">
            <v>0</v>
          </cell>
          <cell r="AR1683">
            <v>89</v>
          </cell>
          <cell r="BF1683">
            <v>78.5</v>
          </cell>
          <cell r="BG1683">
            <v>78.5</v>
          </cell>
          <cell r="BH1683">
            <v>78.5</v>
          </cell>
          <cell r="BI1683">
            <v>98</v>
          </cell>
          <cell r="BJ1683">
            <v>0</v>
          </cell>
        </row>
        <row r="1684">
          <cell r="D1684" t="str">
            <v>Prešovská univerzita v Prešove</v>
          </cell>
          <cell r="E1684" t="str">
            <v>Filozofická fakulta</v>
          </cell>
          <cell r="AN1684">
            <v>17.5</v>
          </cell>
          <cell r="AO1684">
            <v>23</v>
          </cell>
          <cell r="AP1684">
            <v>0</v>
          </cell>
          <cell r="AQ1684">
            <v>0</v>
          </cell>
          <cell r="AR1684">
            <v>17.5</v>
          </cell>
          <cell r="BF1684">
            <v>15.1</v>
          </cell>
          <cell r="BG1684">
            <v>32.464999999999996</v>
          </cell>
          <cell r="BH1684">
            <v>32.464999999999996</v>
          </cell>
          <cell r="BI1684">
            <v>23</v>
          </cell>
          <cell r="BJ1684">
            <v>0</v>
          </cell>
        </row>
        <row r="1685">
          <cell r="D1685" t="str">
            <v>Prešovská univerzita v Prešove</v>
          </cell>
          <cell r="E1685" t="str">
            <v>Filozofická fakulta</v>
          </cell>
          <cell r="AN1685">
            <v>24</v>
          </cell>
          <cell r="AO1685">
            <v>31.5</v>
          </cell>
          <cell r="AP1685">
            <v>0</v>
          </cell>
          <cell r="AQ1685">
            <v>0</v>
          </cell>
          <cell r="AR1685">
            <v>24</v>
          </cell>
          <cell r="BF1685">
            <v>20.85</v>
          </cell>
          <cell r="BG1685">
            <v>22.726500000000001</v>
          </cell>
          <cell r="BH1685">
            <v>21.67259571938169</v>
          </cell>
          <cell r="BI1685">
            <v>31.5</v>
          </cell>
          <cell r="BJ1685">
            <v>0</v>
          </cell>
        </row>
        <row r="1686">
          <cell r="D1686" t="str">
            <v>Prešovská univerzita v Prešove</v>
          </cell>
          <cell r="E1686" t="str">
            <v>Filozofická fakulta</v>
          </cell>
          <cell r="AN1686">
            <v>2</v>
          </cell>
          <cell r="AO1686">
            <v>0</v>
          </cell>
          <cell r="AP1686">
            <v>0</v>
          </cell>
          <cell r="AQ1686">
            <v>0</v>
          </cell>
          <cell r="AR1686">
            <v>2</v>
          </cell>
          <cell r="BF1686">
            <v>6</v>
          </cell>
          <cell r="BG1686">
            <v>6.6000000000000005</v>
          </cell>
          <cell r="BH1686">
            <v>6.6000000000000005</v>
          </cell>
          <cell r="BI1686">
            <v>2</v>
          </cell>
          <cell r="BJ1686">
            <v>2</v>
          </cell>
        </row>
        <row r="1687">
          <cell r="D1687" t="str">
            <v>Prešovská univerzita v Prešove</v>
          </cell>
          <cell r="E1687" t="str">
            <v>Filozofická fakulta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1</v>
          </cell>
          <cell r="BJ1687">
            <v>0</v>
          </cell>
        </row>
        <row r="1688">
          <cell r="D1688" t="str">
            <v>Prešovská univerzita v Prešove</v>
          </cell>
          <cell r="E1688" t="str">
            <v>Filozofická fakulta</v>
          </cell>
          <cell r="AN1688">
            <v>36</v>
          </cell>
          <cell r="AO1688">
            <v>50</v>
          </cell>
          <cell r="AP1688">
            <v>0</v>
          </cell>
          <cell r="AQ1688">
            <v>0</v>
          </cell>
          <cell r="AR1688">
            <v>36</v>
          </cell>
          <cell r="BF1688">
            <v>30</v>
          </cell>
          <cell r="BG1688">
            <v>32.700000000000003</v>
          </cell>
          <cell r="BH1688">
            <v>32.700000000000003</v>
          </cell>
          <cell r="BI1688">
            <v>50</v>
          </cell>
          <cell r="BJ1688">
            <v>0</v>
          </cell>
        </row>
        <row r="1689">
          <cell r="D1689" t="str">
            <v>Prešovská univerzita v Prešove</v>
          </cell>
          <cell r="E1689" t="str">
            <v>Filozofická fakulta</v>
          </cell>
          <cell r="AN1689">
            <v>29.5</v>
          </cell>
          <cell r="AO1689">
            <v>34</v>
          </cell>
          <cell r="AP1689">
            <v>0</v>
          </cell>
          <cell r="AQ1689">
            <v>0</v>
          </cell>
          <cell r="AR1689">
            <v>29.5</v>
          </cell>
          <cell r="BF1689">
            <v>25.45</v>
          </cell>
          <cell r="BG1689">
            <v>38.174999999999997</v>
          </cell>
          <cell r="BH1689">
            <v>38.174999999999997</v>
          </cell>
          <cell r="BI1689">
            <v>34</v>
          </cell>
          <cell r="BJ1689">
            <v>0</v>
          </cell>
        </row>
        <row r="1690">
          <cell r="D1690" t="str">
            <v>Prešovská univerzita v Prešove</v>
          </cell>
          <cell r="E1690" t="str">
            <v>Gréckokatolícka teologická fakulta</v>
          </cell>
          <cell r="AN1690">
            <v>0</v>
          </cell>
          <cell r="AO1690">
            <v>0</v>
          </cell>
          <cell r="AP1690">
            <v>0</v>
          </cell>
          <cell r="AQ1690">
            <v>0</v>
          </cell>
          <cell r="AR1690">
            <v>0</v>
          </cell>
          <cell r="BF1690">
            <v>0</v>
          </cell>
          <cell r="BG1690">
            <v>0</v>
          </cell>
          <cell r="BH1690">
            <v>0</v>
          </cell>
          <cell r="BI1690">
            <v>11</v>
          </cell>
          <cell r="BJ1690">
            <v>0</v>
          </cell>
        </row>
        <row r="1691">
          <cell r="D1691" t="str">
            <v>Prešovská univerzita v Prešove</v>
          </cell>
          <cell r="E1691" t="str">
            <v>Gréckokatolícka teologická fakulta</v>
          </cell>
          <cell r="AN1691">
            <v>5</v>
          </cell>
          <cell r="AO1691">
            <v>0</v>
          </cell>
          <cell r="AP1691">
            <v>0</v>
          </cell>
          <cell r="AQ1691">
            <v>0</v>
          </cell>
          <cell r="AR1691">
            <v>5</v>
          </cell>
          <cell r="BF1691">
            <v>15</v>
          </cell>
          <cell r="BG1691">
            <v>16.5</v>
          </cell>
          <cell r="BH1691">
            <v>11.000000000000002</v>
          </cell>
          <cell r="BI1691">
            <v>5</v>
          </cell>
          <cell r="BJ1691">
            <v>5</v>
          </cell>
        </row>
        <row r="1692">
          <cell r="D1692" t="str">
            <v>Prešovská univerzita v Prešove</v>
          </cell>
          <cell r="E1692" t="str">
            <v>Gréckokatolícka teologická fakulta</v>
          </cell>
          <cell r="AN1692">
            <v>5</v>
          </cell>
          <cell r="AO1692">
            <v>0</v>
          </cell>
          <cell r="AP1692">
            <v>0</v>
          </cell>
          <cell r="AQ1692">
            <v>0</v>
          </cell>
          <cell r="AR1692">
            <v>5</v>
          </cell>
          <cell r="BF1692">
            <v>15</v>
          </cell>
          <cell r="BG1692">
            <v>16.5</v>
          </cell>
          <cell r="BH1692">
            <v>16.5</v>
          </cell>
          <cell r="BI1692">
            <v>5</v>
          </cell>
          <cell r="BJ1692">
            <v>5</v>
          </cell>
        </row>
        <row r="1693">
          <cell r="D1693" t="str">
            <v>Prešovská univerzita v Prešove</v>
          </cell>
          <cell r="E1693" t="str">
            <v>Gréckokatolícka teologická fakulta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20</v>
          </cell>
          <cell r="BJ1693">
            <v>0</v>
          </cell>
        </row>
        <row r="1694">
          <cell r="D1694" t="str">
            <v>Prešovská univerzita v Prešove</v>
          </cell>
          <cell r="E1694" t="str">
            <v>Gréckokatolícka teologická fakulta</v>
          </cell>
          <cell r="AN1694">
            <v>15</v>
          </cell>
          <cell r="AO1694">
            <v>18</v>
          </cell>
          <cell r="AP1694">
            <v>0</v>
          </cell>
          <cell r="AQ1694">
            <v>0</v>
          </cell>
          <cell r="AR1694">
            <v>15</v>
          </cell>
          <cell r="BF1694">
            <v>12.6</v>
          </cell>
          <cell r="BG1694">
            <v>12.6</v>
          </cell>
          <cell r="BH1694">
            <v>12.6</v>
          </cell>
          <cell r="BI1694">
            <v>18</v>
          </cell>
          <cell r="BJ1694">
            <v>0</v>
          </cell>
        </row>
        <row r="1695">
          <cell r="D1695" t="str">
            <v>Prešovská univerzita v Prešove</v>
          </cell>
          <cell r="E1695" t="str">
            <v>Fakulta humanitných a prírodných vied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78</v>
          </cell>
          <cell r="BJ1695">
            <v>0</v>
          </cell>
        </row>
        <row r="1696">
          <cell r="D1696" t="str">
            <v>Prešovská univerzita v Prešove</v>
          </cell>
          <cell r="E1696" t="str">
            <v>Fakulta humanitných a prírodných vied</v>
          </cell>
          <cell r="AN1696">
            <v>37</v>
          </cell>
          <cell r="AO1696">
            <v>38</v>
          </cell>
          <cell r="AP1696">
            <v>38</v>
          </cell>
          <cell r="AQ1696">
            <v>37</v>
          </cell>
          <cell r="AR1696">
            <v>37</v>
          </cell>
          <cell r="BF1696">
            <v>55.5</v>
          </cell>
          <cell r="BG1696">
            <v>79.92</v>
          </cell>
          <cell r="BH1696">
            <v>77.164137931034489</v>
          </cell>
          <cell r="BI1696">
            <v>38</v>
          </cell>
          <cell r="BJ1696">
            <v>0</v>
          </cell>
        </row>
        <row r="1697">
          <cell r="D1697" t="str">
            <v>Prešovská univerzita v Prešove</v>
          </cell>
          <cell r="E1697" t="str">
            <v>Filozofická fakulta</v>
          </cell>
          <cell r="AN1697">
            <v>35</v>
          </cell>
          <cell r="AO1697">
            <v>37.5</v>
          </cell>
          <cell r="AP1697">
            <v>0</v>
          </cell>
          <cell r="AQ1697">
            <v>0</v>
          </cell>
          <cell r="AR1697">
            <v>35</v>
          </cell>
          <cell r="BF1697">
            <v>52.5</v>
          </cell>
          <cell r="BG1697">
            <v>57.225000000000001</v>
          </cell>
          <cell r="BH1697">
            <v>51.385714285714286</v>
          </cell>
          <cell r="BI1697">
            <v>37.5</v>
          </cell>
          <cell r="BJ1697">
            <v>0</v>
          </cell>
        </row>
        <row r="1698">
          <cell r="D1698" t="str">
            <v>Prešovská univerzita v Prešove</v>
          </cell>
          <cell r="E1698" t="str">
            <v>Fakulta humanitných a prírodných vied</v>
          </cell>
          <cell r="AN1698">
            <v>1.5</v>
          </cell>
          <cell r="AO1698">
            <v>2.5</v>
          </cell>
          <cell r="AP1698">
            <v>0</v>
          </cell>
          <cell r="AQ1698">
            <v>0</v>
          </cell>
          <cell r="AR1698">
            <v>1.5</v>
          </cell>
          <cell r="BF1698">
            <v>2.25</v>
          </cell>
          <cell r="BG1698">
            <v>3.2399999999999998</v>
          </cell>
          <cell r="BH1698">
            <v>2.16</v>
          </cell>
          <cell r="BI1698">
            <v>2.5</v>
          </cell>
          <cell r="BJ1698">
            <v>0</v>
          </cell>
        </row>
        <row r="1699">
          <cell r="D1699" t="str">
            <v>Prešovská univerzita v Prešove</v>
          </cell>
          <cell r="E1699" t="str">
            <v>Fakulta humanitných a prírodných vied</v>
          </cell>
          <cell r="AN1699">
            <v>6.5</v>
          </cell>
          <cell r="AO1699">
            <v>7.5</v>
          </cell>
          <cell r="AP1699">
            <v>0</v>
          </cell>
          <cell r="AQ1699">
            <v>0</v>
          </cell>
          <cell r="AR1699">
            <v>6.5</v>
          </cell>
          <cell r="BF1699">
            <v>9.75</v>
          </cell>
          <cell r="BG1699">
            <v>14.04</v>
          </cell>
          <cell r="BH1699">
            <v>14.04</v>
          </cell>
          <cell r="BI1699">
            <v>7.5</v>
          </cell>
          <cell r="BJ1699">
            <v>0</v>
          </cell>
        </row>
        <row r="1700">
          <cell r="D1700" t="str">
            <v>Prešovská univerzita v Prešove</v>
          </cell>
          <cell r="E1700" t="str">
            <v>Fakulta humanitných a prírodných vied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BF1700">
            <v>0</v>
          </cell>
          <cell r="BG1700">
            <v>0</v>
          </cell>
          <cell r="BH1700">
            <v>0</v>
          </cell>
          <cell r="BI1700">
            <v>42</v>
          </cell>
          <cell r="BJ1700">
            <v>0</v>
          </cell>
        </row>
        <row r="1701">
          <cell r="D1701" t="str">
            <v>Prešovská univerzita v Prešove</v>
          </cell>
          <cell r="E1701" t="str">
            <v>Fakulta humanitných a prírodných vied</v>
          </cell>
          <cell r="AN1701">
            <v>74.5</v>
          </cell>
          <cell r="AO1701">
            <v>83.5</v>
          </cell>
          <cell r="AP1701">
            <v>83.5</v>
          </cell>
          <cell r="AQ1701">
            <v>74.5</v>
          </cell>
          <cell r="AR1701">
            <v>74.5</v>
          </cell>
          <cell r="BF1701">
            <v>64.75</v>
          </cell>
          <cell r="BG1701">
            <v>93.24</v>
          </cell>
          <cell r="BH1701">
            <v>93.24</v>
          </cell>
          <cell r="BI1701">
            <v>83.5</v>
          </cell>
          <cell r="BJ1701">
            <v>0</v>
          </cell>
        </row>
        <row r="1702">
          <cell r="D1702" t="str">
            <v>Prešovská univerzita v Prešove</v>
          </cell>
          <cell r="E1702" t="str">
            <v>Fakulta humanitných a prírodných vied</v>
          </cell>
          <cell r="AN1702">
            <v>86.5</v>
          </cell>
          <cell r="AO1702">
            <v>100</v>
          </cell>
          <cell r="AP1702">
            <v>100</v>
          </cell>
          <cell r="AQ1702">
            <v>86.5</v>
          </cell>
          <cell r="AR1702">
            <v>86.5</v>
          </cell>
          <cell r="BF1702">
            <v>74.650000000000006</v>
          </cell>
          <cell r="BG1702">
            <v>107.49600000000001</v>
          </cell>
          <cell r="BH1702">
            <v>107.49600000000001</v>
          </cell>
          <cell r="BI1702">
            <v>100</v>
          </cell>
          <cell r="BJ1702">
            <v>0</v>
          </cell>
        </row>
        <row r="1703">
          <cell r="D1703" t="str">
            <v>Prešovská univerzita v Prešove</v>
          </cell>
          <cell r="E1703" t="str">
            <v>Fakulta humanitných a prírodných vied</v>
          </cell>
          <cell r="AN1703">
            <v>10</v>
          </cell>
          <cell r="AO1703">
            <v>10.5</v>
          </cell>
          <cell r="AP1703">
            <v>10.5</v>
          </cell>
          <cell r="AQ1703">
            <v>10</v>
          </cell>
          <cell r="AR1703">
            <v>10</v>
          </cell>
          <cell r="BF1703">
            <v>8.5</v>
          </cell>
          <cell r="BG1703">
            <v>12.24</v>
          </cell>
          <cell r="BH1703">
            <v>12.24</v>
          </cell>
          <cell r="BI1703">
            <v>10.5</v>
          </cell>
          <cell r="BJ1703">
            <v>0</v>
          </cell>
        </row>
        <row r="1704">
          <cell r="D1704" t="str">
            <v>Prešovská univerzita v Prešove</v>
          </cell>
          <cell r="E1704" t="str">
            <v>Fakulta humanitných a prírodných vied</v>
          </cell>
          <cell r="AN1704">
            <v>21.5</v>
          </cell>
          <cell r="AO1704">
            <v>24.5</v>
          </cell>
          <cell r="AP1704">
            <v>24.5</v>
          </cell>
          <cell r="AQ1704">
            <v>21.5</v>
          </cell>
          <cell r="AR1704">
            <v>21.5</v>
          </cell>
          <cell r="BF1704">
            <v>18.2</v>
          </cell>
          <cell r="BG1704">
            <v>21.657999999999998</v>
          </cell>
          <cell r="BH1704">
            <v>21.657999999999998</v>
          </cell>
          <cell r="BI1704">
            <v>24.5</v>
          </cell>
          <cell r="BJ1704">
            <v>0</v>
          </cell>
        </row>
        <row r="1705">
          <cell r="D1705" t="str">
            <v>Prešovská univerzita v Prešove</v>
          </cell>
          <cell r="E1705" t="str">
            <v>Fakulta humanitných a prírodných vied</v>
          </cell>
          <cell r="AN1705">
            <v>29.5</v>
          </cell>
          <cell r="AO1705">
            <v>41</v>
          </cell>
          <cell r="AP1705">
            <v>0</v>
          </cell>
          <cell r="AQ1705">
            <v>0</v>
          </cell>
          <cell r="AR1705">
            <v>29.5</v>
          </cell>
          <cell r="BF1705">
            <v>25.75</v>
          </cell>
          <cell r="BG1705">
            <v>30.642499999999998</v>
          </cell>
          <cell r="BH1705">
            <v>30.642499999999998</v>
          </cell>
          <cell r="BI1705">
            <v>41</v>
          </cell>
          <cell r="BJ1705">
            <v>0</v>
          </cell>
        </row>
        <row r="1706">
          <cell r="D1706" t="str">
            <v>Prešovská univerzita v Prešove</v>
          </cell>
          <cell r="E1706" t="str">
            <v>Fakulta humanitných a prírodných vied</v>
          </cell>
          <cell r="AN1706">
            <v>22</v>
          </cell>
          <cell r="AO1706">
            <v>26</v>
          </cell>
          <cell r="AP1706">
            <v>26</v>
          </cell>
          <cell r="AQ1706">
            <v>22</v>
          </cell>
          <cell r="AR1706">
            <v>22</v>
          </cell>
          <cell r="BF1706">
            <v>21.1</v>
          </cell>
          <cell r="BG1706">
            <v>31.228000000000002</v>
          </cell>
          <cell r="BH1706">
            <v>31.228000000000002</v>
          </cell>
          <cell r="BI1706">
            <v>26</v>
          </cell>
          <cell r="BJ1706">
            <v>0</v>
          </cell>
        </row>
        <row r="1707">
          <cell r="D1707" t="str">
            <v>Prešovská univerzita v Prešove</v>
          </cell>
          <cell r="E1707" t="str">
            <v>Fakulta humanitných a prírodných vied</v>
          </cell>
          <cell r="AN1707">
            <v>85</v>
          </cell>
          <cell r="AO1707">
            <v>94</v>
          </cell>
          <cell r="AP1707">
            <v>94</v>
          </cell>
          <cell r="AQ1707">
            <v>85</v>
          </cell>
          <cell r="AR1707">
            <v>85</v>
          </cell>
          <cell r="BF1707">
            <v>73.3</v>
          </cell>
          <cell r="BG1707">
            <v>108.48399999999999</v>
          </cell>
          <cell r="BH1707">
            <v>108.48399999999999</v>
          </cell>
          <cell r="BI1707">
            <v>94</v>
          </cell>
          <cell r="BJ1707">
            <v>0</v>
          </cell>
        </row>
        <row r="1708">
          <cell r="D1708" t="str">
            <v>Prešovská univerzita v Prešove</v>
          </cell>
          <cell r="E1708" t="str">
            <v>Fakulta manažmentu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BF1708">
            <v>0</v>
          </cell>
          <cell r="BG1708">
            <v>0</v>
          </cell>
          <cell r="BH1708">
            <v>0</v>
          </cell>
          <cell r="BI1708">
            <v>49</v>
          </cell>
          <cell r="BJ1708">
            <v>0</v>
          </cell>
        </row>
        <row r="1709">
          <cell r="D1709" t="str">
            <v>Prešovská univerzita v Prešove</v>
          </cell>
          <cell r="E1709" t="str">
            <v>Fakulta manažmentu</v>
          </cell>
          <cell r="AN1709">
            <v>319</v>
          </cell>
          <cell r="AO1709">
            <v>349</v>
          </cell>
          <cell r="AP1709">
            <v>0</v>
          </cell>
          <cell r="AQ1709">
            <v>0</v>
          </cell>
          <cell r="AR1709">
            <v>319</v>
          </cell>
          <cell r="BF1709">
            <v>283</v>
          </cell>
          <cell r="BG1709">
            <v>294.32</v>
          </cell>
          <cell r="BH1709">
            <v>287.77955555555553</v>
          </cell>
          <cell r="BI1709">
            <v>349</v>
          </cell>
          <cell r="BJ1709">
            <v>0</v>
          </cell>
        </row>
        <row r="1710">
          <cell r="D1710" t="str">
            <v>Prešovská univerzita v Prešove</v>
          </cell>
          <cell r="E1710" t="str">
            <v>Fakulta manažmentu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BF1710">
            <v>0</v>
          </cell>
          <cell r="BG1710">
            <v>0</v>
          </cell>
          <cell r="BH1710">
            <v>0</v>
          </cell>
          <cell r="BI1710">
            <v>34</v>
          </cell>
          <cell r="BJ1710">
            <v>0</v>
          </cell>
        </row>
        <row r="1711">
          <cell r="D1711" t="str">
            <v>Prešovská univerzita v Prešove</v>
          </cell>
          <cell r="E1711" t="str">
            <v>Fakulta manažmentu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BF1711">
            <v>0</v>
          </cell>
          <cell r="BG1711">
            <v>0</v>
          </cell>
          <cell r="BH1711">
            <v>0</v>
          </cell>
          <cell r="BI1711">
            <v>129</v>
          </cell>
          <cell r="BJ1711">
            <v>0</v>
          </cell>
        </row>
        <row r="1712">
          <cell r="D1712" t="str">
            <v>Prešovská univerzita v Prešove</v>
          </cell>
          <cell r="E1712" t="str">
            <v>Pedagogická fakulta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BF1712">
            <v>0</v>
          </cell>
          <cell r="BG1712">
            <v>0</v>
          </cell>
          <cell r="BH1712">
            <v>0</v>
          </cell>
          <cell r="BI1712">
            <v>51</v>
          </cell>
          <cell r="BJ1712">
            <v>0</v>
          </cell>
        </row>
        <row r="1713">
          <cell r="D1713" t="str">
            <v>Prešovská univerzita v Prešove</v>
          </cell>
          <cell r="E1713" t="str">
            <v>Pedagogická fakulta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192</v>
          </cell>
          <cell r="BJ1713">
            <v>0</v>
          </cell>
        </row>
        <row r="1714">
          <cell r="D1714" t="str">
            <v>Prešovská univerzita v Prešove</v>
          </cell>
          <cell r="E1714" t="str">
            <v>Pedagogická fakulta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22</v>
          </cell>
          <cell r="BJ1714">
            <v>0</v>
          </cell>
        </row>
        <row r="1715">
          <cell r="D1715" t="str">
            <v>Prešovská univerzita v Prešove</v>
          </cell>
          <cell r="E1715" t="str">
            <v>Pedagogická fakulta</v>
          </cell>
          <cell r="AN1715">
            <v>571</v>
          </cell>
          <cell r="AO1715">
            <v>602</v>
          </cell>
          <cell r="AP1715">
            <v>0</v>
          </cell>
          <cell r="AQ1715">
            <v>0</v>
          </cell>
          <cell r="AR1715">
            <v>571</v>
          </cell>
          <cell r="BF1715">
            <v>502.29999999999995</v>
          </cell>
          <cell r="BG1715">
            <v>597.73699999999997</v>
          </cell>
          <cell r="BH1715">
            <v>573.33957142857139</v>
          </cell>
          <cell r="BI1715">
            <v>602</v>
          </cell>
          <cell r="BJ1715">
            <v>0</v>
          </cell>
        </row>
        <row r="1716">
          <cell r="D1716" t="str">
            <v>Prešovská univerzita v Prešove</v>
          </cell>
          <cell r="E1716" t="str">
            <v>Pedagogická fakulta</v>
          </cell>
          <cell r="AN1716">
            <v>81</v>
          </cell>
          <cell r="AO1716">
            <v>86</v>
          </cell>
          <cell r="AP1716">
            <v>0</v>
          </cell>
          <cell r="AQ1716">
            <v>0</v>
          </cell>
          <cell r="AR1716">
            <v>81</v>
          </cell>
          <cell r="BF1716">
            <v>71.400000000000006</v>
          </cell>
          <cell r="BG1716">
            <v>84.966000000000008</v>
          </cell>
          <cell r="BH1716">
            <v>80.494105263157905</v>
          </cell>
          <cell r="BI1716">
            <v>86</v>
          </cell>
          <cell r="BJ1716">
            <v>0</v>
          </cell>
        </row>
        <row r="1717">
          <cell r="D1717" t="str">
            <v>Prešovská univerzita v Prešove</v>
          </cell>
          <cell r="E1717" t="str">
            <v>Pravoslávna bohoslovecká fakulta</v>
          </cell>
          <cell r="AN1717">
            <v>2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24</v>
          </cell>
          <cell r="BJ1717">
            <v>0</v>
          </cell>
        </row>
        <row r="1718">
          <cell r="D1718" t="str">
            <v>Prešovská univerzita v Prešove</v>
          </cell>
          <cell r="E1718" t="str">
            <v>Fakulta športu</v>
          </cell>
          <cell r="AN1718">
            <v>3</v>
          </cell>
          <cell r="AO1718">
            <v>0</v>
          </cell>
          <cell r="AP1718">
            <v>0</v>
          </cell>
          <cell r="AQ1718">
            <v>0</v>
          </cell>
          <cell r="AR1718">
            <v>3</v>
          </cell>
          <cell r="BF1718">
            <v>12</v>
          </cell>
          <cell r="BG1718">
            <v>13.200000000000001</v>
          </cell>
          <cell r="BH1718">
            <v>13.200000000000001</v>
          </cell>
          <cell r="BI1718">
            <v>3</v>
          </cell>
          <cell r="BJ1718">
            <v>3</v>
          </cell>
        </row>
        <row r="1719">
          <cell r="D1719" t="str">
            <v>Prešovská univerzita v Prešove</v>
          </cell>
          <cell r="E1719" t="str">
            <v>Fakulta športu</v>
          </cell>
          <cell r="AN1719">
            <v>59</v>
          </cell>
          <cell r="AO1719">
            <v>68</v>
          </cell>
          <cell r="AP1719">
            <v>0</v>
          </cell>
          <cell r="AQ1719">
            <v>0</v>
          </cell>
          <cell r="AR1719">
            <v>59</v>
          </cell>
          <cell r="BF1719">
            <v>48.8</v>
          </cell>
          <cell r="BG1719">
            <v>58.071999999999996</v>
          </cell>
          <cell r="BH1719">
            <v>58.071999999999996</v>
          </cell>
          <cell r="BI1719">
            <v>68</v>
          </cell>
          <cell r="BJ1719">
            <v>0</v>
          </cell>
        </row>
        <row r="1720">
          <cell r="D1720" t="str">
            <v>Prešovská univerzita v Prešove</v>
          </cell>
          <cell r="E1720" t="str">
            <v>Fakulta športu</v>
          </cell>
          <cell r="AN1720">
            <v>90</v>
          </cell>
          <cell r="AO1720">
            <v>100</v>
          </cell>
          <cell r="AP1720">
            <v>0</v>
          </cell>
          <cell r="AQ1720">
            <v>0</v>
          </cell>
          <cell r="AR1720">
            <v>90</v>
          </cell>
          <cell r="BF1720">
            <v>76.199999999999989</v>
          </cell>
          <cell r="BG1720">
            <v>90.677999999999983</v>
          </cell>
          <cell r="BH1720">
            <v>90.677999999999983</v>
          </cell>
          <cell r="BI1720">
            <v>100</v>
          </cell>
          <cell r="BJ1720">
            <v>0</v>
          </cell>
        </row>
        <row r="1721">
          <cell r="D1721" t="str">
            <v>Prešovská univerzita v Prešove</v>
          </cell>
          <cell r="E1721" t="str">
            <v>Fakulta zdravotníckych odborov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51</v>
          </cell>
          <cell r="BJ1721">
            <v>0</v>
          </cell>
        </row>
        <row r="1722">
          <cell r="D1722" t="str">
            <v>Prešovská univerzita v Prešove</v>
          </cell>
          <cell r="E1722" t="str">
            <v>Fakulta zdravotníckych odborov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133</v>
          </cell>
          <cell r="BJ1722">
            <v>0</v>
          </cell>
        </row>
        <row r="1723">
          <cell r="D1723" t="str">
            <v>Prešovská univerzita v Prešove</v>
          </cell>
          <cell r="E1723" t="str">
            <v>Fakulta zdravotníckych odborov</v>
          </cell>
          <cell r="AN1723">
            <v>98</v>
          </cell>
          <cell r="AO1723">
            <v>110</v>
          </cell>
          <cell r="AP1723">
            <v>0</v>
          </cell>
          <cell r="AQ1723">
            <v>0</v>
          </cell>
          <cell r="AR1723">
            <v>98</v>
          </cell>
          <cell r="BF1723">
            <v>85.4</v>
          </cell>
          <cell r="BG1723">
            <v>183.61</v>
          </cell>
          <cell r="BH1723">
            <v>177.05250000000001</v>
          </cell>
          <cell r="BI1723">
            <v>110</v>
          </cell>
          <cell r="BJ1723">
            <v>0</v>
          </cell>
        </row>
        <row r="1724">
          <cell r="D1724" t="str">
            <v>Prešovská univerzita v Prešove</v>
          </cell>
          <cell r="E1724" t="str">
            <v>Fakulta zdravotníckych odborov</v>
          </cell>
          <cell r="AN1724">
            <v>71</v>
          </cell>
          <cell r="AO1724">
            <v>74</v>
          </cell>
          <cell r="AP1724">
            <v>74</v>
          </cell>
          <cell r="AQ1724">
            <v>0</v>
          </cell>
          <cell r="AR1724">
            <v>71</v>
          </cell>
          <cell r="BF1724">
            <v>61.4</v>
          </cell>
          <cell r="BG1724">
            <v>132.01</v>
          </cell>
          <cell r="BH1724">
            <v>132.01</v>
          </cell>
          <cell r="BI1724">
            <v>74</v>
          </cell>
          <cell r="BJ1724">
            <v>0</v>
          </cell>
        </row>
        <row r="1725">
          <cell r="D1725" t="str">
            <v>Prešovská univerzita v Prešove</v>
          </cell>
          <cell r="E1725" t="str">
            <v>Fakulta zdravotníckych odborov</v>
          </cell>
          <cell r="AN1725">
            <v>82</v>
          </cell>
          <cell r="AO1725">
            <v>92</v>
          </cell>
          <cell r="AP1725">
            <v>0</v>
          </cell>
          <cell r="AQ1725">
            <v>0</v>
          </cell>
          <cell r="AR1725">
            <v>82</v>
          </cell>
          <cell r="BF1725">
            <v>71.8</v>
          </cell>
          <cell r="BG1725">
            <v>154.36999999999998</v>
          </cell>
          <cell r="BH1725">
            <v>142.93518518518516</v>
          </cell>
          <cell r="BI1725">
            <v>92</v>
          </cell>
          <cell r="BJ1725">
            <v>0</v>
          </cell>
        </row>
        <row r="1726">
          <cell r="D1726" t="str">
            <v>Prešovská univerzita v Prešove</v>
          </cell>
          <cell r="E1726" t="str">
            <v>Fakulta zdravotníckych odborov</v>
          </cell>
          <cell r="AN1726">
            <v>98</v>
          </cell>
          <cell r="AO1726">
            <v>110</v>
          </cell>
          <cell r="AP1726">
            <v>0</v>
          </cell>
          <cell r="AQ1726">
            <v>0</v>
          </cell>
          <cell r="AR1726">
            <v>98</v>
          </cell>
          <cell r="BF1726">
            <v>86.3</v>
          </cell>
          <cell r="BG1726">
            <v>185.54499999999999</v>
          </cell>
          <cell r="BH1726">
            <v>176.26774999999998</v>
          </cell>
          <cell r="BI1726">
            <v>110</v>
          </cell>
          <cell r="BJ1726">
            <v>0</v>
          </cell>
        </row>
        <row r="1727">
          <cell r="D1727" t="str">
            <v>Prešovská univerzita v Prešove</v>
          </cell>
          <cell r="E1727" t="str">
            <v>Fakulta zdravotníckych odborov</v>
          </cell>
          <cell r="AN1727">
            <v>279</v>
          </cell>
          <cell r="AO1727">
            <v>291</v>
          </cell>
          <cell r="AP1727">
            <v>291</v>
          </cell>
          <cell r="AQ1727">
            <v>0</v>
          </cell>
          <cell r="AR1727">
            <v>279</v>
          </cell>
          <cell r="BF1727">
            <v>246.6</v>
          </cell>
          <cell r="BG1727">
            <v>530.18999999999994</v>
          </cell>
          <cell r="BH1727">
            <v>530.18999999999994</v>
          </cell>
          <cell r="BI1727">
            <v>291</v>
          </cell>
          <cell r="BJ1727">
            <v>0</v>
          </cell>
        </row>
        <row r="1728">
          <cell r="D1728" t="str">
            <v>Prešovská univerzita v Prešove</v>
          </cell>
          <cell r="E1728">
            <v>0</v>
          </cell>
          <cell r="AN1728">
            <v>6.5</v>
          </cell>
          <cell r="AO1728">
            <v>8</v>
          </cell>
          <cell r="AP1728">
            <v>0</v>
          </cell>
          <cell r="AQ1728">
            <v>0</v>
          </cell>
          <cell r="AR1728">
            <v>6.5</v>
          </cell>
          <cell r="BF1728">
            <v>5.3</v>
          </cell>
          <cell r="BG1728">
            <v>5.7770000000000001</v>
          </cell>
          <cell r="BH1728">
            <v>5.7770000000000001</v>
          </cell>
          <cell r="BI1728">
            <v>8</v>
          </cell>
          <cell r="BJ1728">
            <v>0</v>
          </cell>
        </row>
        <row r="1729">
          <cell r="D1729" t="str">
            <v>Prešovská univerzita v Prešove</v>
          </cell>
          <cell r="E1729" t="str">
            <v>Gréckokatolícka teologická fakulta</v>
          </cell>
          <cell r="AN1729">
            <v>31</v>
          </cell>
          <cell r="AO1729">
            <v>38</v>
          </cell>
          <cell r="AP1729">
            <v>0</v>
          </cell>
          <cell r="AQ1729">
            <v>0</v>
          </cell>
          <cell r="AR1729">
            <v>31</v>
          </cell>
          <cell r="BF1729">
            <v>24.7</v>
          </cell>
          <cell r="BG1729">
            <v>24.7</v>
          </cell>
          <cell r="BH1729">
            <v>22.641666666666666</v>
          </cell>
          <cell r="BI1729">
            <v>38</v>
          </cell>
          <cell r="BJ1729">
            <v>0</v>
          </cell>
        </row>
        <row r="1730">
          <cell r="D1730" t="str">
            <v>Vysoká škola zdravotníctva a sociálnej práce sv. Alžbety v Bratislave, n. o.</v>
          </cell>
          <cell r="E1730">
            <v>0</v>
          </cell>
          <cell r="AN1730">
            <v>97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97</v>
          </cell>
          <cell r="BJ1730">
            <v>0</v>
          </cell>
        </row>
        <row r="1731">
          <cell r="D1731" t="str">
            <v>Vysoká škola zdravotníctva a sociálnej práce sv. Alžbety v Bratislave, n. o.</v>
          </cell>
          <cell r="E1731">
            <v>0</v>
          </cell>
          <cell r="AN1731">
            <v>27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27</v>
          </cell>
          <cell r="BJ1731">
            <v>0</v>
          </cell>
        </row>
        <row r="1732">
          <cell r="D1732" t="str">
            <v>Vysoká škola zdravotníctva a sociálnej práce sv. Alžbety v Bratislave, n. o.</v>
          </cell>
          <cell r="E1732">
            <v>0</v>
          </cell>
          <cell r="AN1732">
            <v>29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29</v>
          </cell>
          <cell r="BJ1732">
            <v>0</v>
          </cell>
        </row>
        <row r="1733">
          <cell r="D1733" t="str">
            <v>Vysoká škola zdravotníctva a sociálnej práce sv. Alžbety v Bratislave, n. o.</v>
          </cell>
          <cell r="E1733">
            <v>0</v>
          </cell>
          <cell r="AN1733">
            <v>71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71</v>
          </cell>
          <cell r="BJ1733">
            <v>0</v>
          </cell>
        </row>
        <row r="1734">
          <cell r="D1734" t="str">
            <v>Vysoká škola zdravotníctva a sociálnej práce sv. Alžbety v Bratislave, n. o.</v>
          </cell>
          <cell r="E1734">
            <v>0</v>
          </cell>
          <cell r="AN1734">
            <v>7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7</v>
          </cell>
          <cell r="BJ1734">
            <v>0</v>
          </cell>
        </row>
        <row r="1735">
          <cell r="D1735" t="str">
            <v>Vysoká škola zdravotníctva a sociálnej práce sv. Alžbety v Bratislave, n. o.</v>
          </cell>
          <cell r="E1735">
            <v>0</v>
          </cell>
          <cell r="AN1735">
            <v>7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7</v>
          </cell>
          <cell r="BJ1735">
            <v>0</v>
          </cell>
        </row>
        <row r="1736">
          <cell r="D1736" t="str">
            <v>Vysoká škola zdravotníctva a sociálnej práce sv. Alžbety v Bratislave, n. o.</v>
          </cell>
          <cell r="E1736">
            <v>0</v>
          </cell>
          <cell r="AN1736">
            <v>12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12</v>
          </cell>
          <cell r="BJ1736">
            <v>0</v>
          </cell>
        </row>
        <row r="1737">
          <cell r="D1737" t="str">
            <v>Vysoká škola zdravotníctva a sociálnej práce sv. Alžbety v Bratislave, n. o.</v>
          </cell>
          <cell r="E1737">
            <v>0</v>
          </cell>
          <cell r="AN1737">
            <v>10</v>
          </cell>
          <cell r="AO1737">
            <v>0</v>
          </cell>
          <cell r="AP1737">
            <v>0</v>
          </cell>
          <cell r="AQ1737">
            <v>0</v>
          </cell>
          <cell r="AR1737">
            <v>10</v>
          </cell>
          <cell r="BF1737">
            <v>40</v>
          </cell>
          <cell r="BG1737">
            <v>85.199999999999989</v>
          </cell>
          <cell r="BH1737">
            <v>85.199999999999989</v>
          </cell>
          <cell r="BI1737">
            <v>10</v>
          </cell>
          <cell r="BJ1737">
            <v>10</v>
          </cell>
        </row>
        <row r="1738">
          <cell r="D1738" t="str">
            <v>Vysoká škola zdravotníctva a sociálnej práce sv. Alžbety v Bratislave, n. o.</v>
          </cell>
          <cell r="E1738">
            <v>0</v>
          </cell>
          <cell r="AN1738">
            <v>2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2</v>
          </cell>
          <cell r="BJ1738">
            <v>0</v>
          </cell>
        </row>
        <row r="1739">
          <cell r="D1739" t="str">
            <v>Technická univerzita v Košiciach</v>
          </cell>
          <cell r="E1739" t="str">
            <v>Fakulta elektrotechniky a informatiky</v>
          </cell>
          <cell r="AN1739">
            <v>51</v>
          </cell>
          <cell r="AO1739">
            <v>57</v>
          </cell>
          <cell r="AP1739">
            <v>57</v>
          </cell>
          <cell r="AQ1739">
            <v>51</v>
          </cell>
          <cell r="AR1739">
            <v>51</v>
          </cell>
          <cell r="BF1739">
            <v>40.5</v>
          </cell>
          <cell r="BG1739">
            <v>59.94</v>
          </cell>
          <cell r="BH1739">
            <v>59.94</v>
          </cell>
          <cell r="BI1739">
            <v>57</v>
          </cell>
          <cell r="BJ1739">
            <v>0</v>
          </cell>
        </row>
        <row r="1740">
          <cell r="D1740" t="str">
            <v>Technická univerzita v Košiciach</v>
          </cell>
          <cell r="E1740" t="str">
            <v>Fakulta elektrotechniky a informatiky</v>
          </cell>
          <cell r="AN1740">
            <v>46</v>
          </cell>
          <cell r="AO1740">
            <v>54</v>
          </cell>
          <cell r="AP1740">
            <v>54</v>
          </cell>
          <cell r="AQ1740">
            <v>46</v>
          </cell>
          <cell r="AR1740">
            <v>46</v>
          </cell>
          <cell r="BF1740">
            <v>37.599999999999994</v>
          </cell>
          <cell r="BG1740">
            <v>55.647999999999989</v>
          </cell>
          <cell r="BH1740">
            <v>55.647999999999989</v>
          </cell>
          <cell r="BI1740">
            <v>54</v>
          </cell>
          <cell r="BJ1740">
            <v>0</v>
          </cell>
        </row>
        <row r="1741">
          <cell r="D1741" t="str">
            <v>Ekonomická univerzita v Bratislave</v>
          </cell>
          <cell r="E1741" t="str">
            <v>Národohospodárska fakulta</v>
          </cell>
          <cell r="AN1741">
            <v>1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1</v>
          </cell>
          <cell r="BJ1741">
            <v>0</v>
          </cell>
        </row>
        <row r="1742">
          <cell r="D1742" t="str">
            <v>Katolícka univerzita v Ružomberku</v>
          </cell>
          <cell r="E1742" t="str">
            <v>Teologická fakulta v Košiciach</v>
          </cell>
          <cell r="AN1742">
            <v>8</v>
          </cell>
          <cell r="AO1742">
            <v>0</v>
          </cell>
          <cell r="AP1742">
            <v>0</v>
          </cell>
          <cell r="AQ1742">
            <v>0</v>
          </cell>
          <cell r="AR1742">
            <v>8</v>
          </cell>
          <cell r="BF1742">
            <v>32</v>
          </cell>
          <cell r="BG1742">
            <v>35.200000000000003</v>
          </cell>
          <cell r="BH1742">
            <v>35.200000000000003</v>
          </cell>
          <cell r="BI1742">
            <v>8</v>
          </cell>
          <cell r="BJ1742">
            <v>8</v>
          </cell>
        </row>
        <row r="1743">
          <cell r="D1743" t="str">
            <v>Univerzita Pavla Jozefa Šafárika v Košiciach</v>
          </cell>
          <cell r="E1743" t="str">
            <v>Filozofická fakulta</v>
          </cell>
          <cell r="AN1743">
            <v>12</v>
          </cell>
          <cell r="AO1743">
            <v>0</v>
          </cell>
          <cell r="AP1743">
            <v>0</v>
          </cell>
          <cell r="AQ1743">
            <v>0</v>
          </cell>
          <cell r="AR1743">
            <v>12</v>
          </cell>
          <cell r="BF1743">
            <v>48</v>
          </cell>
          <cell r="BG1743">
            <v>52.800000000000004</v>
          </cell>
          <cell r="BH1743">
            <v>52.800000000000004</v>
          </cell>
          <cell r="BI1743">
            <v>12</v>
          </cell>
          <cell r="BJ1743">
            <v>12</v>
          </cell>
        </row>
        <row r="1744">
          <cell r="D1744" t="str">
            <v>Univerzita Pavla Jozefa Šafárika v Košiciach</v>
          </cell>
          <cell r="E1744" t="str">
            <v>Filozofická fakulta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9</v>
          </cell>
          <cell r="BJ1744">
            <v>0</v>
          </cell>
        </row>
        <row r="1745">
          <cell r="D1745" t="str">
            <v>Vysoká škola zdravotníctva a sociálnej práce sv. Alžbety v Bratislave, n. o.</v>
          </cell>
          <cell r="E1745">
            <v>0</v>
          </cell>
          <cell r="AN1745">
            <v>1</v>
          </cell>
          <cell r="AO1745">
            <v>0</v>
          </cell>
          <cell r="AP1745">
            <v>0</v>
          </cell>
          <cell r="AQ1745">
            <v>0</v>
          </cell>
          <cell r="AR1745">
            <v>1</v>
          </cell>
          <cell r="BF1745">
            <v>4</v>
          </cell>
          <cell r="BG1745">
            <v>8.52</v>
          </cell>
          <cell r="BH1745">
            <v>8.52</v>
          </cell>
          <cell r="BI1745">
            <v>1</v>
          </cell>
          <cell r="BJ1745">
            <v>1</v>
          </cell>
        </row>
        <row r="1746">
          <cell r="D1746" t="str">
            <v>Univerzita sv. Cyrila a Metoda v Trnave</v>
          </cell>
          <cell r="E1746" t="str">
            <v>Fakulta sociálnych vied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13</v>
          </cell>
          <cell r="BJ1746">
            <v>0</v>
          </cell>
        </row>
        <row r="1747">
          <cell r="D1747" t="str">
            <v>INSTITUT SUPÉRIEUR SPÉCIALISÉ DE LA MODE (MOD´SPÉ Paris)</v>
          </cell>
          <cell r="E1747">
            <v>0</v>
          </cell>
          <cell r="AN1747">
            <v>33</v>
          </cell>
          <cell r="AO1747">
            <v>33</v>
          </cell>
          <cell r="AP1747">
            <v>0</v>
          </cell>
          <cell r="AQ1747">
            <v>0</v>
          </cell>
          <cell r="AR1747">
            <v>33</v>
          </cell>
          <cell r="BF1747">
            <v>29.1</v>
          </cell>
          <cell r="BG1747">
            <v>0</v>
          </cell>
          <cell r="BH1747">
            <v>0</v>
          </cell>
          <cell r="BI1747">
            <v>33</v>
          </cell>
          <cell r="BJ1747">
            <v>0</v>
          </cell>
        </row>
        <row r="1748">
          <cell r="D1748" t="str">
            <v>Vysoká škola Danubius</v>
          </cell>
          <cell r="E1748" t="str">
            <v>Fakulta verejnej politiky a verejnej správy</v>
          </cell>
          <cell r="AN1748">
            <v>90</v>
          </cell>
          <cell r="AO1748">
            <v>90</v>
          </cell>
          <cell r="AP1748">
            <v>0</v>
          </cell>
          <cell r="AQ1748">
            <v>0</v>
          </cell>
          <cell r="AR1748">
            <v>90</v>
          </cell>
          <cell r="BF1748">
            <v>80.099999999999994</v>
          </cell>
          <cell r="BG1748">
            <v>80.099999999999994</v>
          </cell>
          <cell r="BH1748">
            <v>80.099999999999994</v>
          </cell>
          <cell r="BI1748">
            <v>90</v>
          </cell>
          <cell r="BJ1748">
            <v>0</v>
          </cell>
        </row>
        <row r="1749">
          <cell r="D1749" t="str">
            <v>Technická univerzita vo Zvolene</v>
          </cell>
          <cell r="E1749" t="str">
            <v>Drevárska fakulta</v>
          </cell>
          <cell r="AN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BF1749">
            <v>0</v>
          </cell>
          <cell r="BG1749">
            <v>0</v>
          </cell>
          <cell r="BH1749">
            <v>0</v>
          </cell>
          <cell r="BI1749">
            <v>2</v>
          </cell>
          <cell r="BJ1749">
            <v>0</v>
          </cell>
        </row>
        <row r="1750">
          <cell r="D1750" t="str">
            <v>Paneurópska vysoká škola</v>
          </cell>
          <cell r="E1750" t="str">
            <v>Fakulta práva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8</v>
          </cell>
          <cell r="BJ1750">
            <v>0</v>
          </cell>
        </row>
        <row r="1751">
          <cell r="D1751" t="str">
            <v>Paneurópska vysoká škola</v>
          </cell>
          <cell r="E1751" t="str">
            <v>Fakulta práva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111</v>
          </cell>
          <cell r="BJ1751">
            <v>0</v>
          </cell>
        </row>
        <row r="1752">
          <cell r="D1752" t="str">
            <v>Paneurópska vysoká škola</v>
          </cell>
          <cell r="E1752" t="str">
            <v>Fakulta práva</v>
          </cell>
          <cell r="AN1752">
            <v>2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7</v>
          </cell>
          <cell r="BJ1752">
            <v>0</v>
          </cell>
        </row>
        <row r="1753">
          <cell r="D1753" t="str">
            <v>Paneurópska vysoká škola</v>
          </cell>
          <cell r="E1753" t="str">
            <v>Fakulta psychológie</v>
          </cell>
          <cell r="AN1753">
            <v>1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112</v>
          </cell>
          <cell r="BJ1753">
            <v>0</v>
          </cell>
        </row>
        <row r="1754">
          <cell r="D1754" t="str">
            <v>Paneurópska vysoká škola</v>
          </cell>
          <cell r="E1754" t="str">
            <v>Fakulta psychológie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3</v>
          </cell>
          <cell r="BJ1754">
            <v>0</v>
          </cell>
        </row>
        <row r="1755">
          <cell r="D1755" t="str">
            <v>Paneurópska vysoká škola</v>
          </cell>
          <cell r="E1755" t="str">
            <v>Fakulta masmédií</v>
          </cell>
          <cell r="AN1755">
            <v>1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3</v>
          </cell>
          <cell r="BJ1755">
            <v>0</v>
          </cell>
        </row>
        <row r="1756">
          <cell r="D1756" t="str">
            <v>Paneurópska vysoká škola</v>
          </cell>
          <cell r="E1756" t="str">
            <v>Fakulta masmédií</v>
          </cell>
          <cell r="AN1756">
            <v>0</v>
          </cell>
          <cell r="AO1756">
            <v>96</v>
          </cell>
          <cell r="AP1756">
            <v>0</v>
          </cell>
          <cell r="AQ1756">
            <v>0</v>
          </cell>
          <cell r="AR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96</v>
          </cell>
          <cell r="BJ1756">
            <v>0</v>
          </cell>
        </row>
        <row r="1757">
          <cell r="D1757" t="str">
            <v>Paneurópska vysoká škola</v>
          </cell>
          <cell r="E1757" t="str">
            <v>Fakulta ekonómie a podnikania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71</v>
          </cell>
          <cell r="BJ1757">
            <v>0</v>
          </cell>
        </row>
        <row r="1758">
          <cell r="D1758" t="str">
            <v>Paneurópska vysoká škola</v>
          </cell>
          <cell r="E1758" t="str">
            <v>Fakulta psychológie</v>
          </cell>
          <cell r="AN1758">
            <v>3</v>
          </cell>
          <cell r="AO1758">
            <v>160</v>
          </cell>
          <cell r="AP1758">
            <v>0</v>
          </cell>
          <cell r="AQ1758">
            <v>0</v>
          </cell>
          <cell r="AR1758">
            <v>3</v>
          </cell>
          <cell r="BF1758">
            <v>2.0999999999999996</v>
          </cell>
          <cell r="BG1758">
            <v>2.0999999999999996</v>
          </cell>
          <cell r="BH1758">
            <v>2.0999999999999996</v>
          </cell>
          <cell r="BI1758">
            <v>160</v>
          </cell>
          <cell r="BJ1758">
            <v>0</v>
          </cell>
        </row>
        <row r="1759">
          <cell r="D1759" t="str">
            <v>Paneurópska vysoká škola</v>
          </cell>
          <cell r="E1759" t="str">
            <v>Fakulta práva</v>
          </cell>
          <cell r="AN1759">
            <v>2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144</v>
          </cell>
          <cell r="BJ1759">
            <v>0</v>
          </cell>
        </row>
        <row r="1760">
          <cell r="D1760" t="str">
            <v>Univerzita Konštantína Filozofa v Nitre</v>
          </cell>
          <cell r="E1760" t="str">
            <v>Fakulta stredoeurópskych štúdií</v>
          </cell>
          <cell r="AN1760">
            <v>22</v>
          </cell>
          <cell r="AO1760">
            <v>24.5</v>
          </cell>
          <cell r="AP1760">
            <v>0</v>
          </cell>
          <cell r="AQ1760">
            <v>0</v>
          </cell>
          <cell r="AR1760">
            <v>22</v>
          </cell>
          <cell r="BF1760">
            <v>18.100000000000001</v>
          </cell>
          <cell r="BG1760">
            <v>19.729000000000003</v>
          </cell>
          <cell r="BH1760">
            <v>19.729000000000003</v>
          </cell>
          <cell r="BI1760">
            <v>24.5</v>
          </cell>
          <cell r="BJ1760">
            <v>0</v>
          </cell>
        </row>
        <row r="1761">
          <cell r="D1761" t="str">
            <v>Hudobná a umelecká akadémia Jána Albrechta - Banská Štiavnica, s. r. o., odborná vysoká škola</v>
          </cell>
          <cell r="E1761">
            <v>0</v>
          </cell>
          <cell r="AN1761">
            <v>7</v>
          </cell>
          <cell r="AO1761">
            <v>9</v>
          </cell>
          <cell r="AP1761">
            <v>0</v>
          </cell>
          <cell r="AQ1761">
            <v>0</v>
          </cell>
          <cell r="AR1761">
            <v>7</v>
          </cell>
          <cell r="BF1761">
            <v>10.5</v>
          </cell>
          <cell r="BG1761">
            <v>33.914999999999999</v>
          </cell>
          <cell r="BH1761">
            <v>33.914999999999999</v>
          </cell>
          <cell r="BI1761">
            <v>9</v>
          </cell>
          <cell r="BJ1761">
            <v>0</v>
          </cell>
        </row>
        <row r="1762">
          <cell r="D1762" t="str">
            <v>Univerzita Pavla Jozefa Šafárika v Košiciach</v>
          </cell>
          <cell r="E1762" t="str">
            <v>Filozofická fakulta</v>
          </cell>
          <cell r="AN1762">
            <v>3</v>
          </cell>
          <cell r="AO1762">
            <v>5</v>
          </cell>
          <cell r="AP1762">
            <v>0</v>
          </cell>
          <cell r="AQ1762">
            <v>0</v>
          </cell>
          <cell r="AR1762">
            <v>3</v>
          </cell>
          <cell r="BF1762">
            <v>2.0999999999999996</v>
          </cell>
          <cell r="BG1762">
            <v>2.0999999999999996</v>
          </cell>
          <cell r="BH1762">
            <v>2.0999999999999996</v>
          </cell>
          <cell r="BI1762">
            <v>5</v>
          </cell>
          <cell r="BJ1762">
            <v>0</v>
          </cell>
        </row>
        <row r="1763">
          <cell r="D1763" t="str">
            <v>Univerzita Konštantína Filozofa v Nitre</v>
          </cell>
          <cell r="E1763" t="str">
            <v>Filozofická fakulta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31</v>
          </cell>
          <cell r="BJ1763">
            <v>0</v>
          </cell>
        </row>
        <row r="1764">
          <cell r="D1764" t="str">
            <v>Univerzita Konštantína Filozofa v Nitre</v>
          </cell>
          <cell r="E1764" t="str">
            <v>Filozofická fakulta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3</v>
          </cell>
          <cell r="BJ1764">
            <v>0</v>
          </cell>
        </row>
        <row r="1765">
          <cell r="D1765" t="str">
            <v>Univerzita Konštantína Filozofa v Nitre</v>
          </cell>
          <cell r="E1765" t="str">
            <v>Filozofická fakulta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9</v>
          </cell>
          <cell r="BJ1765">
            <v>0</v>
          </cell>
        </row>
        <row r="1766">
          <cell r="D1766" t="str">
            <v>Univerzita Konštantína Filozofa v Nitre</v>
          </cell>
          <cell r="E1766" t="str">
            <v>Filozofická fakulta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2</v>
          </cell>
          <cell r="BJ1766">
            <v>0</v>
          </cell>
        </row>
        <row r="1767">
          <cell r="D1767" t="str">
            <v>Univerzita Konštantína Filozofa v Nitre</v>
          </cell>
          <cell r="E1767" t="str">
            <v>Filozofická fakulta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46</v>
          </cell>
          <cell r="BJ1767">
            <v>0</v>
          </cell>
        </row>
        <row r="1768">
          <cell r="D1768" t="str">
            <v>Univerzita Konštantína Filozofa v Nitre</v>
          </cell>
          <cell r="E1768" t="str">
            <v>Filozofická fakulta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6</v>
          </cell>
          <cell r="BJ1768">
            <v>0</v>
          </cell>
        </row>
        <row r="1769">
          <cell r="D1769" t="str">
            <v>Univerzita Konštantína Filozofa v Nitre</v>
          </cell>
          <cell r="E1769" t="str">
            <v>Filozofická fakulta</v>
          </cell>
          <cell r="AN1769">
            <v>6</v>
          </cell>
          <cell r="AO1769">
            <v>7</v>
          </cell>
          <cell r="AP1769">
            <v>0</v>
          </cell>
          <cell r="AQ1769">
            <v>0</v>
          </cell>
          <cell r="AR1769">
            <v>6</v>
          </cell>
          <cell r="BF1769">
            <v>5.0999999999999996</v>
          </cell>
          <cell r="BG1769">
            <v>5.0999999999999996</v>
          </cell>
          <cell r="BH1769">
            <v>4.2339622641509429</v>
          </cell>
          <cell r="BI1769">
            <v>7</v>
          </cell>
          <cell r="BJ1769">
            <v>0</v>
          </cell>
        </row>
        <row r="1770">
          <cell r="D1770" t="str">
            <v>Univerzita Konštantína Filozofa v Nitre</v>
          </cell>
          <cell r="E1770" t="str">
            <v>Filozofická fakulta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2</v>
          </cell>
          <cell r="BJ1770">
            <v>0</v>
          </cell>
        </row>
        <row r="1771">
          <cell r="D1771" t="str">
            <v>Univerzita Konštantína Filozofa v Nitre</v>
          </cell>
          <cell r="E1771" t="str">
            <v>Filozofická fakulta</v>
          </cell>
          <cell r="AN1771">
            <v>16</v>
          </cell>
          <cell r="AO1771">
            <v>19.5</v>
          </cell>
          <cell r="AP1771">
            <v>0</v>
          </cell>
          <cell r="AQ1771">
            <v>0</v>
          </cell>
          <cell r="AR1771">
            <v>16</v>
          </cell>
          <cell r="BF1771">
            <v>24</v>
          </cell>
          <cell r="BG1771">
            <v>26.160000000000004</v>
          </cell>
          <cell r="BH1771">
            <v>24.970909090909096</v>
          </cell>
          <cell r="BI1771">
            <v>19.5</v>
          </cell>
          <cell r="BJ1771">
            <v>0</v>
          </cell>
        </row>
        <row r="1772">
          <cell r="D1772" t="str">
            <v>Univerzita Konštantína Filozofa v Nitre</v>
          </cell>
          <cell r="E1772" t="str">
            <v>Filozofická fakulta</v>
          </cell>
          <cell r="AN1772">
            <v>3</v>
          </cell>
          <cell r="AO1772">
            <v>0</v>
          </cell>
          <cell r="AP1772">
            <v>0</v>
          </cell>
          <cell r="AQ1772">
            <v>0</v>
          </cell>
          <cell r="AR1772">
            <v>3</v>
          </cell>
          <cell r="BF1772">
            <v>12</v>
          </cell>
          <cell r="BG1772">
            <v>13.200000000000001</v>
          </cell>
          <cell r="BH1772">
            <v>13.200000000000001</v>
          </cell>
          <cell r="BI1772">
            <v>3</v>
          </cell>
          <cell r="BJ1772">
            <v>3</v>
          </cell>
        </row>
        <row r="1773">
          <cell r="D1773" t="str">
            <v>Univerzita Konštantína Filozofa v Nitre</v>
          </cell>
          <cell r="E1773" t="str">
            <v>Filozofická fakulta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24</v>
          </cell>
          <cell r="BJ1773">
            <v>0</v>
          </cell>
        </row>
        <row r="1774">
          <cell r="D1774" t="str">
            <v>Univerzita Konštantína Filozofa v Nitre</v>
          </cell>
          <cell r="E1774" t="str">
            <v>Filozofická fakulta</v>
          </cell>
          <cell r="AN1774">
            <v>3</v>
          </cell>
          <cell r="AO1774">
            <v>0</v>
          </cell>
          <cell r="AP1774">
            <v>0</v>
          </cell>
          <cell r="AQ1774">
            <v>0</v>
          </cell>
          <cell r="AR1774">
            <v>3</v>
          </cell>
          <cell r="BF1774">
            <v>12</v>
          </cell>
          <cell r="BG1774">
            <v>13.200000000000001</v>
          </cell>
          <cell r="BH1774">
            <v>13.200000000000001</v>
          </cell>
          <cell r="BI1774">
            <v>4</v>
          </cell>
          <cell r="BJ1774">
            <v>3</v>
          </cell>
        </row>
        <row r="1775">
          <cell r="D1775" t="str">
            <v>Univerzita Konštantína Filozofa v Nitre</v>
          </cell>
          <cell r="E1775" t="str">
            <v>Filozofická fakulta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11</v>
          </cell>
          <cell r="BJ1775">
            <v>0</v>
          </cell>
        </row>
        <row r="1776">
          <cell r="D1776" t="str">
            <v>Univerzita Konštantína Filozofa v Nitre</v>
          </cell>
          <cell r="E1776" t="str">
            <v>Filozofická fakulta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8.5</v>
          </cell>
          <cell r="BJ1776">
            <v>0</v>
          </cell>
        </row>
        <row r="1777">
          <cell r="D1777" t="str">
            <v>Univerzita Konštantína Filozofa v Nitre</v>
          </cell>
          <cell r="E1777" t="str">
            <v>Filozofická fakulta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5</v>
          </cell>
          <cell r="BJ1777">
            <v>0</v>
          </cell>
        </row>
        <row r="1778">
          <cell r="D1778" t="str">
            <v>Univerzita Konštantína Filozofa v Nitre</v>
          </cell>
          <cell r="E1778" t="str">
            <v>Filozofická fakulta</v>
          </cell>
          <cell r="AN1778">
            <v>3</v>
          </cell>
          <cell r="AO1778">
            <v>6</v>
          </cell>
          <cell r="AP1778">
            <v>0</v>
          </cell>
          <cell r="AQ1778">
            <v>0</v>
          </cell>
          <cell r="AR1778">
            <v>3</v>
          </cell>
          <cell r="BF1778">
            <v>2.4</v>
          </cell>
          <cell r="BG1778">
            <v>2.4</v>
          </cell>
          <cell r="BH1778">
            <v>2.4</v>
          </cell>
          <cell r="BI1778">
            <v>6</v>
          </cell>
          <cell r="BJ1778">
            <v>0</v>
          </cell>
        </row>
        <row r="1779">
          <cell r="D1779" t="str">
            <v>Univerzita Konštantína Filozofa v Nitre</v>
          </cell>
          <cell r="E1779" t="str">
            <v>Filozofická fakulta</v>
          </cell>
          <cell r="AN1779">
            <v>4</v>
          </cell>
          <cell r="AO1779">
            <v>0</v>
          </cell>
          <cell r="AP1779">
            <v>0</v>
          </cell>
          <cell r="AQ1779">
            <v>0</v>
          </cell>
          <cell r="AR1779">
            <v>4</v>
          </cell>
          <cell r="BF1779">
            <v>16</v>
          </cell>
          <cell r="BG1779">
            <v>17.600000000000001</v>
          </cell>
          <cell r="BH1779">
            <v>17.600000000000001</v>
          </cell>
          <cell r="BI1779">
            <v>4</v>
          </cell>
          <cell r="BJ1779">
            <v>4</v>
          </cell>
        </row>
        <row r="1780">
          <cell r="D1780" t="str">
            <v>Univerzita Konštantína Filozofa v Nitre</v>
          </cell>
          <cell r="E1780" t="str">
            <v>Filozofická fakulta</v>
          </cell>
          <cell r="AN1780">
            <v>3</v>
          </cell>
          <cell r="AO1780">
            <v>0</v>
          </cell>
          <cell r="AP1780">
            <v>0</v>
          </cell>
          <cell r="AQ1780">
            <v>0</v>
          </cell>
          <cell r="AR1780">
            <v>3</v>
          </cell>
          <cell r="BF1780">
            <v>12</v>
          </cell>
          <cell r="BG1780">
            <v>13.200000000000001</v>
          </cell>
          <cell r="BH1780">
            <v>13.200000000000001</v>
          </cell>
          <cell r="BI1780">
            <v>3</v>
          </cell>
          <cell r="BJ1780">
            <v>3</v>
          </cell>
        </row>
        <row r="1781">
          <cell r="D1781" t="str">
            <v>Univerzita Konštantína Filozofa v Nitre</v>
          </cell>
          <cell r="E1781" t="str">
            <v>Filozofická fakulta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BF1781">
            <v>0</v>
          </cell>
          <cell r="BG1781">
            <v>0</v>
          </cell>
          <cell r="BH1781">
            <v>0</v>
          </cell>
          <cell r="BI1781">
            <v>2</v>
          </cell>
          <cell r="BJ1781">
            <v>0</v>
          </cell>
        </row>
        <row r="1782">
          <cell r="D1782" t="str">
            <v>Univerzita Konštantína Filozofa v Nitre</v>
          </cell>
          <cell r="E1782" t="str">
            <v>Filozofická fakulta</v>
          </cell>
          <cell r="AN1782">
            <v>2</v>
          </cell>
          <cell r="AO1782">
            <v>0</v>
          </cell>
          <cell r="AP1782">
            <v>0</v>
          </cell>
          <cell r="AQ1782">
            <v>0</v>
          </cell>
          <cell r="AR1782">
            <v>2</v>
          </cell>
          <cell r="BF1782">
            <v>8</v>
          </cell>
          <cell r="BG1782">
            <v>8.8000000000000007</v>
          </cell>
          <cell r="BH1782">
            <v>8.8000000000000007</v>
          </cell>
          <cell r="BI1782">
            <v>2</v>
          </cell>
          <cell r="BJ1782">
            <v>2</v>
          </cell>
        </row>
        <row r="1783">
          <cell r="D1783" t="str">
            <v>Univerzita Konštantína Filozofa v Nitre</v>
          </cell>
          <cell r="E1783" t="str">
            <v>Filozofická fakulta</v>
          </cell>
          <cell r="AN1783">
            <v>3</v>
          </cell>
          <cell r="AO1783">
            <v>0</v>
          </cell>
          <cell r="AP1783">
            <v>0</v>
          </cell>
          <cell r="AQ1783">
            <v>0</v>
          </cell>
          <cell r="AR1783">
            <v>3</v>
          </cell>
          <cell r="BF1783">
            <v>12</v>
          </cell>
          <cell r="BG1783">
            <v>13.200000000000001</v>
          </cell>
          <cell r="BH1783">
            <v>13.200000000000001</v>
          </cell>
          <cell r="BI1783">
            <v>3</v>
          </cell>
          <cell r="BJ1783">
            <v>3</v>
          </cell>
        </row>
        <row r="1784">
          <cell r="D1784" t="str">
            <v>Univerzita Konštantína Filozofa v Nitre</v>
          </cell>
          <cell r="E1784" t="str">
            <v>Filozofická fakulta</v>
          </cell>
          <cell r="AN1784">
            <v>3</v>
          </cell>
          <cell r="AO1784">
            <v>0</v>
          </cell>
          <cell r="AP1784">
            <v>0</v>
          </cell>
          <cell r="AQ1784">
            <v>0</v>
          </cell>
          <cell r="AR1784">
            <v>3</v>
          </cell>
          <cell r="BF1784">
            <v>12</v>
          </cell>
          <cell r="BG1784">
            <v>13.200000000000001</v>
          </cell>
          <cell r="BH1784">
            <v>13.200000000000001</v>
          </cell>
          <cell r="BI1784">
            <v>3</v>
          </cell>
          <cell r="BJ1784">
            <v>3</v>
          </cell>
        </row>
        <row r="1785">
          <cell r="D1785" t="str">
            <v>Univerzita Konštantína Filozofa v Nitre</v>
          </cell>
          <cell r="E1785" t="str">
            <v>Filozofická fakulta</v>
          </cell>
          <cell r="AN1785">
            <v>11.5</v>
          </cell>
          <cell r="AO1785">
            <v>12</v>
          </cell>
          <cell r="AP1785">
            <v>0</v>
          </cell>
          <cell r="AQ1785">
            <v>0</v>
          </cell>
          <cell r="AR1785">
            <v>11.5</v>
          </cell>
          <cell r="BF1785">
            <v>9.5500000000000007</v>
          </cell>
          <cell r="BG1785">
            <v>10.409500000000001</v>
          </cell>
          <cell r="BH1785">
            <v>10.409500000000001</v>
          </cell>
          <cell r="BI1785">
            <v>12</v>
          </cell>
          <cell r="BJ1785">
            <v>0</v>
          </cell>
        </row>
        <row r="1786">
          <cell r="D1786" t="str">
            <v>Univerzita Konštantína Filozofa v Nitre</v>
          </cell>
          <cell r="E1786" t="str">
            <v>Filozofická fakulta</v>
          </cell>
          <cell r="AN1786">
            <v>34</v>
          </cell>
          <cell r="AO1786">
            <v>37</v>
          </cell>
          <cell r="AP1786">
            <v>0</v>
          </cell>
          <cell r="AQ1786">
            <v>0</v>
          </cell>
          <cell r="AR1786">
            <v>34</v>
          </cell>
          <cell r="BF1786">
            <v>51</v>
          </cell>
          <cell r="BG1786">
            <v>53.04</v>
          </cell>
          <cell r="BH1786">
            <v>44.2</v>
          </cell>
          <cell r="BI1786">
            <v>37</v>
          </cell>
          <cell r="BJ1786">
            <v>0</v>
          </cell>
        </row>
        <row r="1787">
          <cell r="D1787" t="str">
            <v>Univerzita Konštantína Filozofa v Nitre</v>
          </cell>
          <cell r="E1787" t="str">
            <v>Filozofická fakulta</v>
          </cell>
          <cell r="AN1787">
            <v>14.5</v>
          </cell>
          <cell r="AO1787">
            <v>17.5</v>
          </cell>
          <cell r="AP1787">
            <v>0</v>
          </cell>
          <cell r="AQ1787">
            <v>0</v>
          </cell>
          <cell r="AR1787">
            <v>14.5</v>
          </cell>
          <cell r="BF1787">
            <v>21.75</v>
          </cell>
          <cell r="BG1787">
            <v>23.707500000000003</v>
          </cell>
          <cell r="BH1787">
            <v>22.127000000000002</v>
          </cell>
          <cell r="BI1787">
            <v>17.5</v>
          </cell>
          <cell r="BJ1787">
            <v>0</v>
          </cell>
        </row>
        <row r="1788">
          <cell r="D1788" t="str">
            <v>Univerzita Konštantína Filozofa v Nitre</v>
          </cell>
          <cell r="E1788" t="str">
            <v>Filozofická fakulta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BF1788">
            <v>0</v>
          </cell>
          <cell r="BG1788">
            <v>0</v>
          </cell>
          <cell r="BH1788">
            <v>0</v>
          </cell>
          <cell r="BI1788">
            <v>4</v>
          </cell>
          <cell r="BJ1788">
            <v>0</v>
          </cell>
        </row>
        <row r="1789">
          <cell r="D1789" t="str">
            <v>Univerzita Konštantína Filozofa v Nitre</v>
          </cell>
          <cell r="E1789" t="str">
            <v>Filozofická fakulta</v>
          </cell>
          <cell r="AN1789">
            <v>6.5</v>
          </cell>
          <cell r="AO1789">
            <v>7</v>
          </cell>
          <cell r="AP1789">
            <v>0</v>
          </cell>
          <cell r="AQ1789">
            <v>0</v>
          </cell>
          <cell r="AR1789">
            <v>6.5</v>
          </cell>
          <cell r="BF1789">
            <v>9.75</v>
          </cell>
          <cell r="BG1789">
            <v>10.627500000000001</v>
          </cell>
          <cell r="BH1789">
            <v>10.627500000000001</v>
          </cell>
          <cell r="BI1789">
            <v>7</v>
          </cell>
          <cell r="BJ1789">
            <v>0</v>
          </cell>
        </row>
        <row r="1790">
          <cell r="D1790" t="str">
            <v>Univerzita Konštantína Filozofa v Nitre</v>
          </cell>
          <cell r="E1790" t="str">
            <v>Filozofická fakulta</v>
          </cell>
          <cell r="AN1790">
            <v>7</v>
          </cell>
          <cell r="AO1790">
            <v>8</v>
          </cell>
          <cell r="AP1790">
            <v>0</v>
          </cell>
          <cell r="AQ1790">
            <v>0</v>
          </cell>
          <cell r="AR1790">
            <v>7</v>
          </cell>
          <cell r="BF1790">
            <v>10.5</v>
          </cell>
          <cell r="BG1790">
            <v>11.445</v>
          </cell>
          <cell r="BH1790">
            <v>0</v>
          </cell>
          <cell r="BI1790">
            <v>8</v>
          </cell>
          <cell r="BJ1790">
            <v>0</v>
          </cell>
        </row>
        <row r="1791">
          <cell r="D1791" t="str">
            <v>Univerzita Konštantína Filozofa v Nitre</v>
          </cell>
          <cell r="E1791" t="str">
            <v>Filozofická fakulta</v>
          </cell>
          <cell r="AN1791">
            <v>6</v>
          </cell>
          <cell r="AO1791">
            <v>6.5</v>
          </cell>
          <cell r="AP1791">
            <v>0</v>
          </cell>
          <cell r="AQ1791">
            <v>0</v>
          </cell>
          <cell r="AR1791">
            <v>6</v>
          </cell>
          <cell r="BF1791">
            <v>5.0999999999999996</v>
          </cell>
          <cell r="BG1791">
            <v>5.5590000000000002</v>
          </cell>
          <cell r="BH1791">
            <v>5.5590000000000002</v>
          </cell>
          <cell r="BI1791">
            <v>6.5</v>
          </cell>
          <cell r="BJ1791">
            <v>0</v>
          </cell>
        </row>
        <row r="1792">
          <cell r="D1792" t="str">
            <v>Univerzita Konštantína Filozofa v Nitre</v>
          </cell>
          <cell r="E1792" t="str">
            <v>Filozofická fakulta</v>
          </cell>
          <cell r="AN1792">
            <v>15</v>
          </cell>
          <cell r="AO1792">
            <v>17</v>
          </cell>
          <cell r="AP1792">
            <v>0</v>
          </cell>
          <cell r="AQ1792">
            <v>0</v>
          </cell>
          <cell r="AR1792">
            <v>15</v>
          </cell>
          <cell r="BF1792">
            <v>22.5</v>
          </cell>
          <cell r="BG1792">
            <v>23.400000000000002</v>
          </cell>
          <cell r="BH1792">
            <v>23.400000000000002</v>
          </cell>
          <cell r="BI1792">
            <v>17</v>
          </cell>
          <cell r="BJ1792">
            <v>0</v>
          </cell>
        </row>
        <row r="1793">
          <cell r="D1793" t="str">
            <v>Univerzita Konštantína Filozofa v Nitre</v>
          </cell>
          <cell r="E1793" t="str">
            <v>Filozofická fakulta</v>
          </cell>
          <cell r="AN1793">
            <v>36</v>
          </cell>
          <cell r="AO1793">
            <v>38</v>
          </cell>
          <cell r="AP1793">
            <v>0</v>
          </cell>
          <cell r="AQ1793">
            <v>0</v>
          </cell>
          <cell r="AR1793">
            <v>36</v>
          </cell>
          <cell r="BF1793">
            <v>54</v>
          </cell>
          <cell r="BG1793">
            <v>64.259999999999991</v>
          </cell>
          <cell r="BH1793">
            <v>57.11999999999999</v>
          </cell>
          <cell r="BI1793">
            <v>38</v>
          </cell>
          <cell r="BJ1793">
            <v>0</v>
          </cell>
        </row>
        <row r="1794">
          <cell r="D1794" t="str">
            <v>Univerzita Konštantína Filozofa v Nitre</v>
          </cell>
          <cell r="E1794" t="str">
            <v>Filozofická fakulta</v>
          </cell>
          <cell r="AN1794">
            <v>29.5</v>
          </cell>
          <cell r="AO1794">
            <v>32</v>
          </cell>
          <cell r="AP1794">
            <v>0</v>
          </cell>
          <cell r="AQ1794">
            <v>0</v>
          </cell>
          <cell r="AR1794">
            <v>29.5</v>
          </cell>
          <cell r="BF1794">
            <v>44.25</v>
          </cell>
          <cell r="BG1794">
            <v>48.232500000000002</v>
          </cell>
          <cell r="BH1794">
            <v>44.522307692307699</v>
          </cell>
          <cell r="BI1794">
            <v>32</v>
          </cell>
          <cell r="BJ1794">
            <v>0</v>
          </cell>
        </row>
        <row r="1795">
          <cell r="D1795" t="str">
            <v>Univerzita Konštantína Filozofa v Nitre</v>
          </cell>
          <cell r="E1795" t="str">
            <v>Filozofická fakulta</v>
          </cell>
          <cell r="AN1795">
            <v>4.5</v>
          </cell>
          <cell r="AO1795">
            <v>5</v>
          </cell>
          <cell r="AP1795">
            <v>0</v>
          </cell>
          <cell r="AQ1795">
            <v>0</v>
          </cell>
          <cell r="AR1795">
            <v>4.5</v>
          </cell>
          <cell r="BF1795">
            <v>6.75</v>
          </cell>
          <cell r="BG1795">
            <v>7.3575000000000008</v>
          </cell>
          <cell r="BH1795">
            <v>7.3575000000000008</v>
          </cell>
          <cell r="BI1795">
            <v>5</v>
          </cell>
          <cell r="BJ1795">
            <v>0</v>
          </cell>
        </row>
        <row r="1796">
          <cell r="D1796" t="str">
            <v>Univerzita Konštantína Filozofa v Nitre</v>
          </cell>
          <cell r="E1796" t="str">
            <v>Filozofická fakulta</v>
          </cell>
          <cell r="AN1796">
            <v>13</v>
          </cell>
          <cell r="AO1796">
            <v>14</v>
          </cell>
          <cell r="AP1796">
            <v>0</v>
          </cell>
          <cell r="AQ1796">
            <v>0</v>
          </cell>
          <cell r="AR1796">
            <v>13</v>
          </cell>
          <cell r="BF1796">
            <v>19.5</v>
          </cell>
          <cell r="BG1796">
            <v>19.5</v>
          </cell>
          <cell r="BH1796">
            <v>15.600000000000001</v>
          </cell>
          <cell r="BI1796">
            <v>14</v>
          </cell>
          <cell r="BJ1796">
            <v>0</v>
          </cell>
        </row>
        <row r="1797">
          <cell r="D1797" t="str">
            <v>Univerzita Konštantína Filozofa v Nitre</v>
          </cell>
          <cell r="E1797" t="str">
            <v>Filozofická fakulta</v>
          </cell>
          <cell r="AN1797">
            <v>40</v>
          </cell>
          <cell r="AO1797">
            <v>41</v>
          </cell>
          <cell r="AP1797">
            <v>0</v>
          </cell>
          <cell r="AQ1797">
            <v>0</v>
          </cell>
          <cell r="AR1797">
            <v>40</v>
          </cell>
          <cell r="BF1797">
            <v>60</v>
          </cell>
          <cell r="BG1797">
            <v>71.399999999999991</v>
          </cell>
          <cell r="BH1797">
            <v>59.821621621621617</v>
          </cell>
          <cell r="BI1797">
            <v>41</v>
          </cell>
          <cell r="BJ1797">
            <v>0</v>
          </cell>
        </row>
        <row r="1798">
          <cell r="D1798" t="str">
            <v>Univerzita Konštantína Filozofa v Nitre</v>
          </cell>
          <cell r="E1798" t="str">
            <v>Filozofická fakulta</v>
          </cell>
          <cell r="AN1798">
            <v>49</v>
          </cell>
          <cell r="AO1798">
            <v>50</v>
          </cell>
          <cell r="AP1798">
            <v>0</v>
          </cell>
          <cell r="AQ1798">
            <v>0</v>
          </cell>
          <cell r="AR1798">
            <v>49</v>
          </cell>
          <cell r="BF1798">
            <v>73.5</v>
          </cell>
          <cell r="BG1798">
            <v>87.464999999999989</v>
          </cell>
          <cell r="BH1798">
            <v>76.531874999999985</v>
          </cell>
          <cell r="BI1798">
            <v>50</v>
          </cell>
          <cell r="BJ1798">
            <v>0</v>
          </cell>
        </row>
        <row r="1799">
          <cell r="D1799" t="str">
            <v>Univerzita Konštantína Filozofa v Nitre</v>
          </cell>
          <cell r="E1799" t="str">
            <v>Filozofická fakulta</v>
          </cell>
          <cell r="AN1799">
            <v>30</v>
          </cell>
          <cell r="AO1799">
            <v>32</v>
          </cell>
          <cell r="AP1799">
            <v>0</v>
          </cell>
          <cell r="AQ1799">
            <v>0</v>
          </cell>
          <cell r="AR1799">
            <v>30</v>
          </cell>
          <cell r="BF1799">
            <v>25.5</v>
          </cell>
          <cell r="BG1799">
            <v>25.5</v>
          </cell>
          <cell r="BH1799">
            <v>21.982758620689655</v>
          </cell>
          <cell r="BI1799">
            <v>32</v>
          </cell>
          <cell r="BJ1799">
            <v>0</v>
          </cell>
        </row>
        <row r="1800">
          <cell r="D1800" t="str">
            <v>Univerzita Konštantína Filozofa v Nitre</v>
          </cell>
          <cell r="E1800" t="str">
            <v>Filozofická fakulta</v>
          </cell>
          <cell r="AN1800">
            <v>17</v>
          </cell>
          <cell r="AO1800">
            <v>21</v>
          </cell>
          <cell r="AP1800">
            <v>0</v>
          </cell>
          <cell r="AQ1800">
            <v>0</v>
          </cell>
          <cell r="AR1800">
            <v>17</v>
          </cell>
          <cell r="BF1800">
            <v>14.3</v>
          </cell>
          <cell r="BG1800">
            <v>14.3</v>
          </cell>
          <cell r="BH1800">
            <v>14.3</v>
          </cell>
          <cell r="BI1800">
            <v>21</v>
          </cell>
          <cell r="BJ1800">
            <v>0</v>
          </cell>
        </row>
        <row r="1801">
          <cell r="D1801" t="str">
            <v>Univerzita Konštantína Filozofa v Nitre</v>
          </cell>
          <cell r="E1801" t="str">
            <v>Filozofická fakulta</v>
          </cell>
          <cell r="AN1801">
            <v>4</v>
          </cell>
          <cell r="AO1801">
            <v>6</v>
          </cell>
          <cell r="AP1801">
            <v>0</v>
          </cell>
          <cell r="AQ1801">
            <v>0</v>
          </cell>
          <cell r="AR1801">
            <v>4</v>
          </cell>
          <cell r="BF1801">
            <v>4</v>
          </cell>
          <cell r="BG1801">
            <v>4.76</v>
          </cell>
          <cell r="BH1801">
            <v>4.76</v>
          </cell>
          <cell r="BI1801">
            <v>6</v>
          </cell>
          <cell r="BJ1801">
            <v>0</v>
          </cell>
        </row>
        <row r="1802">
          <cell r="D1802" t="str">
            <v>Univerzita Konštantína Filozofa v Nitre</v>
          </cell>
          <cell r="E1802" t="str">
            <v>Filozofická fakulta</v>
          </cell>
          <cell r="AN1802">
            <v>87</v>
          </cell>
          <cell r="AO1802">
            <v>90</v>
          </cell>
          <cell r="AP1802">
            <v>0</v>
          </cell>
          <cell r="AQ1802">
            <v>0</v>
          </cell>
          <cell r="AR1802">
            <v>87</v>
          </cell>
          <cell r="BF1802">
            <v>76.5</v>
          </cell>
          <cell r="BG1802">
            <v>79.56</v>
          </cell>
          <cell r="BH1802">
            <v>75.943636363636372</v>
          </cell>
          <cell r="BI1802">
            <v>90</v>
          </cell>
          <cell r="BJ1802">
            <v>0</v>
          </cell>
        </row>
        <row r="1803">
          <cell r="D1803" t="str">
            <v>Univerzita Konštantína Filozofa v Nitre</v>
          </cell>
          <cell r="E1803" t="str">
            <v>Filozofická fakulta</v>
          </cell>
          <cell r="AN1803">
            <v>19</v>
          </cell>
          <cell r="AO1803">
            <v>22</v>
          </cell>
          <cell r="AP1803">
            <v>0</v>
          </cell>
          <cell r="AQ1803">
            <v>0</v>
          </cell>
          <cell r="AR1803">
            <v>19</v>
          </cell>
          <cell r="BF1803">
            <v>15.399999999999999</v>
          </cell>
          <cell r="BG1803">
            <v>15.399999999999999</v>
          </cell>
          <cell r="BH1803">
            <v>15.399999999999999</v>
          </cell>
          <cell r="BI1803">
            <v>22</v>
          </cell>
          <cell r="BJ1803">
            <v>0</v>
          </cell>
        </row>
        <row r="1804">
          <cell r="D1804" t="str">
            <v>Univerzita Konštantína Filozofa v Nitre</v>
          </cell>
          <cell r="E1804" t="str">
            <v>Filozofická fakulta</v>
          </cell>
          <cell r="AN1804">
            <v>22</v>
          </cell>
          <cell r="AO1804">
            <v>25</v>
          </cell>
          <cell r="AP1804">
            <v>0</v>
          </cell>
          <cell r="AQ1804">
            <v>0</v>
          </cell>
          <cell r="AR1804">
            <v>22</v>
          </cell>
          <cell r="BF1804">
            <v>17.5</v>
          </cell>
          <cell r="BG1804">
            <v>17.5</v>
          </cell>
          <cell r="BH1804">
            <v>17.5</v>
          </cell>
          <cell r="BI1804">
            <v>25</v>
          </cell>
          <cell r="BJ1804">
            <v>0</v>
          </cell>
        </row>
        <row r="1805">
          <cell r="D1805" t="str">
            <v>Univerzita Konštantína Filozofa v Nitre</v>
          </cell>
          <cell r="E1805" t="str">
            <v>Filozofická fakulta</v>
          </cell>
          <cell r="AN1805">
            <v>19</v>
          </cell>
          <cell r="AO1805">
            <v>24</v>
          </cell>
          <cell r="AP1805">
            <v>0</v>
          </cell>
          <cell r="AQ1805">
            <v>0</v>
          </cell>
          <cell r="AR1805">
            <v>19</v>
          </cell>
          <cell r="BF1805">
            <v>15.1</v>
          </cell>
          <cell r="BG1805">
            <v>15.1</v>
          </cell>
          <cell r="BH1805">
            <v>11.324999999999999</v>
          </cell>
          <cell r="BI1805">
            <v>24</v>
          </cell>
          <cell r="BJ1805">
            <v>0</v>
          </cell>
        </row>
        <row r="1806">
          <cell r="D1806" t="str">
            <v>Univerzita Konštantína Filozofa v Nitre</v>
          </cell>
          <cell r="E1806" t="str">
            <v>Filozofická fakulta</v>
          </cell>
          <cell r="AN1806">
            <v>3</v>
          </cell>
          <cell r="AO1806">
            <v>3</v>
          </cell>
          <cell r="AP1806">
            <v>0</v>
          </cell>
          <cell r="AQ1806">
            <v>0</v>
          </cell>
          <cell r="AR1806">
            <v>3</v>
          </cell>
          <cell r="BF1806">
            <v>2.7</v>
          </cell>
          <cell r="BG1806">
            <v>2.9430000000000005</v>
          </cell>
          <cell r="BH1806">
            <v>2.9430000000000005</v>
          </cell>
          <cell r="BI1806">
            <v>3</v>
          </cell>
          <cell r="BJ1806">
            <v>0</v>
          </cell>
        </row>
        <row r="1807">
          <cell r="D1807" t="str">
            <v>Univerzita Konštantína Filozofa v Nitre</v>
          </cell>
          <cell r="E1807" t="str">
            <v>Filozofická fakulta</v>
          </cell>
          <cell r="AN1807">
            <v>8</v>
          </cell>
          <cell r="AO1807">
            <v>8.5</v>
          </cell>
          <cell r="AP1807">
            <v>0</v>
          </cell>
          <cell r="AQ1807">
            <v>0</v>
          </cell>
          <cell r="AR1807">
            <v>8</v>
          </cell>
          <cell r="BF1807">
            <v>7.1</v>
          </cell>
          <cell r="BG1807">
            <v>10.649999999999999</v>
          </cell>
          <cell r="BH1807">
            <v>10.649999999999999</v>
          </cell>
          <cell r="BI1807">
            <v>8.5</v>
          </cell>
          <cell r="BJ1807">
            <v>0</v>
          </cell>
        </row>
        <row r="1808">
          <cell r="D1808" t="str">
            <v>Univerzita Konštantína Filozofa v Nitre</v>
          </cell>
          <cell r="E1808" t="str">
            <v>Filozofická fakulta</v>
          </cell>
          <cell r="AN1808">
            <v>17.5</v>
          </cell>
          <cell r="AO1808">
            <v>18</v>
          </cell>
          <cell r="AP1808">
            <v>0</v>
          </cell>
          <cell r="AQ1808">
            <v>0</v>
          </cell>
          <cell r="AR1808">
            <v>17.5</v>
          </cell>
          <cell r="BF1808">
            <v>14.8</v>
          </cell>
          <cell r="BG1808">
            <v>22.200000000000003</v>
          </cell>
          <cell r="BH1808">
            <v>19.028571428571432</v>
          </cell>
          <cell r="BI1808">
            <v>18</v>
          </cell>
          <cell r="BJ1808">
            <v>0</v>
          </cell>
        </row>
        <row r="1809">
          <cell r="D1809" t="str">
            <v>Univerzita Konštantína Filozofa v Nitre</v>
          </cell>
          <cell r="E1809" t="str">
            <v>Filozofická fakulta</v>
          </cell>
          <cell r="AN1809">
            <v>15</v>
          </cell>
          <cell r="AO1809">
            <v>15</v>
          </cell>
          <cell r="AP1809">
            <v>0</v>
          </cell>
          <cell r="AQ1809">
            <v>0</v>
          </cell>
          <cell r="AR1809">
            <v>15</v>
          </cell>
          <cell r="BF1809">
            <v>12.3</v>
          </cell>
          <cell r="BG1809">
            <v>12.792000000000002</v>
          </cell>
          <cell r="BH1809">
            <v>12.792000000000002</v>
          </cell>
          <cell r="BI1809">
            <v>15</v>
          </cell>
          <cell r="BJ1809">
            <v>0</v>
          </cell>
        </row>
        <row r="1810">
          <cell r="D1810" t="str">
            <v>Paneurópska vysoká škola</v>
          </cell>
          <cell r="E1810" t="str">
            <v>Fakulta informatiky</v>
          </cell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BF1810">
            <v>0</v>
          </cell>
          <cell r="BG1810">
            <v>0</v>
          </cell>
          <cell r="BH1810">
            <v>0</v>
          </cell>
          <cell r="BI1810">
            <v>21</v>
          </cell>
          <cell r="BJ1810">
            <v>0</v>
          </cell>
        </row>
        <row r="1811">
          <cell r="D1811" t="str">
            <v>Paneurópska vysoká škola</v>
          </cell>
          <cell r="E1811" t="str">
            <v>Fakulta informatiky</v>
          </cell>
          <cell r="AN1811">
            <v>0</v>
          </cell>
          <cell r="AO1811">
            <v>29</v>
          </cell>
          <cell r="AP1811">
            <v>29</v>
          </cell>
          <cell r="AQ1811">
            <v>0</v>
          </cell>
          <cell r="AR1811">
            <v>0</v>
          </cell>
          <cell r="BF1811">
            <v>0</v>
          </cell>
          <cell r="BG1811">
            <v>0</v>
          </cell>
          <cell r="BH1811">
            <v>0</v>
          </cell>
          <cell r="BI1811">
            <v>29</v>
          </cell>
          <cell r="BJ1811">
            <v>0</v>
          </cell>
        </row>
        <row r="1812">
          <cell r="D1812" t="str">
            <v>Paneurópska vysoká škola</v>
          </cell>
          <cell r="E1812" t="str">
            <v>Fakulta ekonómie a podnikania</v>
          </cell>
          <cell r="AN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BF1812">
            <v>0</v>
          </cell>
          <cell r="BG1812">
            <v>0</v>
          </cell>
          <cell r="BH1812">
            <v>0</v>
          </cell>
          <cell r="BI1812">
            <v>57</v>
          </cell>
          <cell r="BJ1812">
            <v>0</v>
          </cell>
        </row>
        <row r="1813">
          <cell r="D1813" t="str">
            <v>Paneurópska vysoká škola</v>
          </cell>
          <cell r="E1813" t="str">
            <v>Fakulta psychológie</v>
          </cell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BF1813">
            <v>0</v>
          </cell>
          <cell r="BG1813">
            <v>0</v>
          </cell>
          <cell r="BH1813">
            <v>0</v>
          </cell>
          <cell r="BI1813">
            <v>5</v>
          </cell>
          <cell r="BJ1813">
            <v>0</v>
          </cell>
        </row>
        <row r="1814">
          <cell r="D1814" t="str">
            <v>Paneurópska vysoká škola</v>
          </cell>
          <cell r="E1814" t="str">
            <v>Fakulta ekonómie a podnikania</v>
          </cell>
          <cell r="AN1814">
            <v>0</v>
          </cell>
          <cell r="AO1814">
            <v>51</v>
          </cell>
          <cell r="AP1814">
            <v>0</v>
          </cell>
          <cell r="AQ1814">
            <v>0</v>
          </cell>
          <cell r="AR1814">
            <v>0</v>
          </cell>
          <cell r="BF1814">
            <v>0</v>
          </cell>
          <cell r="BG1814">
            <v>0</v>
          </cell>
          <cell r="BH1814">
            <v>0</v>
          </cell>
          <cell r="BI1814">
            <v>51</v>
          </cell>
          <cell r="BJ1814">
            <v>0</v>
          </cell>
        </row>
        <row r="1815">
          <cell r="D1815" t="str">
            <v>Paneurópska vysoká škola</v>
          </cell>
          <cell r="E1815" t="str">
            <v>Fakulta informatiky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BF1815">
            <v>0</v>
          </cell>
          <cell r="BG1815">
            <v>0</v>
          </cell>
          <cell r="BH1815">
            <v>0</v>
          </cell>
          <cell r="BI1815">
            <v>48</v>
          </cell>
          <cell r="BJ1815">
            <v>0</v>
          </cell>
        </row>
        <row r="1816">
          <cell r="D1816" t="str">
            <v>Technická univerzita v Košiciach</v>
          </cell>
          <cell r="E1816" t="str">
            <v>Fakulta baníctva, ekológie, riadenia a geotechnológií</v>
          </cell>
          <cell r="AN1816">
            <v>49</v>
          </cell>
          <cell r="AO1816">
            <v>52</v>
          </cell>
          <cell r="AP1816">
            <v>0</v>
          </cell>
          <cell r="AQ1816">
            <v>49</v>
          </cell>
          <cell r="AR1816">
            <v>49</v>
          </cell>
          <cell r="BF1816">
            <v>41.2</v>
          </cell>
          <cell r="BG1816">
            <v>61.800000000000004</v>
          </cell>
          <cell r="BH1816">
            <v>61.800000000000004</v>
          </cell>
          <cell r="BI1816">
            <v>52</v>
          </cell>
          <cell r="BJ1816">
            <v>0</v>
          </cell>
        </row>
        <row r="1817">
          <cell r="D1817" t="str">
            <v>Technická univerzita v Košiciach</v>
          </cell>
          <cell r="E1817" t="str">
            <v>Fakulta baníctva, ekológie, riadenia a geotechnológií</v>
          </cell>
          <cell r="AN1817">
            <v>3</v>
          </cell>
          <cell r="AO1817">
            <v>0</v>
          </cell>
          <cell r="AP1817">
            <v>0</v>
          </cell>
          <cell r="AQ1817">
            <v>3</v>
          </cell>
          <cell r="AR1817">
            <v>3</v>
          </cell>
          <cell r="BF1817">
            <v>12</v>
          </cell>
          <cell r="BG1817">
            <v>25.56</v>
          </cell>
          <cell r="BH1817">
            <v>25.56</v>
          </cell>
          <cell r="BI1817">
            <v>3</v>
          </cell>
          <cell r="BJ1817">
            <v>3</v>
          </cell>
        </row>
        <row r="1818">
          <cell r="D1818" t="str">
            <v>Technická univerzita v Košiciach</v>
          </cell>
          <cell r="E1818" t="str">
            <v>Fakulta baníctva, ekológie, riadenia a geotechnológií</v>
          </cell>
          <cell r="AN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BF1818">
            <v>0</v>
          </cell>
          <cell r="BG1818">
            <v>0</v>
          </cell>
          <cell r="BH1818">
            <v>0</v>
          </cell>
          <cell r="BI1818">
            <v>6</v>
          </cell>
          <cell r="BJ1818">
            <v>0</v>
          </cell>
        </row>
        <row r="1819">
          <cell r="D1819" t="str">
            <v>Technická univerzita v Košiciach</v>
          </cell>
          <cell r="E1819" t="str">
            <v>Fakulta baníctva, ekológie, riadenia a geotechnológií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BF1819">
            <v>0</v>
          </cell>
          <cell r="BG1819">
            <v>0</v>
          </cell>
          <cell r="BH1819">
            <v>0</v>
          </cell>
          <cell r="BI1819">
            <v>7</v>
          </cell>
          <cell r="BJ1819">
            <v>0</v>
          </cell>
        </row>
        <row r="1820">
          <cell r="D1820" t="str">
            <v>Technická univerzita v Košiciach</v>
          </cell>
          <cell r="E1820" t="str">
            <v>Fakulta baníctva, ekológie, riadenia a geotechnológií</v>
          </cell>
          <cell r="AN1820">
            <v>3</v>
          </cell>
          <cell r="AO1820">
            <v>0</v>
          </cell>
          <cell r="AP1820">
            <v>0</v>
          </cell>
          <cell r="AQ1820">
            <v>3</v>
          </cell>
          <cell r="AR1820">
            <v>3</v>
          </cell>
          <cell r="BF1820">
            <v>12</v>
          </cell>
          <cell r="BG1820">
            <v>25.56</v>
          </cell>
          <cell r="BH1820">
            <v>25.56</v>
          </cell>
          <cell r="BI1820">
            <v>3</v>
          </cell>
          <cell r="BJ1820">
            <v>3</v>
          </cell>
        </row>
        <row r="1821">
          <cell r="D1821" t="str">
            <v>Technická univerzita v Košiciach</v>
          </cell>
          <cell r="E1821" t="str">
            <v>Fakulta baníctva, ekológie, riadenia a geotechnológií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R1821">
            <v>0</v>
          </cell>
          <cell r="BF1821">
            <v>0</v>
          </cell>
          <cell r="BG1821">
            <v>0</v>
          </cell>
          <cell r="BH1821">
            <v>0</v>
          </cell>
          <cell r="BI1821">
            <v>3</v>
          </cell>
          <cell r="BJ1821">
            <v>0</v>
          </cell>
        </row>
        <row r="1822">
          <cell r="D1822" t="str">
            <v>Technická univerzita v Košiciach</v>
          </cell>
          <cell r="E1822" t="str">
            <v>Fakulta baníctva, ekológie, riadenia a geotechnológií</v>
          </cell>
          <cell r="AN1822">
            <v>5</v>
          </cell>
          <cell r="AO1822">
            <v>0</v>
          </cell>
          <cell r="AP1822">
            <v>0</v>
          </cell>
          <cell r="AQ1822">
            <v>5</v>
          </cell>
          <cell r="AR1822">
            <v>5</v>
          </cell>
          <cell r="BF1822">
            <v>20</v>
          </cell>
          <cell r="BG1822">
            <v>42.599999999999994</v>
          </cell>
          <cell r="BH1822">
            <v>42.599999999999994</v>
          </cell>
          <cell r="BI1822">
            <v>5</v>
          </cell>
          <cell r="BJ1822">
            <v>5</v>
          </cell>
        </row>
        <row r="1823">
          <cell r="D1823" t="str">
            <v>Technická univerzita v Košiciach</v>
          </cell>
          <cell r="E1823" t="str">
            <v>Fakulta baníctva, ekológie, riadenia a geotechnológií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BF1823">
            <v>0</v>
          </cell>
          <cell r="BG1823">
            <v>0</v>
          </cell>
          <cell r="BH1823">
            <v>0</v>
          </cell>
          <cell r="BI1823">
            <v>5</v>
          </cell>
          <cell r="BJ1823">
            <v>0</v>
          </cell>
        </row>
        <row r="1824">
          <cell r="D1824" t="str">
            <v>Technická univerzita v Košiciach</v>
          </cell>
          <cell r="E1824" t="str">
            <v>Fakulta baníctva, ekológie, riadenia a geotechnológií</v>
          </cell>
          <cell r="AN1824">
            <v>33</v>
          </cell>
          <cell r="AO1824">
            <v>35</v>
          </cell>
          <cell r="AP1824">
            <v>0</v>
          </cell>
          <cell r="AQ1824">
            <v>0</v>
          </cell>
          <cell r="AR1824">
            <v>33</v>
          </cell>
          <cell r="BF1824">
            <v>49.5</v>
          </cell>
          <cell r="BG1824">
            <v>73.260000000000005</v>
          </cell>
          <cell r="BH1824">
            <v>53.724000000000011</v>
          </cell>
          <cell r="BI1824">
            <v>35</v>
          </cell>
          <cell r="BJ1824">
            <v>0</v>
          </cell>
        </row>
        <row r="1825">
          <cell r="D1825" t="str">
            <v>Technická univerzita v Košiciach</v>
          </cell>
          <cell r="E1825" t="str">
            <v>Fakulta baníctva, ekológie, riadenia a geotechnológií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BF1825">
            <v>0</v>
          </cell>
          <cell r="BG1825">
            <v>0</v>
          </cell>
          <cell r="BH1825">
            <v>0</v>
          </cell>
          <cell r="BI1825">
            <v>9</v>
          </cell>
          <cell r="BJ1825">
            <v>0</v>
          </cell>
        </row>
        <row r="1826">
          <cell r="D1826" t="str">
            <v>Technická univerzita v Košiciach</v>
          </cell>
          <cell r="E1826" t="str">
            <v>Fakulta baníctva, ekológie, riadenia a geotechnológií</v>
          </cell>
          <cell r="AN1826">
            <v>56</v>
          </cell>
          <cell r="AO1826">
            <v>62</v>
          </cell>
          <cell r="AP1826">
            <v>0</v>
          </cell>
          <cell r="AQ1826">
            <v>0</v>
          </cell>
          <cell r="AR1826">
            <v>56</v>
          </cell>
          <cell r="BF1826">
            <v>84</v>
          </cell>
          <cell r="BG1826">
            <v>124.32</v>
          </cell>
          <cell r="BH1826">
            <v>100.06243902439024</v>
          </cell>
          <cell r="BI1826">
            <v>62</v>
          </cell>
          <cell r="BJ1826">
            <v>0</v>
          </cell>
        </row>
        <row r="1827">
          <cell r="D1827" t="str">
            <v>Technická univerzita v Košiciach</v>
          </cell>
          <cell r="E1827" t="str">
            <v>Fakulta baníctva, ekológie, riadenia a geotechnológií</v>
          </cell>
          <cell r="AN1827">
            <v>20</v>
          </cell>
          <cell r="AO1827">
            <v>25</v>
          </cell>
          <cell r="AP1827">
            <v>0</v>
          </cell>
          <cell r="AQ1827">
            <v>0</v>
          </cell>
          <cell r="AR1827">
            <v>20</v>
          </cell>
          <cell r="BF1827">
            <v>30</v>
          </cell>
          <cell r="BG1827">
            <v>44.4</v>
          </cell>
          <cell r="BH1827">
            <v>39.466666666666661</v>
          </cell>
          <cell r="BI1827">
            <v>25</v>
          </cell>
          <cell r="BJ1827">
            <v>0</v>
          </cell>
        </row>
        <row r="1828">
          <cell r="D1828" t="str">
            <v>Technická univerzita v Košiciach</v>
          </cell>
          <cell r="E1828" t="str">
            <v>Fakulta baníctva, ekológie, riadenia a geotechnológií</v>
          </cell>
          <cell r="AN1828">
            <v>37</v>
          </cell>
          <cell r="AO1828">
            <v>46</v>
          </cell>
          <cell r="AP1828">
            <v>46</v>
          </cell>
          <cell r="AQ1828">
            <v>37</v>
          </cell>
          <cell r="AR1828">
            <v>37</v>
          </cell>
          <cell r="BF1828">
            <v>29.2</v>
          </cell>
          <cell r="BG1828">
            <v>43.216000000000001</v>
          </cell>
          <cell r="BH1828">
            <v>43.216000000000001</v>
          </cell>
          <cell r="BI1828">
            <v>46</v>
          </cell>
          <cell r="BJ1828">
            <v>0</v>
          </cell>
        </row>
        <row r="1829">
          <cell r="D1829" t="str">
            <v>Technická univerzita v Košiciach</v>
          </cell>
          <cell r="E1829" t="str">
            <v>Fakulta baníctva, ekológie, riadenia a geotechnológií</v>
          </cell>
          <cell r="AN1829">
            <v>38</v>
          </cell>
          <cell r="AO1829">
            <v>40</v>
          </cell>
          <cell r="AP1829">
            <v>0</v>
          </cell>
          <cell r="AQ1829">
            <v>38</v>
          </cell>
          <cell r="AR1829">
            <v>38</v>
          </cell>
          <cell r="BF1829">
            <v>33.799999999999997</v>
          </cell>
          <cell r="BG1829">
            <v>50.023999999999994</v>
          </cell>
          <cell r="BH1829">
            <v>50.023999999999994</v>
          </cell>
          <cell r="BI1829">
            <v>40</v>
          </cell>
          <cell r="BJ1829">
            <v>0</v>
          </cell>
        </row>
        <row r="1830">
          <cell r="D1830" t="str">
            <v>Technická univerzita v Košiciach</v>
          </cell>
          <cell r="E1830" t="str">
            <v>Fakulta baníctva, ekológie, riadenia a geotechnológií</v>
          </cell>
          <cell r="AN1830">
            <v>161</v>
          </cell>
          <cell r="AO1830">
            <v>182</v>
          </cell>
          <cell r="AP1830">
            <v>0</v>
          </cell>
          <cell r="AQ1830">
            <v>0</v>
          </cell>
          <cell r="AR1830">
            <v>161</v>
          </cell>
          <cell r="BF1830">
            <v>130.39999999999998</v>
          </cell>
          <cell r="BG1830">
            <v>192.99199999999996</v>
          </cell>
          <cell r="BH1830">
            <v>181.29551515151513</v>
          </cell>
          <cell r="BI1830">
            <v>182</v>
          </cell>
          <cell r="BJ1830">
            <v>0</v>
          </cell>
        </row>
        <row r="1831">
          <cell r="D1831" t="str">
            <v>Technická univerzita v Košiciach</v>
          </cell>
          <cell r="E1831" t="str">
            <v>Fakulta baníctva, ekológie, riadenia a geotechnológií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BF1831">
            <v>0</v>
          </cell>
          <cell r="BG1831">
            <v>0</v>
          </cell>
          <cell r="BH1831">
            <v>0</v>
          </cell>
          <cell r="BI1831">
            <v>8</v>
          </cell>
          <cell r="BJ1831">
            <v>0</v>
          </cell>
        </row>
        <row r="1832">
          <cell r="D1832" t="str">
            <v>Technická univerzita v Košiciach</v>
          </cell>
          <cell r="E1832" t="str">
            <v>Fakulta baníctva, ekológie, riadenia a geotechnológií</v>
          </cell>
          <cell r="AN1832">
            <v>12</v>
          </cell>
          <cell r="AO1832">
            <v>14</v>
          </cell>
          <cell r="AP1832">
            <v>0</v>
          </cell>
          <cell r="AQ1832">
            <v>12</v>
          </cell>
          <cell r="AR1832">
            <v>12</v>
          </cell>
          <cell r="BF1832">
            <v>9.3000000000000007</v>
          </cell>
          <cell r="BG1832">
            <v>13.950000000000001</v>
          </cell>
          <cell r="BH1832">
            <v>13.950000000000001</v>
          </cell>
          <cell r="BI1832">
            <v>14</v>
          </cell>
          <cell r="BJ1832">
            <v>0</v>
          </cell>
        </row>
        <row r="1833">
          <cell r="D1833" t="str">
            <v>Technická univerzita v Košiciach</v>
          </cell>
          <cell r="E1833" t="str">
            <v>Fakulta baníctva, ekológie, riadenia a geotechnológií</v>
          </cell>
          <cell r="AN1833">
            <v>26</v>
          </cell>
          <cell r="AO1833">
            <v>29</v>
          </cell>
          <cell r="AP1833">
            <v>29</v>
          </cell>
          <cell r="AQ1833">
            <v>26</v>
          </cell>
          <cell r="AR1833">
            <v>26</v>
          </cell>
          <cell r="BF1833">
            <v>22.7</v>
          </cell>
          <cell r="BG1833">
            <v>33.595999999999997</v>
          </cell>
          <cell r="BH1833">
            <v>33.595999999999997</v>
          </cell>
          <cell r="BI1833">
            <v>29</v>
          </cell>
          <cell r="BJ1833">
            <v>0</v>
          </cell>
        </row>
        <row r="1834">
          <cell r="D1834" t="str">
            <v>Technická univerzita v Košiciach</v>
          </cell>
          <cell r="E1834" t="str">
            <v>Fakulta baníctva, ekológie, riadenia a geotechnológií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BF1834">
            <v>0</v>
          </cell>
          <cell r="BG1834">
            <v>0</v>
          </cell>
          <cell r="BH1834">
            <v>0</v>
          </cell>
          <cell r="BI1834">
            <v>3</v>
          </cell>
          <cell r="BJ1834">
            <v>0</v>
          </cell>
        </row>
        <row r="1835">
          <cell r="D1835" t="str">
            <v>Technická univerzita v Košiciach</v>
          </cell>
          <cell r="E1835" t="str">
            <v>Fakulta baníctva, ekológie, riadenia a geotechnológií</v>
          </cell>
          <cell r="AN1835">
            <v>11</v>
          </cell>
          <cell r="AO1835">
            <v>12</v>
          </cell>
          <cell r="AP1835">
            <v>12</v>
          </cell>
          <cell r="AQ1835">
            <v>11</v>
          </cell>
          <cell r="AR1835">
            <v>11</v>
          </cell>
          <cell r="BF1835">
            <v>8.6</v>
          </cell>
          <cell r="BG1835">
            <v>12.728</v>
          </cell>
          <cell r="BH1835">
            <v>12.728</v>
          </cell>
          <cell r="BI1835">
            <v>12</v>
          </cell>
          <cell r="BJ1835">
            <v>0</v>
          </cell>
        </row>
        <row r="1836">
          <cell r="D1836" t="str">
            <v>Technická univerzita v Košiciach</v>
          </cell>
          <cell r="E1836" t="str">
            <v>Fakulta baníctva, ekológie, riadenia a geotechnológií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BF1836">
            <v>0</v>
          </cell>
          <cell r="BG1836">
            <v>0</v>
          </cell>
          <cell r="BH1836">
            <v>0</v>
          </cell>
          <cell r="BI1836">
            <v>5</v>
          </cell>
          <cell r="BJ1836">
            <v>0</v>
          </cell>
        </row>
        <row r="1837">
          <cell r="D1837" t="str">
            <v>Technická univerzita v Košiciach</v>
          </cell>
          <cell r="E1837" t="str">
            <v>Fakulta baníctva, ekológie, riadenia a geotechnológií</v>
          </cell>
          <cell r="AN1837">
            <v>6</v>
          </cell>
          <cell r="AO1837">
            <v>6</v>
          </cell>
          <cell r="AP1837">
            <v>0</v>
          </cell>
          <cell r="AQ1837">
            <v>0</v>
          </cell>
          <cell r="AR1837">
            <v>6</v>
          </cell>
          <cell r="BF1837">
            <v>5.0999999999999996</v>
          </cell>
          <cell r="BG1837">
            <v>7.5479999999999992</v>
          </cell>
          <cell r="BH1837">
            <v>6.812389830508474</v>
          </cell>
          <cell r="BI1837">
            <v>6</v>
          </cell>
          <cell r="BJ1837">
            <v>0</v>
          </cell>
        </row>
        <row r="1838">
          <cell r="D1838" t="str">
            <v>Technická univerzita v Košiciach</v>
          </cell>
          <cell r="E1838" t="str">
            <v>Fakulta baníctva, ekológie, riadenia a geotechnológií</v>
          </cell>
          <cell r="AN1838">
            <v>2</v>
          </cell>
          <cell r="AO1838">
            <v>0</v>
          </cell>
          <cell r="AP1838">
            <v>0</v>
          </cell>
          <cell r="AQ1838">
            <v>2</v>
          </cell>
          <cell r="AR1838">
            <v>2</v>
          </cell>
          <cell r="BF1838">
            <v>8</v>
          </cell>
          <cell r="BG1838">
            <v>17.04</v>
          </cell>
          <cell r="BH1838">
            <v>17.04</v>
          </cell>
          <cell r="BI1838">
            <v>2</v>
          </cell>
          <cell r="BJ1838">
            <v>2</v>
          </cell>
        </row>
        <row r="1839">
          <cell r="D1839" t="str">
            <v>Technická univerzita v Košiciach</v>
          </cell>
          <cell r="E1839" t="str">
            <v>Fakulta materiálov, metalurgie a recyklácie</v>
          </cell>
          <cell r="AN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BF1839">
            <v>0</v>
          </cell>
          <cell r="BG1839">
            <v>0</v>
          </cell>
          <cell r="BH1839">
            <v>0</v>
          </cell>
          <cell r="BI1839">
            <v>3</v>
          </cell>
          <cell r="BJ1839">
            <v>0</v>
          </cell>
        </row>
        <row r="1840">
          <cell r="D1840" t="str">
            <v>Technická univerzita v Košiciach</v>
          </cell>
          <cell r="E1840" t="str">
            <v>Fakulta materiálov, metalurgie a recyklácie</v>
          </cell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BF1840">
            <v>0</v>
          </cell>
          <cell r="BG1840">
            <v>0</v>
          </cell>
          <cell r="BH1840">
            <v>0</v>
          </cell>
          <cell r="BI1840">
            <v>5</v>
          </cell>
          <cell r="BJ1840">
            <v>0</v>
          </cell>
        </row>
        <row r="1841">
          <cell r="D1841" t="str">
            <v>Technická univerzita v Košiciach</v>
          </cell>
          <cell r="E1841" t="str">
            <v>Fakulta materiálov, metalurgie a recyklácie</v>
          </cell>
          <cell r="AN1841">
            <v>5</v>
          </cell>
          <cell r="AO1841">
            <v>6</v>
          </cell>
          <cell r="AP1841">
            <v>6</v>
          </cell>
          <cell r="AQ1841">
            <v>5</v>
          </cell>
          <cell r="AR1841">
            <v>5</v>
          </cell>
          <cell r="BF1841">
            <v>7.5</v>
          </cell>
          <cell r="BG1841">
            <v>18.075000000000003</v>
          </cell>
          <cell r="BH1841">
            <v>18.075000000000003</v>
          </cell>
          <cell r="BI1841">
            <v>6</v>
          </cell>
          <cell r="BJ1841">
            <v>0</v>
          </cell>
        </row>
        <row r="1842">
          <cell r="D1842" t="str">
            <v>Technická univerzita v Košiciach</v>
          </cell>
          <cell r="E1842" t="str">
            <v>Fakulta materiálov, metalurgie a recyklácie</v>
          </cell>
          <cell r="AN1842">
            <v>18</v>
          </cell>
          <cell r="AO1842">
            <v>27</v>
          </cell>
          <cell r="AP1842">
            <v>27</v>
          </cell>
          <cell r="AQ1842">
            <v>18</v>
          </cell>
          <cell r="AR1842">
            <v>18</v>
          </cell>
          <cell r="BF1842">
            <v>15</v>
          </cell>
          <cell r="BG1842">
            <v>22.2</v>
          </cell>
          <cell r="BH1842">
            <v>22.2</v>
          </cell>
          <cell r="BI1842">
            <v>27</v>
          </cell>
          <cell r="BJ1842">
            <v>0</v>
          </cell>
        </row>
        <row r="1843">
          <cell r="D1843" t="str">
            <v>Technická univerzita v Košiciach</v>
          </cell>
          <cell r="E1843" t="str">
            <v>Fakulta materiálov, metalurgie a recyklácie</v>
          </cell>
          <cell r="AN1843">
            <v>14</v>
          </cell>
          <cell r="AO1843">
            <v>14</v>
          </cell>
          <cell r="AP1843">
            <v>14</v>
          </cell>
          <cell r="AQ1843">
            <v>14</v>
          </cell>
          <cell r="AR1843">
            <v>14</v>
          </cell>
          <cell r="BF1843">
            <v>12.2</v>
          </cell>
          <cell r="BG1843">
            <v>18.055999999999997</v>
          </cell>
          <cell r="BH1843">
            <v>18.055999999999997</v>
          </cell>
          <cell r="BI1843">
            <v>14</v>
          </cell>
          <cell r="BJ1843">
            <v>0</v>
          </cell>
        </row>
        <row r="1844">
          <cell r="D1844" t="str">
            <v>Technická univerzita v Košiciach</v>
          </cell>
          <cell r="E1844" t="str">
            <v>Fakulta materiálov, metalurgie a recyklácie</v>
          </cell>
          <cell r="AN1844">
            <v>24</v>
          </cell>
          <cell r="AO1844">
            <v>25</v>
          </cell>
          <cell r="AP1844">
            <v>25</v>
          </cell>
          <cell r="AQ1844">
            <v>24</v>
          </cell>
          <cell r="AR1844">
            <v>24</v>
          </cell>
          <cell r="BF1844">
            <v>18.899999999999999</v>
          </cell>
          <cell r="BG1844">
            <v>27.971999999999998</v>
          </cell>
          <cell r="BH1844">
            <v>27.971999999999998</v>
          </cell>
          <cell r="BI1844">
            <v>25</v>
          </cell>
          <cell r="BJ1844">
            <v>0</v>
          </cell>
        </row>
        <row r="1845">
          <cell r="D1845" t="str">
            <v>Technická univerzita v Košiciach</v>
          </cell>
          <cell r="E1845" t="str">
            <v>Fakulta materiálov, metalurgie a recyklácie</v>
          </cell>
          <cell r="AN1845">
            <v>73</v>
          </cell>
          <cell r="AO1845">
            <v>83</v>
          </cell>
          <cell r="AP1845">
            <v>0</v>
          </cell>
          <cell r="AQ1845">
            <v>0</v>
          </cell>
          <cell r="AR1845">
            <v>73</v>
          </cell>
          <cell r="BF1845">
            <v>62.5</v>
          </cell>
          <cell r="BG1845">
            <v>150.625</v>
          </cell>
          <cell r="BH1845">
            <v>100.41666666666667</v>
          </cell>
          <cell r="BI1845">
            <v>83</v>
          </cell>
          <cell r="BJ1845">
            <v>0</v>
          </cell>
        </row>
        <row r="1846">
          <cell r="D1846" t="str">
            <v>Technická univerzita v Košiciach</v>
          </cell>
          <cell r="E1846" t="str">
            <v>Fakulta materiálov, metalurgie a recyklácie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BF1846">
            <v>0</v>
          </cell>
          <cell r="BG1846">
            <v>0</v>
          </cell>
          <cell r="BH1846">
            <v>0</v>
          </cell>
          <cell r="BI1846">
            <v>1</v>
          </cell>
          <cell r="BJ1846">
            <v>0</v>
          </cell>
        </row>
        <row r="1847">
          <cell r="D1847" t="str">
            <v>Technická univerzita v Košiciach</v>
          </cell>
          <cell r="E1847" t="str">
            <v>Fakulta materiálov, metalurgie a recyklácie</v>
          </cell>
          <cell r="AN1847">
            <v>2</v>
          </cell>
          <cell r="AO1847">
            <v>0</v>
          </cell>
          <cell r="AP1847">
            <v>0</v>
          </cell>
          <cell r="AQ1847">
            <v>2</v>
          </cell>
          <cell r="AR1847">
            <v>2</v>
          </cell>
          <cell r="BF1847">
            <v>6</v>
          </cell>
          <cell r="BG1847">
            <v>12.78</v>
          </cell>
          <cell r="BH1847">
            <v>12.78</v>
          </cell>
          <cell r="BI1847">
            <v>2</v>
          </cell>
          <cell r="BJ1847">
            <v>2</v>
          </cell>
        </row>
        <row r="1848">
          <cell r="D1848" t="str">
            <v>Technická univerzita v Košiciach</v>
          </cell>
          <cell r="E1848" t="str">
            <v>Strojnícka fakulta</v>
          </cell>
          <cell r="AN1848">
            <v>24</v>
          </cell>
          <cell r="AO1848">
            <v>26</v>
          </cell>
          <cell r="AP1848">
            <v>26</v>
          </cell>
          <cell r="AQ1848">
            <v>24</v>
          </cell>
          <cell r="AR1848">
            <v>24</v>
          </cell>
          <cell r="BF1848">
            <v>17.099999999999998</v>
          </cell>
          <cell r="BG1848">
            <v>25.307999999999996</v>
          </cell>
          <cell r="BH1848">
            <v>24.129692307692302</v>
          </cell>
          <cell r="BI1848">
            <v>26</v>
          </cell>
          <cell r="BJ1848">
            <v>0</v>
          </cell>
        </row>
        <row r="1849">
          <cell r="D1849" t="str">
            <v>Technická univerzita v Košiciach</v>
          </cell>
          <cell r="E1849" t="str">
            <v>Strojnícka fakulta</v>
          </cell>
          <cell r="AN1849">
            <v>39</v>
          </cell>
          <cell r="AO1849">
            <v>41</v>
          </cell>
          <cell r="AP1849">
            <v>41</v>
          </cell>
          <cell r="AQ1849">
            <v>39</v>
          </cell>
          <cell r="AR1849">
            <v>39</v>
          </cell>
          <cell r="BF1849">
            <v>31.2</v>
          </cell>
          <cell r="BG1849">
            <v>46.176000000000002</v>
          </cell>
          <cell r="BH1849">
            <v>46.176000000000002</v>
          </cell>
          <cell r="BI1849">
            <v>41</v>
          </cell>
          <cell r="BJ1849">
            <v>0</v>
          </cell>
        </row>
        <row r="1850">
          <cell r="D1850" t="str">
            <v>Technická univerzita v Košiciach</v>
          </cell>
          <cell r="E1850" t="str">
            <v>Strojnícka fakulta</v>
          </cell>
          <cell r="AN1850">
            <v>1</v>
          </cell>
          <cell r="AO1850">
            <v>0</v>
          </cell>
          <cell r="AP1850">
            <v>0</v>
          </cell>
          <cell r="AQ1850">
            <v>1</v>
          </cell>
          <cell r="AR1850">
            <v>1</v>
          </cell>
          <cell r="BF1850">
            <v>3</v>
          </cell>
          <cell r="BG1850">
            <v>6.39</v>
          </cell>
          <cell r="BH1850">
            <v>6.39</v>
          </cell>
          <cell r="BI1850">
            <v>1</v>
          </cell>
          <cell r="BJ1850">
            <v>1</v>
          </cell>
        </row>
        <row r="1851">
          <cell r="D1851" t="str">
            <v>Technická univerzita v Košiciach</v>
          </cell>
          <cell r="E1851" t="str">
            <v>Strojnícka fakulta</v>
          </cell>
          <cell r="AN1851">
            <v>15</v>
          </cell>
          <cell r="AO1851">
            <v>16</v>
          </cell>
          <cell r="AP1851">
            <v>0</v>
          </cell>
          <cell r="AQ1851">
            <v>0</v>
          </cell>
          <cell r="AR1851">
            <v>15</v>
          </cell>
          <cell r="BF1851">
            <v>22.5</v>
          </cell>
          <cell r="BG1851">
            <v>33.299999999999997</v>
          </cell>
          <cell r="BH1851">
            <v>31.08</v>
          </cell>
          <cell r="BI1851">
            <v>16</v>
          </cell>
          <cell r="BJ1851">
            <v>0</v>
          </cell>
        </row>
        <row r="1852">
          <cell r="D1852" t="str">
            <v>Technická univerzita v Košiciach</v>
          </cell>
          <cell r="E1852" t="str">
            <v>Strojnícka fakulta</v>
          </cell>
          <cell r="AN1852">
            <v>2</v>
          </cell>
          <cell r="AO1852">
            <v>0</v>
          </cell>
          <cell r="AP1852">
            <v>0</v>
          </cell>
          <cell r="AQ1852">
            <v>2</v>
          </cell>
          <cell r="AR1852">
            <v>2</v>
          </cell>
          <cell r="BF1852">
            <v>6</v>
          </cell>
          <cell r="BG1852">
            <v>12.78</v>
          </cell>
          <cell r="BH1852">
            <v>12.78</v>
          </cell>
          <cell r="BI1852">
            <v>2</v>
          </cell>
          <cell r="BJ1852">
            <v>2</v>
          </cell>
        </row>
        <row r="1853">
          <cell r="D1853" t="str">
            <v>Technická univerzita v Košiciach</v>
          </cell>
          <cell r="E1853" t="str">
            <v>Strojnícka fakulta</v>
          </cell>
          <cell r="AN1853">
            <v>32</v>
          </cell>
          <cell r="AO1853">
            <v>35</v>
          </cell>
          <cell r="AP1853">
            <v>0</v>
          </cell>
          <cell r="AQ1853">
            <v>0</v>
          </cell>
          <cell r="AR1853">
            <v>32</v>
          </cell>
          <cell r="BF1853">
            <v>48</v>
          </cell>
          <cell r="BG1853">
            <v>71.039999999999992</v>
          </cell>
          <cell r="BH1853">
            <v>58.123636363636351</v>
          </cell>
          <cell r="BI1853">
            <v>35</v>
          </cell>
          <cell r="BJ1853">
            <v>0</v>
          </cell>
        </row>
        <row r="1854">
          <cell r="D1854" t="str">
            <v>Technická univerzita v Košiciach</v>
          </cell>
          <cell r="E1854" t="str">
            <v>Strojnícka fakulta</v>
          </cell>
          <cell r="AN1854">
            <v>42</v>
          </cell>
          <cell r="AO1854">
            <v>45</v>
          </cell>
          <cell r="AP1854">
            <v>0</v>
          </cell>
          <cell r="AQ1854">
            <v>0</v>
          </cell>
          <cell r="AR1854">
            <v>42</v>
          </cell>
          <cell r="BF1854">
            <v>63</v>
          </cell>
          <cell r="BG1854">
            <v>93.24</v>
          </cell>
          <cell r="BH1854">
            <v>69.929999999999993</v>
          </cell>
          <cell r="BI1854">
            <v>45</v>
          </cell>
          <cell r="BJ1854">
            <v>0</v>
          </cell>
        </row>
        <row r="1855">
          <cell r="D1855" t="str">
            <v>Technická univerzita v Košiciach</v>
          </cell>
          <cell r="E1855" t="str">
            <v>Strojnícka fakulta</v>
          </cell>
          <cell r="AN1855">
            <v>16</v>
          </cell>
          <cell r="AO1855">
            <v>17</v>
          </cell>
          <cell r="AP1855">
            <v>17</v>
          </cell>
          <cell r="AQ1855">
            <v>16</v>
          </cell>
          <cell r="AR1855">
            <v>16</v>
          </cell>
          <cell r="BF1855">
            <v>24</v>
          </cell>
          <cell r="BG1855">
            <v>35.519999999999996</v>
          </cell>
          <cell r="BH1855">
            <v>35.519999999999996</v>
          </cell>
          <cell r="BI1855">
            <v>17</v>
          </cell>
          <cell r="BJ1855">
            <v>0</v>
          </cell>
        </row>
        <row r="1856">
          <cell r="D1856" t="str">
            <v>Technická univerzita v Košiciach</v>
          </cell>
          <cell r="E1856" t="str">
            <v>Strojnícka fakulta</v>
          </cell>
          <cell r="AN1856">
            <v>96</v>
          </cell>
          <cell r="AO1856">
            <v>103</v>
          </cell>
          <cell r="AP1856">
            <v>103</v>
          </cell>
          <cell r="AQ1856">
            <v>96</v>
          </cell>
          <cell r="AR1856">
            <v>96</v>
          </cell>
          <cell r="BF1856">
            <v>80.099999999999994</v>
          </cell>
          <cell r="BG1856">
            <v>118.54799999999999</v>
          </cell>
          <cell r="BH1856">
            <v>118.54799999999999</v>
          </cell>
          <cell r="BI1856">
            <v>103</v>
          </cell>
          <cell r="BJ1856">
            <v>0</v>
          </cell>
        </row>
        <row r="1857">
          <cell r="D1857" t="str">
            <v>Technická univerzita v Košiciach</v>
          </cell>
          <cell r="E1857" t="str">
            <v>Strojnícka fakulta</v>
          </cell>
          <cell r="AN1857">
            <v>64</v>
          </cell>
          <cell r="AO1857">
            <v>66</v>
          </cell>
          <cell r="AP1857">
            <v>0</v>
          </cell>
          <cell r="AQ1857">
            <v>0</v>
          </cell>
          <cell r="AR1857">
            <v>64</v>
          </cell>
          <cell r="BF1857">
            <v>51.7</v>
          </cell>
          <cell r="BG1857">
            <v>76.516000000000005</v>
          </cell>
          <cell r="BH1857">
            <v>68.01422222222223</v>
          </cell>
          <cell r="BI1857">
            <v>66</v>
          </cell>
          <cell r="BJ1857">
            <v>0</v>
          </cell>
        </row>
        <row r="1858">
          <cell r="D1858" t="str">
            <v>Technická univerzita v Košiciach</v>
          </cell>
          <cell r="E1858" t="str">
            <v>Strojnícka fakulta</v>
          </cell>
          <cell r="AN1858">
            <v>37</v>
          </cell>
          <cell r="AO1858">
            <v>45</v>
          </cell>
          <cell r="AP1858">
            <v>45</v>
          </cell>
          <cell r="AQ1858">
            <v>37</v>
          </cell>
          <cell r="AR1858">
            <v>37</v>
          </cell>
          <cell r="BF1858">
            <v>29.2</v>
          </cell>
          <cell r="BG1858">
            <v>43.216000000000001</v>
          </cell>
          <cell r="BH1858">
            <v>43.216000000000001</v>
          </cell>
          <cell r="BI1858">
            <v>45</v>
          </cell>
          <cell r="BJ1858">
            <v>0</v>
          </cell>
        </row>
        <row r="1859">
          <cell r="D1859" t="str">
            <v>Technická univerzita v Košiciach</v>
          </cell>
          <cell r="E1859" t="str">
            <v>Strojnícka fakulta</v>
          </cell>
          <cell r="AN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BF1859">
            <v>0</v>
          </cell>
          <cell r="BG1859">
            <v>0</v>
          </cell>
          <cell r="BH1859">
            <v>0</v>
          </cell>
          <cell r="BI1859">
            <v>1</v>
          </cell>
          <cell r="BJ1859">
            <v>0</v>
          </cell>
        </row>
        <row r="1860">
          <cell r="D1860" t="str">
            <v>Technická univerzita v Košiciach</v>
          </cell>
          <cell r="E1860" t="str">
            <v>Fakulta elektrotechniky a informatiky</v>
          </cell>
          <cell r="AN1860">
            <v>6</v>
          </cell>
          <cell r="AO1860">
            <v>0</v>
          </cell>
          <cell r="AP1860">
            <v>0</v>
          </cell>
          <cell r="AQ1860">
            <v>6</v>
          </cell>
          <cell r="AR1860">
            <v>6</v>
          </cell>
          <cell r="BF1860">
            <v>18</v>
          </cell>
          <cell r="BG1860">
            <v>38.339999999999996</v>
          </cell>
          <cell r="BH1860">
            <v>38.339999999999996</v>
          </cell>
          <cell r="BI1860">
            <v>6</v>
          </cell>
          <cell r="BJ1860">
            <v>6</v>
          </cell>
        </row>
        <row r="1861">
          <cell r="D1861" t="str">
            <v>Technická univerzita v Košiciach</v>
          </cell>
          <cell r="E1861" t="str">
            <v>Fakulta elektrotechniky a informatiky</v>
          </cell>
          <cell r="AN1861">
            <v>3</v>
          </cell>
          <cell r="AO1861">
            <v>0</v>
          </cell>
          <cell r="AP1861">
            <v>0</v>
          </cell>
          <cell r="AQ1861">
            <v>3</v>
          </cell>
          <cell r="AR1861">
            <v>3</v>
          </cell>
          <cell r="BF1861">
            <v>9</v>
          </cell>
          <cell r="BG1861">
            <v>19.169999999999998</v>
          </cell>
          <cell r="BH1861">
            <v>19.169999999999998</v>
          </cell>
          <cell r="BI1861">
            <v>3</v>
          </cell>
          <cell r="BJ1861">
            <v>3</v>
          </cell>
        </row>
        <row r="1862">
          <cell r="D1862" t="str">
            <v>Technická univerzita v Košiciach</v>
          </cell>
          <cell r="E1862" t="str">
            <v>Fakulta elektrotechniky a informatiky</v>
          </cell>
          <cell r="AN1862">
            <v>3</v>
          </cell>
          <cell r="AO1862">
            <v>0</v>
          </cell>
          <cell r="AP1862">
            <v>0</v>
          </cell>
          <cell r="AQ1862">
            <v>3</v>
          </cell>
          <cell r="AR1862">
            <v>3</v>
          </cell>
          <cell r="BF1862">
            <v>9</v>
          </cell>
          <cell r="BG1862">
            <v>19.169999999999998</v>
          </cell>
          <cell r="BH1862">
            <v>19.169999999999998</v>
          </cell>
          <cell r="BI1862">
            <v>3</v>
          </cell>
          <cell r="BJ1862">
            <v>3</v>
          </cell>
        </row>
        <row r="1863">
          <cell r="D1863" t="str">
            <v>Technická univerzita v Košiciach</v>
          </cell>
          <cell r="E1863" t="str">
            <v>Fakulta elektrotechniky a informatiky</v>
          </cell>
          <cell r="AN1863">
            <v>72</v>
          </cell>
          <cell r="AO1863">
            <v>75</v>
          </cell>
          <cell r="AP1863">
            <v>0</v>
          </cell>
          <cell r="AQ1863">
            <v>0</v>
          </cell>
          <cell r="AR1863">
            <v>72</v>
          </cell>
          <cell r="BF1863">
            <v>108</v>
          </cell>
          <cell r="BG1863">
            <v>159.84</v>
          </cell>
          <cell r="BH1863">
            <v>139.86000000000001</v>
          </cell>
          <cell r="BI1863">
            <v>75</v>
          </cell>
          <cell r="BJ1863">
            <v>0</v>
          </cell>
        </row>
        <row r="1864">
          <cell r="D1864" t="str">
            <v>Technická univerzita v Košiciach</v>
          </cell>
          <cell r="E1864" t="str">
            <v>Fakulta elektrotechniky a informatiky</v>
          </cell>
          <cell r="AN1864">
            <v>25</v>
          </cell>
          <cell r="AO1864">
            <v>26</v>
          </cell>
          <cell r="AP1864">
            <v>0</v>
          </cell>
          <cell r="AQ1864">
            <v>0</v>
          </cell>
          <cell r="AR1864">
            <v>25</v>
          </cell>
          <cell r="BF1864">
            <v>37.5</v>
          </cell>
          <cell r="BG1864">
            <v>55.5</v>
          </cell>
          <cell r="BH1864">
            <v>48.5625</v>
          </cell>
          <cell r="BI1864">
            <v>26</v>
          </cell>
          <cell r="BJ1864">
            <v>0</v>
          </cell>
        </row>
        <row r="1865">
          <cell r="D1865" t="str">
            <v>Technická univerzita v Košiciach</v>
          </cell>
          <cell r="E1865" t="str">
            <v>Fakulta elektrotechniky a informatiky</v>
          </cell>
          <cell r="AN1865">
            <v>11</v>
          </cell>
          <cell r="AO1865">
            <v>12</v>
          </cell>
          <cell r="AP1865">
            <v>0</v>
          </cell>
          <cell r="AQ1865">
            <v>0</v>
          </cell>
          <cell r="AR1865">
            <v>11</v>
          </cell>
          <cell r="BF1865">
            <v>16.5</v>
          </cell>
          <cell r="BG1865">
            <v>24.419999999999998</v>
          </cell>
          <cell r="BH1865">
            <v>21.977999999999998</v>
          </cell>
          <cell r="BI1865">
            <v>12</v>
          </cell>
          <cell r="BJ1865">
            <v>0</v>
          </cell>
        </row>
        <row r="1866">
          <cell r="D1866" t="str">
            <v>Technická univerzita v Košiciach</v>
          </cell>
          <cell r="E1866" t="str">
            <v>Fakulta elektrotechniky a informatiky</v>
          </cell>
          <cell r="AN1866">
            <v>92</v>
          </cell>
          <cell r="AO1866">
            <v>103</v>
          </cell>
          <cell r="AP1866">
            <v>103</v>
          </cell>
          <cell r="AQ1866">
            <v>92</v>
          </cell>
          <cell r="AR1866">
            <v>92</v>
          </cell>
          <cell r="BF1866">
            <v>72.5</v>
          </cell>
          <cell r="BG1866">
            <v>107.3</v>
          </cell>
          <cell r="BH1866">
            <v>107.3</v>
          </cell>
          <cell r="BI1866">
            <v>103</v>
          </cell>
          <cell r="BJ1866">
            <v>0</v>
          </cell>
        </row>
        <row r="1867">
          <cell r="D1867" t="str">
            <v>Technická univerzita v Košiciach</v>
          </cell>
          <cell r="E1867" t="str">
            <v>Fakulta elektrotechniky a informatiky</v>
          </cell>
          <cell r="AN1867">
            <v>4</v>
          </cell>
          <cell r="AO1867">
            <v>4</v>
          </cell>
          <cell r="AP1867">
            <v>4</v>
          </cell>
          <cell r="AQ1867">
            <v>4</v>
          </cell>
          <cell r="AR1867">
            <v>4</v>
          </cell>
          <cell r="BF1867">
            <v>3.4</v>
          </cell>
          <cell r="BG1867">
            <v>5.032</v>
          </cell>
          <cell r="BH1867">
            <v>5.032</v>
          </cell>
          <cell r="BI1867">
            <v>4</v>
          </cell>
          <cell r="BJ1867">
            <v>0</v>
          </cell>
        </row>
        <row r="1868">
          <cell r="D1868" t="str">
            <v>Technická univerzita v Košiciach</v>
          </cell>
          <cell r="E1868" t="str">
            <v>Letecká fakulta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R1868">
            <v>0</v>
          </cell>
          <cell r="BF1868">
            <v>0</v>
          </cell>
          <cell r="BG1868">
            <v>0</v>
          </cell>
          <cell r="BH1868">
            <v>0</v>
          </cell>
          <cell r="BI1868">
            <v>4</v>
          </cell>
          <cell r="BJ1868">
            <v>0</v>
          </cell>
        </row>
        <row r="1869">
          <cell r="D1869" t="str">
            <v>Technická univerzita v Košiciach</v>
          </cell>
          <cell r="E1869" t="str">
            <v>Letecká fakulta</v>
          </cell>
          <cell r="AN1869">
            <v>13</v>
          </cell>
          <cell r="AO1869">
            <v>0</v>
          </cell>
          <cell r="AP1869">
            <v>0</v>
          </cell>
          <cell r="AQ1869">
            <v>0</v>
          </cell>
          <cell r="AR1869">
            <v>13</v>
          </cell>
          <cell r="BF1869">
            <v>52</v>
          </cell>
          <cell r="BG1869">
            <v>110.75999999999999</v>
          </cell>
          <cell r="BH1869">
            <v>55.379999999999995</v>
          </cell>
          <cell r="BI1869">
            <v>13</v>
          </cell>
          <cell r="BJ1869">
            <v>13</v>
          </cell>
        </row>
        <row r="1870">
          <cell r="D1870" t="str">
            <v>Technická univerzita v Košiciach</v>
          </cell>
          <cell r="E1870" t="str">
            <v>Letecká fakulta</v>
          </cell>
          <cell r="AN1870">
            <v>7</v>
          </cell>
          <cell r="AO1870">
            <v>0</v>
          </cell>
          <cell r="AP1870">
            <v>0</v>
          </cell>
          <cell r="AQ1870">
            <v>7</v>
          </cell>
          <cell r="AR1870">
            <v>7</v>
          </cell>
          <cell r="BF1870">
            <v>28</v>
          </cell>
          <cell r="BG1870">
            <v>59.64</v>
          </cell>
          <cell r="BH1870">
            <v>59.64</v>
          </cell>
          <cell r="BI1870">
            <v>7</v>
          </cell>
          <cell r="BJ1870">
            <v>7</v>
          </cell>
        </row>
        <row r="1871">
          <cell r="D1871" t="str">
            <v>Technická univerzita v Košiciach</v>
          </cell>
          <cell r="E1871" t="str">
            <v>Letecká fakulta</v>
          </cell>
          <cell r="AN1871">
            <v>61</v>
          </cell>
          <cell r="AO1871">
            <v>63</v>
          </cell>
          <cell r="AP1871">
            <v>0</v>
          </cell>
          <cell r="AQ1871">
            <v>61</v>
          </cell>
          <cell r="AR1871">
            <v>61</v>
          </cell>
          <cell r="BF1871">
            <v>49.599999999999994</v>
          </cell>
          <cell r="BG1871">
            <v>73.407999999999987</v>
          </cell>
          <cell r="BH1871">
            <v>73.407999999999987</v>
          </cell>
          <cell r="BI1871">
            <v>63</v>
          </cell>
          <cell r="BJ1871">
            <v>0</v>
          </cell>
        </row>
        <row r="1872">
          <cell r="D1872" t="str">
            <v>Technická univerzita v Košiciach</v>
          </cell>
          <cell r="E1872" t="str">
            <v>Letecká fakulta</v>
          </cell>
          <cell r="AN1872">
            <v>9</v>
          </cell>
          <cell r="AO1872">
            <v>9</v>
          </cell>
          <cell r="AP1872">
            <v>9</v>
          </cell>
          <cell r="AQ1872">
            <v>9</v>
          </cell>
          <cell r="AR1872">
            <v>9</v>
          </cell>
          <cell r="BF1872">
            <v>9</v>
          </cell>
          <cell r="BG1872">
            <v>13.32</v>
          </cell>
          <cell r="BH1872">
            <v>13.32</v>
          </cell>
          <cell r="BI1872">
            <v>9</v>
          </cell>
          <cell r="BJ1872">
            <v>0</v>
          </cell>
        </row>
        <row r="1873">
          <cell r="D1873" t="str">
            <v>Technická univerzita v Košiciach</v>
          </cell>
          <cell r="E1873" t="str">
            <v>Letecká fakulta</v>
          </cell>
          <cell r="AN1873">
            <v>7</v>
          </cell>
          <cell r="AO1873">
            <v>8</v>
          </cell>
          <cell r="AP1873">
            <v>8</v>
          </cell>
          <cell r="AQ1873">
            <v>7</v>
          </cell>
          <cell r="AR1873">
            <v>7</v>
          </cell>
          <cell r="BF1873">
            <v>7</v>
          </cell>
          <cell r="BG1873">
            <v>10.36</v>
          </cell>
          <cell r="BH1873">
            <v>10.36</v>
          </cell>
          <cell r="BI1873">
            <v>8</v>
          </cell>
          <cell r="BJ1873">
            <v>0</v>
          </cell>
        </row>
        <row r="1874">
          <cell r="D1874" t="str">
            <v>Technická univerzita v Košiciach</v>
          </cell>
          <cell r="E1874" t="str">
            <v>Letecká fakulta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R1874">
            <v>0</v>
          </cell>
          <cell r="BF1874">
            <v>0</v>
          </cell>
          <cell r="BG1874">
            <v>0</v>
          </cell>
          <cell r="BH1874">
            <v>0</v>
          </cell>
          <cell r="BI1874">
            <v>20</v>
          </cell>
          <cell r="BJ1874">
            <v>0</v>
          </cell>
        </row>
        <row r="1875">
          <cell r="D1875" t="str">
            <v>Technická univerzita v Košiciach</v>
          </cell>
          <cell r="E1875" t="str">
            <v>Ekonomická fakulta</v>
          </cell>
          <cell r="AN1875">
            <v>22</v>
          </cell>
          <cell r="AO1875">
            <v>0</v>
          </cell>
          <cell r="AP1875">
            <v>0</v>
          </cell>
          <cell r="AQ1875">
            <v>0</v>
          </cell>
          <cell r="AR1875">
            <v>22</v>
          </cell>
          <cell r="BF1875">
            <v>88</v>
          </cell>
          <cell r="BG1875">
            <v>96.800000000000011</v>
          </cell>
          <cell r="BH1875">
            <v>96.800000000000011</v>
          </cell>
          <cell r="BI1875">
            <v>22</v>
          </cell>
          <cell r="BJ1875">
            <v>22</v>
          </cell>
        </row>
        <row r="1876">
          <cell r="D1876" t="str">
            <v>Technická univerzita v Košiciach</v>
          </cell>
          <cell r="E1876" t="str">
            <v>Ekonomická fakulta</v>
          </cell>
          <cell r="AN1876">
            <v>0</v>
          </cell>
          <cell r="AO1876">
            <v>0</v>
          </cell>
          <cell r="AP1876">
            <v>0</v>
          </cell>
          <cell r="AQ1876">
            <v>0</v>
          </cell>
          <cell r="AR1876">
            <v>0</v>
          </cell>
          <cell r="BF1876">
            <v>0</v>
          </cell>
          <cell r="BG1876">
            <v>0</v>
          </cell>
          <cell r="BH1876">
            <v>0</v>
          </cell>
          <cell r="BI1876">
            <v>28</v>
          </cell>
          <cell r="BJ1876">
            <v>0</v>
          </cell>
        </row>
        <row r="1877">
          <cell r="D1877" t="str">
            <v>Technická univerzita v Košiciach</v>
          </cell>
          <cell r="E1877" t="str">
            <v>Ekonomická fakulta</v>
          </cell>
          <cell r="AN1877">
            <v>4</v>
          </cell>
          <cell r="AO1877">
            <v>0</v>
          </cell>
          <cell r="AP1877">
            <v>0</v>
          </cell>
          <cell r="AQ1877">
            <v>0</v>
          </cell>
          <cell r="AR1877">
            <v>4</v>
          </cell>
          <cell r="BF1877">
            <v>16</v>
          </cell>
          <cell r="BG1877">
            <v>17.600000000000001</v>
          </cell>
          <cell r="BH1877">
            <v>17.600000000000001</v>
          </cell>
          <cell r="BI1877">
            <v>4</v>
          </cell>
          <cell r="BJ1877">
            <v>4</v>
          </cell>
        </row>
        <row r="1878">
          <cell r="D1878" t="str">
            <v>Technická univerzita v Košiciach</v>
          </cell>
          <cell r="E1878" t="str">
            <v>Ekonomická fakulta</v>
          </cell>
          <cell r="AN1878">
            <v>26</v>
          </cell>
          <cell r="AO1878">
            <v>28</v>
          </cell>
          <cell r="AP1878">
            <v>0</v>
          </cell>
          <cell r="AQ1878">
            <v>0</v>
          </cell>
          <cell r="AR1878">
            <v>26</v>
          </cell>
          <cell r="BF1878">
            <v>39</v>
          </cell>
          <cell r="BG1878">
            <v>40.56</v>
          </cell>
          <cell r="BH1878">
            <v>30.42</v>
          </cell>
          <cell r="BI1878">
            <v>28</v>
          </cell>
          <cell r="BJ1878">
            <v>0</v>
          </cell>
        </row>
        <row r="1879">
          <cell r="D1879" t="str">
            <v>Technická univerzita v Košiciach</v>
          </cell>
          <cell r="E1879" t="str">
            <v>Ekonomická fakulta</v>
          </cell>
          <cell r="AN1879">
            <v>36</v>
          </cell>
          <cell r="AO1879">
            <v>36</v>
          </cell>
          <cell r="AP1879">
            <v>0</v>
          </cell>
          <cell r="AQ1879">
            <v>0</v>
          </cell>
          <cell r="AR1879">
            <v>36</v>
          </cell>
          <cell r="BF1879">
            <v>30.9</v>
          </cell>
          <cell r="BG1879">
            <v>32.136000000000003</v>
          </cell>
          <cell r="BH1879">
            <v>32.136000000000003</v>
          </cell>
          <cell r="BI1879">
            <v>36</v>
          </cell>
          <cell r="BJ1879">
            <v>0</v>
          </cell>
        </row>
        <row r="1880">
          <cell r="D1880" t="str">
            <v>Technická univerzita v Košiciach</v>
          </cell>
          <cell r="E1880" t="str">
            <v>Fakulta výrobných technológií so sídlom v Prešove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BF1880">
            <v>0</v>
          </cell>
          <cell r="BG1880">
            <v>0</v>
          </cell>
          <cell r="BH1880">
            <v>0</v>
          </cell>
          <cell r="BI1880">
            <v>30</v>
          </cell>
          <cell r="BJ1880">
            <v>0</v>
          </cell>
        </row>
        <row r="1881">
          <cell r="D1881" t="str">
            <v>Technická univerzita v Košiciach</v>
          </cell>
          <cell r="E1881" t="str">
            <v>Fakulta výrobných technológií so sídlom v Prešove</v>
          </cell>
          <cell r="AN1881">
            <v>5</v>
          </cell>
          <cell r="AO1881">
            <v>0</v>
          </cell>
          <cell r="AP1881">
            <v>0</v>
          </cell>
          <cell r="AQ1881">
            <v>5</v>
          </cell>
          <cell r="AR1881">
            <v>5</v>
          </cell>
          <cell r="BF1881">
            <v>20</v>
          </cell>
          <cell r="BG1881">
            <v>42.599999999999994</v>
          </cell>
          <cell r="BH1881">
            <v>42.599999999999994</v>
          </cell>
          <cell r="BI1881">
            <v>5</v>
          </cell>
          <cell r="BJ1881">
            <v>5</v>
          </cell>
        </row>
        <row r="1882">
          <cell r="D1882" t="str">
            <v>Technická univerzita v Košiciach</v>
          </cell>
          <cell r="E1882" t="str">
            <v>Fakulta výrobných technológií so sídlom v Prešove</v>
          </cell>
          <cell r="AN1882">
            <v>2</v>
          </cell>
          <cell r="AO1882">
            <v>0</v>
          </cell>
          <cell r="AP1882">
            <v>0</v>
          </cell>
          <cell r="AQ1882">
            <v>2</v>
          </cell>
          <cell r="AR1882">
            <v>2</v>
          </cell>
          <cell r="BF1882">
            <v>8</v>
          </cell>
          <cell r="BG1882">
            <v>17.04</v>
          </cell>
          <cell r="BH1882">
            <v>17.04</v>
          </cell>
          <cell r="BI1882">
            <v>2</v>
          </cell>
          <cell r="BJ1882">
            <v>2</v>
          </cell>
        </row>
        <row r="1883">
          <cell r="D1883" t="str">
            <v>Technická univerzita v Košiciach</v>
          </cell>
          <cell r="E1883" t="str">
            <v>Fakulta výrobných technológií so sídlom v Prešove</v>
          </cell>
          <cell r="AN1883">
            <v>9</v>
          </cell>
          <cell r="AO1883">
            <v>0</v>
          </cell>
          <cell r="AP1883">
            <v>0</v>
          </cell>
          <cell r="AQ1883">
            <v>9</v>
          </cell>
          <cell r="AR1883">
            <v>9</v>
          </cell>
          <cell r="BF1883">
            <v>36</v>
          </cell>
          <cell r="BG1883">
            <v>76.679999999999993</v>
          </cell>
          <cell r="BH1883">
            <v>76.679999999999993</v>
          </cell>
          <cell r="BI1883">
            <v>9</v>
          </cell>
          <cell r="BJ1883">
            <v>9</v>
          </cell>
        </row>
        <row r="1884">
          <cell r="D1884" t="str">
            <v>Technická univerzita v Košiciach</v>
          </cell>
          <cell r="E1884" t="str">
            <v>Fakulta výrobných technológií so sídlom v Prešove</v>
          </cell>
          <cell r="AN1884">
            <v>4</v>
          </cell>
          <cell r="AO1884">
            <v>0</v>
          </cell>
          <cell r="AP1884">
            <v>0</v>
          </cell>
          <cell r="AQ1884">
            <v>4</v>
          </cell>
          <cell r="AR1884">
            <v>4</v>
          </cell>
          <cell r="BF1884">
            <v>16</v>
          </cell>
          <cell r="BG1884">
            <v>34.08</v>
          </cell>
          <cell r="BH1884">
            <v>34.08</v>
          </cell>
          <cell r="BI1884">
            <v>4</v>
          </cell>
          <cell r="BJ1884">
            <v>4</v>
          </cell>
        </row>
        <row r="1885">
          <cell r="D1885" t="str">
            <v>Technická univerzita v Košiciach</v>
          </cell>
          <cell r="E1885" t="str">
            <v>Fakulta výrobných technológií so sídlom v Prešove</v>
          </cell>
          <cell r="AN1885">
            <v>70</v>
          </cell>
          <cell r="AO1885">
            <v>75</v>
          </cell>
          <cell r="AP1885">
            <v>75</v>
          </cell>
          <cell r="AQ1885">
            <v>70</v>
          </cell>
          <cell r="AR1885">
            <v>70</v>
          </cell>
          <cell r="BF1885">
            <v>59.5</v>
          </cell>
          <cell r="BG1885">
            <v>88.06</v>
          </cell>
          <cell r="BH1885">
            <v>88.06</v>
          </cell>
          <cell r="BI1885">
            <v>75</v>
          </cell>
          <cell r="BJ1885">
            <v>0</v>
          </cell>
        </row>
        <row r="1886">
          <cell r="D1886" t="str">
            <v>Technická univerzita v Košiciach</v>
          </cell>
          <cell r="E1886" t="str">
            <v>Fakulta výrobných technológií so sídlom v Prešove</v>
          </cell>
          <cell r="AN1886">
            <v>12</v>
          </cell>
          <cell r="AO1886">
            <v>13</v>
          </cell>
          <cell r="AP1886">
            <v>0</v>
          </cell>
          <cell r="AQ1886">
            <v>0</v>
          </cell>
          <cell r="AR1886">
            <v>12</v>
          </cell>
          <cell r="BF1886">
            <v>18</v>
          </cell>
          <cell r="BG1886">
            <v>26.64</v>
          </cell>
          <cell r="BH1886">
            <v>17.760000000000002</v>
          </cell>
          <cell r="BI1886">
            <v>13</v>
          </cell>
          <cell r="BJ1886">
            <v>0</v>
          </cell>
        </row>
        <row r="1887">
          <cell r="D1887" t="str">
            <v>Technická univerzita v Košiciach</v>
          </cell>
          <cell r="E1887" t="str">
            <v>Fakulta výrobných technológií so sídlom v Prešove</v>
          </cell>
          <cell r="AN1887">
            <v>113</v>
          </cell>
          <cell r="AO1887">
            <v>115</v>
          </cell>
          <cell r="AP1887">
            <v>0</v>
          </cell>
          <cell r="AQ1887">
            <v>0</v>
          </cell>
          <cell r="AR1887">
            <v>113</v>
          </cell>
          <cell r="BF1887">
            <v>169.5</v>
          </cell>
          <cell r="BG1887">
            <v>250.85999999999999</v>
          </cell>
          <cell r="BH1887">
            <v>225.774</v>
          </cell>
          <cell r="BI1887">
            <v>115</v>
          </cell>
          <cell r="BJ1887">
            <v>0</v>
          </cell>
        </row>
        <row r="1888">
          <cell r="D1888" t="str">
            <v>Technická univerzita v Košiciach</v>
          </cell>
          <cell r="E1888" t="str">
            <v>Fakulta umení</v>
          </cell>
          <cell r="AN1888">
            <v>21</v>
          </cell>
          <cell r="AO1888">
            <v>22</v>
          </cell>
          <cell r="AP1888">
            <v>0</v>
          </cell>
          <cell r="AQ1888">
            <v>0</v>
          </cell>
          <cell r="AR1888">
            <v>21</v>
          </cell>
          <cell r="BF1888">
            <v>31.5</v>
          </cell>
          <cell r="BG1888">
            <v>47.25</v>
          </cell>
          <cell r="BH1888">
            <v>17.181818181818183</v>
          </cell>
          <cell r="BI1888">
            <v>22</v>
          </cell>
          <cell r="BJ1888">
            <v>0</v>
          </cell>
        </row>
        <row r="1889">
          <cell r="D1889" t="str">
            <v>Vysoká škola zdravotníctva a sociálnej práce sv. Alžbety v Bratislave, n. o.</v>
          </cell>
          <cell r="E1889">
            <v>0</v>
          </cell>
          <cell r="AN1889">
            <v>187</v>
          </cell>
          <cell r="AO1889">
            <v>0</v>
          </cell>
          <cell r="AP1889">
            <v>0</v>
          </cell>
          <cell r="AQ1889">
            <v>0</v>
          </cell>
          <cell r="AR1889">
            <v>0</v>
          </cell>
          <cell r="BF1889">
            <v>0</v>
          </cell>
          <cell r="BG1889">
            <v>0</v>
          </cell>
          <cell r="BH1889">
            <v>0</v>
          </cell>
          <cell r="BI1889">
            <v>187</v>
          </cell>
          <cell r="BJ1889">
            <v>0</v>
          </cell>
        </row>
        <row r="1890">
          <cell r="D1890" t="str">
            <v>Vysoká škola zdravotníctva a sociálnej práce sv. Alžbety v Bratislave, n. o.</v>
          </cell>
          <cell r="E1890">
            <v>0</v>
          </cell>
          <cell r="AN1890">
            <v>22</v>
          </cell>
          <cell r="AO1890">
            <v>22</v>
          </cell>
          <cell r="AP1890">
            <v>0</v>
          </cell>
          <cell r="AQ1890">
            <v>0</v>
          </cell>
          <cell r="AR1890">
            <v>22</v>
          </cell>
          <cell r="BF1890">
            <v>20.2</v>
          </cell>
          <cell r="BG1890">
            <v>29.895999999999997</v>
          </cell>
          <cell r="BH1890">
            <v>29.895999999999997</v>
          </cell>
          <cell r="BI1890">
            <v>22</v>
          </cell>
          <cell r="BJ1890">
            <v>0</v>
          </cell>
        </row>
        <row r="1891">
          <cell r="D1891" t="str">
            <v>Vysoká škola zdravotníctva a sociálnej práce sv. Alžbety v Bratislave, n. o.</v>
          </cell>
          <cell r="E1891">
            <v>0</v>
          </cell>
          <cell r="AN1891">
            <v>71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BF1891">
            <v>0</v>
          </cell>
          <cell r="BG1891">
            <v>0</v>
          </cell>
          <cell r="BH1891">
            <v>0</v>
          </cell>
          <cell r="BI1891">
            <v>71</v>
          </cell>
          <cell r="BJ1891">
            <v>0</v>
          </cell>
        </row>
        <row r="1892">
          <cell r="D1892" t="str">
            <v>Vysoká škola zdravotníctva a sociálnej práce sv. Alžbety v Bratislave, n. o.</v>
          </cell>
          <cell r="E1892">
            <v>0</v>
          </cell>
          <cell r="AN1892">
            <v>182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BF1892">
            <v>0</v>
          </cell>
          <cell r="BG1892">
            <v>0</v>
          </cell>
          <cell r="BH1892">
            <v>0</v>
          </cell>
          <cell r="BI1892">
            <v>182</v>
          </cell>
          <cell r="BJ1892">
            <v>0</v>
          </cell>
        </row>
        <row r="1893">
          <cell r="D1893" t="str">
            <v>Vysoká škola zdravotníctva a sociálnej práce sv. Alžbety v Bratislave, n. o.</v>
          </cell>
          <cell r="E1893">
            <v>0</v>
          </cell>
          <cell r="AN1893">
            <v>34</v>
          </cell>
          <cell r="AO1893">
            <v>34</v>
          </cell>
          <cell r="AP1893">
            <v>0</v>
          </cell>
          <cell r="AQ1893">
            <v>0</v>
          </cell>
          <cell r="AR1893">
            <v>34</v>
          </cell>
          <cell r="BF1893">
            <v>30.4</v>
          </cell>
          <cell r="BG1893">
            <v>44.991999999999997</v>
          </cell>
          <cell r="BH1893">
            <v>25.709714285714284</v>
          </cell>
          <cell r="BI1893">
            <v>34</v>
          </cell>
          <cell r="BJ1893">
            <v>0</v>
          </cell>
        </row>
        <row r="1894">
          <cell r="D1894" t="str">
            <v>Vysoká škola zdravotníctva a sociálnej práce sv. Alžbety v Bratislave, n. o.</v>
          </cell>
          <cell r="E1894">
            <v>0</v>
          </cell>
          <cell r="AN1894">
            <v>80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BF1894">
            <v>0</v>
          </cell>
          <cell r="BG1894">
            <v>0</v>
          </cell>
          <cell r="BH1894">
            <v>0</v>
          </cell>
          <cell r="BI1894">
            <v>80</v>
          </cell>
          <cell r="BJ1894">
            <v>0</v>
          </cell>
        </row>
        <row r="1895">
          <cell r="D1895" t="str">
            <v>Vysoká škola zdravotníctva a sociálnej práce sv. Alžbety v Bratislave, n. o.</v>
          </cell>
          <cell r="E1895">
            <v>0</v>
          </cell>
          <cell r="AN1895">
            <v>223</v>
          </cell>
          <cell r="AO1895">
            <v>223</v>
          </cell>
          <cell r="AP1895">
            <v>223</v>
          </cell>
          <cell r="AQ1895">
            <v>0</v>
          </cell>
          <cell r="AR1895">
            <v>223</v>
          </cell>
          <cell r="BF1895">
            <v>199.9</v>
          </cell>
          <cell r="BG1895">
            <v>429.78499999999997</v>
          </cell>
          <cell r="BH1895">
            <v>422.29745644599302</v>
          </cell>
          <cell r="BI1895">
            <v>223</v>
          </cell>
          <cell r="BJ1895">
            <v>0</v>
          </cell>
        </row>
        <row r="1896">
          <cell r="D1896" t="str">
            <v>Vysoká škola zdravotníctva a sociálnej práce sv. Alžbety v Bratislave, n. o.</v>
          </cell>
          <cell r="E1896">
            <v>0</v>
          </cell>
          <cell r="AN1896">
            <v>69</v>
          </cell>
          <cell r="AO1896">
            <v>0</v>
          </cell>
          <cell r="AP1896">
            <v>0</v>
          </cell>
          <cell r="AQ1896">
            <v>0</v>
          </cell>
          <cell r="AR1896">
            <v>0</v>
          </cell>
          <cell r="BF1896">
            <v>0</v>
          </cell>
          <cell r="BG1896">
            <v>0</v>
          </cell>
          <cell r="BH1896">
            <v>0</v>
          </cell>
          <cell r="BI1896">
            <v>69</v>
          </cell>
          <cell r="BJ1896">
            <v>0</v>
          </cell>
        </row>
        <row r="1897">
          <cell r="D1897" t="str">
            <v>Vysoká škola zdravotníctva a sociálnej práce sv. Alžbety v Bratislave, n. o.</v>
          </cell>
          <cell r="E1897">
            <v>0</v>
          </cell>
          <cell r="AN1897">
            <v>102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BF1897">
            <v>0</v>
          </cell>
          <cell r="BG1897">
            <v>0</v>
          </cell>
          <cell r="BH1897">
            <v>0</v>
          </cell>
          <cell r="BI1897">
            <v>102</v>
          </cell>
          <cell r="BJ1897">
            <v>0</v>
          </cell>
        </row>
        <row r="1898">
          <cell r="D1898" t="str">
            <v>Vysoká škola zdravotníctva a sociálnej práce sv. Alžbety v Bratislave, n. o.</v>
          </cell>
          <cell r="E1898">
            <v>0</v>
          </cell>
          <cell r="AN1898">
            <v>32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BF1898">
            <v>0</v>
          </cell>
          <cell r="BG1898">
            <v>0</v>
          </cell>
          <cell r="BH1898">
            <v>0</v>
          </cell>
          <cell r="BI1898">
            <v>32</v>
          </cell>
          <cell r="BJ1898">
            <v>0</v>
          </cell>
        </row>
        <row r="1899">
          <cell r="D1899" t="str">
            <v>Vysoká škola zdravotníctva a sociálnej práce sv. Alžbety v Bratislave, n. o.</v>
          </cell>
          <cell r="E1899">
            <v>0</v>
          </cell>
          <cell r="AN1899">
            <v>43</v>
          </cell>
          <cell r="AO1899">
            <v>0</v>
          </cell>
          <cell r="AP1899">
            <v>0</v>
          </cell>
          <cell r="AQ1899">
            <v>0</v>
          </cell>
          <cell r="AR1899">
            <v>0</v>
          </cell>
          <cell r="BF1899">
            <v>0</v>
          </cell>
          <cell r="BG1899">
            <v>0</v>
          </cell>
          <cell r="BH1899">
            <v>0</v>
          </cell>
          <cell r="BI1899">
            <v>43</v>
          </cell>
          <cell r="BJ1899">
            <v>0</v>
          </cell>
        </row>
        <row r="1900">
          <cell r="D1900" t="str">
            <v>Vysoká škola zdravotníctva a sociálnej práce sv. Alžbety v Bratislave, n. o.</v>
          </cell>
          <cell r="E1900">
            <v>0</v>
          </cell>
          <cell r="AN1900">
            <v>87</v>
          </cell>
          <cell r="AO1900">
            <v>0</v>
          </cell>
          <cell r="AP1900">
            <v>0</v>
          </cell>
          <cell r="AQ1900">
            <v>0</v>
          </cell>
          <cell r="AR1900">
            <v>0</v>
          </cell>
          <cell r="BF1900">
            <v>0</v>
          </cell>
          <cell r="BG1900">
            <v>0</v>
          </cell>
          <cell r="BH1900">
            <v>0</v>
          </cell>
          <cell r="BI1900">
            <v>87</v>
          </cell>
          <cell r="BJ1900">
            <v>0</v>
          </cell>
        </row>
        <row r="1901">
          <cell r="D1901" t="str">
            <v>Vysoká škola zdravotníctva a sociálnej práce sv. Alžbety v Bratislave, n. o.</v>
          </cell>
          <cell r="E1901" t="str">
            <v>Fakulta zdravotníctva a sociálnej práce sv. Ladislava</v>
          </cell>
          <cell r="AN1901">
            <v>24</v>
          </cell>
          <cell r="AO1901">
            <v>24</v>
          </cell>
          <cell r="AP1901">
            <v>24</v>
          </cell>
          <cell r="AQ1901">
            <v>0</v>
          </cell>
          <cell r="AR1901">
            <v>24</v>
          </cell>
          <cell r="BF1901">
            <v>21.6</v>
          </cell>
          <cell r="BG1901">
            <v>46.44</v>
          </cell>
          <cell r="BH1901">
            <v>46.44</v>
          </cell>
          <cell r="BI1901">
            <v>24</v>
          </cell>
          <cell r="BJ1901">
            <v>0</v>
          </cell>
        </row>
        <row r="1902">
          <cell r="D1902" t="str">
            <v>Vysoká škola zdravotníctva a sociálnej práce sv. Alžbety v Bratislave, n. o.</v>
          </cell>
          <cell r="E1902">
            <v>0</v>
          </cell>
          <cell r="AN1902">
            <v>48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BF1902">
            <v>0</v>
          </cell>
          <cell r="BG1902">
            <v>0</v>
          </cell>
          <cell r="BH1902">
            <v>0</v>
          </cell>
          <cell r="BI1902">
            <v>48</v>
          </cell>
          <cell r="BJ1902">
            <v>0</v>
          </cell>
        </row>
        <row r="1903">
          <cell r="D1903" t="str">
            <v>Vysoká škola zdravotníctva a sociálnej práce sv. Alžbety v Bratislave, n. o.</v>
          </cell>
          <cell r="E1903">
            <v>0</v>
          </cell>
          <cell r="AN1903">
            <v>101</v>
          </cell>
          <cell r="AO1903">
            <v>101</v>
          </cell>
          <cell r="AP1903">
            <v>101</v>
          </cell>
          <cell r="AQ1903">
            <v>0</v>
          </cell>
          <cell r="AR1903">
            <v>101</v>
          </cell>
          <cell r="BF1903">
            <v>89.9</v>
          </cell>
          <cell r="BG1903">
            <v>193.285</v>
          </cell>
          <cell r="BH1903">
            <v>189.91766550522649</v>
          </cell>
          <cell r="BI1903">
            <v>101</v>
          </cell>
          <cell r="BJ1903">
            <v>0</v>
          </cell>
        </row>
        <row r="1904">
          <cell r="D1904" t="str">
            <v>Vysoká škola zdravotníctva a sociálnej práce sv. Alžbety v Bratislave, n. o.</v>
          </cell>
          <cell r="E1904">
            <v>0</v>
          </cell>
          <cell r="AN1904">
            <v>112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BF1904">
            <v>0</v>
          </cell>
          <cell r="BG1904">
            <v>0</v>
          </cell>
          <cell r="BH1904">
            <v>0</v>
          </cell>
          <cell r="BI1904">
            <v>112</v>
          </cell>
          <cell r="BJ1904">
            <v>0</v>
          </cell>
        </row>
        <row r="1905">
          <cell r="D1905" t="str">
            <v>Vysoká škola zdravotníctva a sociálnej práce sv. Alžbety v Bratislave, n. o.</v>
          </cell>
          <cell r="E1905">
            <v>0</v>
          </cell>
          <cell r="AN1905">
            <v>80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BF1905">
            <v>0</v>
          </cell>
          <cell r="BG1905">
            <v>0</v>
          </cell>
          <cell r="BH1905">
            <v>0</v>
          </cell>
          <cell r="BI1905">
            <v>80</v>
          </cell>
          <cell r="BJ1905">
            <v>0</v>
          </cell>
        </row>
        <row r="1906">
          <cell r="D1906" t="str">
            <v>Vysoká škola zdravotníctva a sociálnej práce sv. Alžbety v Bratislave, n. o.</v>
          </cell>
          <cell r="E1906">
            <v>0</v>
          </cell>
          <cell r="AN1906">
            <v>79</v>
          </cell>
          <cell r="AO1906">
            <v>0</v>
          </cell>
          <cell r="AP1906">
            <v>0</v>
          </cell>
          <cell r="AQ1906">
            <v>0</v>
          </cell>
          <cell r="AR1906">
            <v>0</v>
          </cell>
          <cell r="BF1906">
            <v>0</v>
          </cell>
          <cell r="BG1906">
            <v>0</v>
          </cell>
          <cell r="BH1906">
            <v>0</v>
          </cell>
          <cell r="BI1906">
            <v>79</v>
          </cell>
          <cell r="BJ1906">
            <v>0</v>
          </cell>
        </row>
        <row r="1907">
          <cell r="D1907" t="str">
            <v>Vysoká škola zdravotníctva a sociálnej práce sv. Alžbety v Bratislave, n. o.</v>
          </cell>
          <cell r="E1907">
            <v>0</v>
          </cell>
          <cell r="AN1907">
            <v>81</v>
          </cell>
          <cell r="AO1907">
            <v>0</v>
          </cell>
          <cell r="AP1907">
            <v>0</v>
          </cell>
          <cell r="AQ1907">
            <v>0</v>
          </cell>
          <cell r="AR1907">
            <v>0</v>
          </cell>
          <cell r="BF1907">
            <v>0</v>
          </cell>
          <cell r="BG1907">
            <v>0</v>
          </cell>
          <cell r="BH1907">
            <v>0</v>
          </cell>
          <cell r="BI1907">
            <v>81</v>
          </cell>
          <cell r="BJ1907">
            <v>0</v>
          </cell>
        </row>
        <row r="1908">
          <cell r="D1908" t="str">
            <v>Vysoká škola zdravotníctva a sociálnej práce sv. Alžbety v Bratislave, n. o.</v>
          </cell>
          <cell r="E1908">
            <v>0</v>
          </cell>
          <cell r="AN1908">
            <v>146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BF1908">
            <v>0</v>
          </cell>
          <cell r="BG1908">
            <v>0</v>
          </cell>
          <cell r="BH1908">
            <v>0</v>
          </cell>
          <cell r="BI1908">
            <v>146</v>
          </cell>
          <cell r="BJ1908">
            <v>0</v>
          </cell>
        </row>
        <row r="1909">
          <cell r="D1909" t="str">
            <v>Vysoká škola zdravotníctva a sociálnej práce sv. Alžbety v Bratislave, n. o.</v>
          </cell>
          <cell r="E1909">
            <v>0</v>
          </cell>
          <cell r="AN1909">
            <v>4</v>
          </cell>
          <cell r="AO1909">
            <v>4</v>
          </cell>
          <cell r="AP1909">
            <v>0</v>
          </cell>
          <cell r="AQ1909">
            <v>0</v>
          </cell>
          <cell r="AR1909">
            <v>4</v>
          </cell>
          <cell r="BF1909">
            <v>6</v>
          </cell>
          <cell r="BG1909">
            <v>6</v>
          </cell>
          <cell r="BH1909">
            <v>5.419354838709677</v>
          </cell>
          <cell r="BI1909">
            <v>4</v>
          </cell>
          <cell r="BJ1909">
            <v>0</v>
          </cell>
        </row>
        <row r="1910">
          <cell r="D1910" t="str">
            <v>Vysoká škola zdravotníctva a sociálnej práce sv. Alžbety v Bratislave, n. o.</v>
          </cell>
          <cell r="E1910">
            <v>0</v>
          </cell>
          <cell r="AN1910">
            <v>123</v>
          </cell>
          <cell r="AO1910">
            <v>123</v>
          </cell>
          <cell r="AP1910">
            <v>123</v>
          </cell>
          <cell r="AQ1910">
            <v>0</v>
          </cell>
          <cell r="AR1910">
            <v>123</v>
          </cell>
          <cell r="BF1910">
            <v>104.4</v>
          </cell>
          <cell r="BG1910">
            <v>224.46</v>
          </cell>
          <cell r="BH1910">
            <v>224.46</v>
          </cell>
          <cell r="BI1910">
            <v>123</v>
          </cell>
          <cell r="BJ1910">
            <v>0</v>
          </cell>
        </row>
        <row r="1911">
          <cell r="D1911" t="str">
            <v>Vysoká škola zdravotníctva a sociálnej práce sv. Alžbety v Bratislave, n. o.</v>
          </cell>
          <cell r="E1911">
            <v>0</v>
          </cell>
          <cell r="AN1911">
            <v>92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BF1911">
            <v>0</v>
          </cell>
          <cell r="BG1911">
            <v>0</v>
          </cell>
          <cell r="BH1911">
            <v>0</v>
          </cell>
          <cell r="BI1911">
            <v>92</v>
          </cell>
          <cell r="BJ1911">
            <v>0</v>
          </cell>
        </row>
        <row r="1912">
          <cell r="D1912" t="str">
            <v>Technická univerzita v Košiciach</v>
          </cell>
          <cell r="E1912" t="str">
            <v>Stavebná fakulta</v>
          </cell>
          <cell r="AN1912">
            <v>1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BF1912">
            <v>0</v>
          </cell>
          <cell r="BG1912">
            <v>0</v>
          </cell>
          <cell r="BH1912">
            <v>0</v>
          </cell>
          <cell r="BI1912">
            <v>27</v>
          </cell>
          <cell r="BJ1912">
            <v>0</v>
          </cell>
        </row>
        <row r="1913">
          <cell r="D1913" t="str">
            <v>Technická univerzita v Košiciach</v>
          </cell>
          <cell r="E1913" t="str">
            <v>Stavebná fakulta</v>
          </cell>
          <cell r="AN1913">
            <v>10</v>
          </cell>
          <cell r="AO1913">
            <v>12</v>
          </cell>
          <cell r="AP1913">
            <v>12</v>
          </cell>
          <cell r="AQ1913">
            <v>10</v>
          </cell>
          <cell r="AR1913">
            <v>10</v>
          </cell>
          <cell r="BF1913">
            <v>15</v>
          </cell>
          <cell r="BG1913">
            <v>22.2</v>
          </cell>
          <cell r="BH1913">
            <v>22.2</v>
          </cell>
          <cell r="BI1913">
            <v>12</v>
          </cell>
          <cell r="BJ1913">
            <v>0</v>
          </cell>
        </row>
        <row r="1914">
          <cell r="D1914" t="str">
            <v>Technická univerzita v Košiciach</v>
          </cell>
          <cell r="E1914" t="str">
            <v>Stavebná fakulta</v>
          </cell>
          <cell r="AN1914">
            <v>19</v>
          </cell>
          <cell r="AO1914">
            <v>20</v>
          </cell>
          <cell r="AP1914">
            <v>0</v>
          </cell>
          <cell r="AQ1914">
            <v>0</v>
          </cell>
          <cell r="AR1914">
            <v>19</v>
          </cell>
          <cell r="BF1914">
            <v>28.5</v>
          </cell>
          <cell r="BG1914">
            <v>42.18</v>
          </cell>
          <cell r="BH1914">
            <v>38.935384615384621</v>
          </cell>
          <cell r="BI1914">
            <v>20</v>
          </cell>
          <cell r="BJ1914">
            <v>0</v>
          </cell>
        </row>
        <row r="1915">
          <cell r="D1915" t="str">
            <v>Trnavská univerzita v Trnave</v>
          </cell>
          <cell r="E1915" t="str">
            <v>Teologická fakulta</v>
          </cell>
          <cell r="AN1915">
            <v>0</v>
          </cell>
          <cell r="AO1915">
            <v>0</v>
          </cell>
          <cell r="AP1915">
            <v>0</v>
          </cell>
          <cell r="AQ1915">
            <v>0</v>
          </cell>
          <cell r="AR1915">
            <v>0</v>
          </cell>
          <cell r="BF1915">
            <v>0</v>
          </cell>
          <cell r="BG1915">
            <v>0</v>
          </cell>
          <cell r="BH1915">
            <v>0</v>
          </cell>
          <cell r="BI1915">
            <v>10</v>
          </cell>
          <cell r="BJ1915">
            <v>0</v>
          </cell>
        </row>
        <row r="1916">
          <cell r="D1916" t="str">
            <v>Trnavská univerzita v Trnave</v>
          </cell>
          <cell r="E1916" t="str">
            <v>Teologická fakulta</v>
          </cell>
          <cell r="AN1916">
            <v>11</v>
          </cell>
          <cell r="AO1916">
            <v>14</v>
          </cell>
          <cell r="AP1916">
            <v>0</v>
          </cell>
          <cell r="AQ1916">
            <v>0</v>
          </cell>
          <cell r="AR1916">
            <v>11</v>
          </cell>
          <cell r="BF1916">
            <v>16.5</v>
          </cell>
          <cell r="BG1916">
            <v>16.5</v>
          </cell>
          <cell r="BH1916">
            <v>14.666666666666666</v>
          </cell>
          <cell r="BI1916">
            <v>14</v>
          </cell>
          <cell r="BJ1916">
            <v>0</v>
          </cell>
        </row>
        <row r="1917">
          <cell r="D1917" t="str">
            <v>Trnavská univerzita v Trnave</v>
          </cell>
          <cell r="E1917" t="str">
            <v>Teologická fakulta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R1917">
            <v>0</v>
          </cell>
          <cell r="BF1917">
            <v>0</v>
          </cell>
          <cell r="BG1917">
            <v>0</v>
          </cell>
          <cell r="BH1917">
            <v>0</v>
          </cell>
          <cell r="BI1917">
            <v>4</v>
          </cell>
          <cell r="BJ1917">
            <v>0</v>
          </cell>
        </row>
        <row r="1918">
          <cell r="D1918" t="str">
            <v>Trnavská univerzita v Trnave</v>
          </cell>
          <cell r="E1918" t="str">
            <v>Teologická fakulta</v>
          </cell>
          <cell r="AN1918">
            <v>9</v>
          </cell>
          <cell r="AO1918">
            <v>14</v>
          </cell>
          <cell r="AP1918">
            <v>0</v>
          </cell>
          <cell r="AQ1918">
            <v>0</v>
          </cell>
          <cell r="AR1918">
            <v>9</v>
          </cell>
          <cell r="BF1918">
            <v>7.5</v>
          </cell>
          <cell r="BG1918">
            <v>7.5</v>
          </cell>
          <cell r="BH1918">
            <v>7.5</v>
          </cell>
          <cell r="BI1918">
            <v>14</v>
          </cell>
          <cell r="BJ1918">
            <v>0</v>
          </cell>
        </row>
        <row r="1919">
          <cell r="D1919" t="str">
            <v>Trnavská univerzita v Trnave</v>
          </cell>
          <cell r="E1919" t="str">
            <v>Teologická fakulta</v>
          </cell>
          <cell r="AN1919">
            <v>3</v>
          </cell>
          <cell r="AO1919">
            <v>0</v>
          </cell>
          <cell r="AP1919">
            <v>0</v>
          </cell>
          <cell r="AQ1919">
            <v>0</v>
          </cell>
          <cell r="AR1919">
            <v>3</v>
          </cell>
          <cell r="BF1919">
            <v>12</v>
          </cell>
          <cell r="BG1919">
            <v>13.200000000000001</v>
          </cell>
          <cell r="BH1919">
            <v>13.200000000000001</v>
          </cell>
          <cell r="BI1919">
            <v>4</v>
          </cell>
          <cell r="BJ1919">
            <v>3</v>
          </cell>
        </row>
        <row r="1920">
          <cell r="D1920" t="str">
            <v>Slovenská zdravotnícka univerzita v Bratislave</v>
          </cell>
          <cell r="E1920" t="str">
            <v>Fakulta zdravotníctva so sídlom v Banskej Bystrici</v>
          </cell>
          <cell r="AN1920">
            <v>103</v>
          </cell>
          <cell r="AO1920">
            <v>110</v>
          </cell>
          <cell r="AP1920">
            <v>0</v>
          </cell>
          <cell r="AQ1920">
            <v>0</v>
          </cell>
          <cell r="AR1920">
            <v>103</v>
          </cell>
          <cell r="BF1920">
            <v>90.7</v>
          </cell>
          <cell r="BG1920">
            <v>195.005</v>
          </cell>
          <cell r="BH1920">
            <v>195.005</v>
          </cell>
          <cell r="BI1920">
            <v>110</v>
          </cell>
          <cell r="BJ1920">
            <v>0</v>
          </cell>
        </row>
        <row r="1921">
          <cell r="D1921" t="str">
            <v>Slovenská zdravotnícka univerzita v Bratislave</v>
          </cell>
          <cell r="E1921" t="str">
            <v>Fakulta zdravotníctva so sídlom v Banskej Bystrici</v>
          </cell>
          <cell r="AN1921">
            <v>70</v>
          </cell>
          <cell r="AO1921">
            <v>74</v>
          </cell>
          <cell r="AP1921">
            <v>0</v>
          </cell>
          <cell r="AQ1921">
            <v>0</v>
          </cell>
          <cell r="AR1921">
            <v>70</v>
          </cell>
          <cell r="BF1921">
            <v>60.7</v>
          </cell>
          <cell r="BG1921">
            <v>130.505</v>
          </cell>
          <cell r="BH1921">
            <v>130.505</v>
          </cell>
          <cell r="BI1921">
            <v>74</v>
          </cell>
          <cell r="BJ1921">
            <v>0</v>
          </cell>
        </row>
        <row r="1922">
          <cell r="D1922" t="str">
            <v>Trnavská univerzita v Trnave</v>
          </cell>
          <cell r="E1922" t="str">
            <v>Filozofická fakulta</v>
          </cell>
          <cell r="AN1922">
            <v>3</v>
          </cell>
          <cell r="AO1922">
            <v>0</v>
          </cell>
          <cell r="AP1922">
            <v>0</v>
          </cell>
          <cell r="AQ1922">
            <v>0</v>
          </cell>
          <cell r="AR1922">
            <v>3</v>
          </cell>
          <cell r="BF1922">
            <v>12</v>
          </cell>
          <cell r="BG1922">
            <v>13.200000000000001</v>
          </cell>
          <cell r="BH1922">
            <v>13.200000000000001</v>
          </cell>
          <cell r="BI1922">
            <v>3</v>
          </cell>
          <cell r="BJ1922">
            <v>3</v>
          </cell>
        </row>
        <row r="1923">
          <cell r="D1923" t="str">
            <v>Trnavská univerzita v Trnave</v>
          </cell>
          <cell r="E1923" t="str">
            <v>Filozofická fakulta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R1923">
            <v>0</v>
          </cell>
          <cell r="BF1923">
            <v>0</v>
          </cell>
          <cell r="BG1923">
            <v>0</v>
          </cell>
          <cell r="BH1923">
            <v>0</v>
          </cell>
          <cell r="BI1923">
            <v>2</v>
          </cell>
          <cell r="BJ1923">
            <v>0</v>
          </cell>
        </row>
        <row r="1924">
          <cell r="D1924" t="str">
            <v>Trnavská univerzita v Trnave</v>
          </cell>
          <cell r="E1924" t="str">
            <v>Filozofická fakulta</v>
          </cell>
          <cell r="AN1924">
            <v>7</v>
          </cell>
          <cell r="AO1924">
            <v>10</v>
          </cell>
          <cell r="AP1924">
            <v>0</v>
          </cell>
          <cell r="AQ1924">
            <v>0</v>
          </cell>
          <cell r="AR1924">
            <v>7</v>
          </cell>
          <cell r="BF1924">
            <v>10.5</v>
          </cell>
          <cell r="BG1924">
            <v>10.5</v>
          </cell>
          <cell r="BH1924">
            <v>6.3</v>
          </cell>
          <cell r="BI1924">
            <v>10</v>
          </cell>
          <cell r="BJ1924">
            <v>0</v>
          </cell>
        </row>
        <row r="1925">
          <cell r="D1925" t="str">
            <v>Trnavská univerzita v Trnave</v>
          </cell>
          <cell r="E1925" t="str">
            <v>Filozofická fakulta</v>
          </cell>
          <cell r="AN1925">
            <v>0</v>
          </cell>
          <cell r="AO1925">
            <v>0</v>
          </cell>
          <cell r="AP1925">
            <v>0</v>
          </cell>
          <cell r="AQ1925">
            <v>0</v>
          </cell>
          <cell r="AR1925">
            <v>0</v>
          </cell>
          <cell r="BF1925">
            <v>0</v>
          </cell>
          <cell r="BG1925">
            <v>0</v>
          </cell>
          <cell r="BH1925">
            <v>0</v>
          </cell>
          <cell r="BI1925">
            <v>3</v>
          </cell>
          <cell r="BJ1925">
            <v>0</v>
          </cell>
        </row>
        <row r="1926">
          <cell r="D1926" t="str">
            <v>Trnavská univerzita v Trnave</v>
          </cell>
          <cell r="E1926" t="str">
            <v>Filozofická fakulta</v>
          </cell>
          <cell r="AN1926">
            <v>21</v>
          </cell>
          <cell r="AO1926">
            <v>23</v>
          </cell>
          <cell r="AP1926">
            <v>0</v>
          </cell>
          <cell r="AQ1926">
            <v>0</v>
          </cell>
          <cell r="AR1926">
            <v>21</v>
          </cell>
          <cell r="BF1926">
            <v>16.2</v>
          </cell>
          <cell r="BG1926">
            <v>16.2</v>
          </cell>
          <cell r="BH1926">
            <v>16.2</v>
          </cell>
          <cell r="BI1926">
            <v>23</v>
          </cell>
          <cell r="BJ1926">
            <v>0</v>
          </cell>
        </row>
        <row r="1927">
          <cell r="D1927" t="str">
            <v>Trnavská univerzita v Trnave</v>
          </cell>
          <cell r="E1927" t="str">
            <v>Filozofická fakulta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BF1927">
            <v>0</v>
          </cell>
          <cell r="BG1927">
            <v>0</v>
          </cell>
          <cell r="BH1927">
            <v>0</v>
          </cell>
          <cell r="BI1927">
            <v>1</v>
          </cell>
          <cell r="BJ1927">
            <v>0</v>
          </cell>
        </row>
        <row r="1928">
          <cell r="D1928" t="str">
            <v>Trnavská univerzita v Trnave</v>
          </cell>
          <cell r="E1928" t="str">
            <v>Filozofická fakulta</v>
          </cell>
          <cell r="AN1928">
            <v>76</v>
          </cell>
          <cell r="AO1928">
            <v>88</v>
          </cell>
          <cell r="AP1928">
            <v>0</v>
          </cell>
          <cell r="AQ1928">
            <v>0</v>
          </cell>
          <cell r="AR1928">
            <v>76</v>
          </cell>
          <cell r="BF1928">
            <v>114</v>
          </cell>
          <cell r="BG1928">
            <v>114</v>
          </cell>
          <cell r="BH1928">
            <v>90.413793103448285</v>
          </cell>
          <cell r="BI1928">
            <v>88</v>
          </cell>
          <cell r="BJ1928">
            <v>0</v>
          </cell>
        </row>
        <row r="1929">
          <cell r="D1929" t="str">
            <v>Trnavská univerzita v Trnave</v>
          </cell>
          <cell r="E1929" t="str">
            <v>Filozofická fakulta</v>
          </cell>
          <cell r="AN1929">
            <v>31</v>
          </cell>
          <cell r="AO1929">
            <v>40</v>
          </cell>
          <cell r="AP1929">
            <v>0</v>
          </cell>
          <cell r="AQ1929">
            <v>0</v>
          </cell>
          <cell r="AR1929">
            <v>31</v>
          </cell>
          <cell r="BF1929">
            <v>46.5</v>
          </cell>
          <cell r="BG1929">
            <v>46.5</v>
          </cell>
          <cell r="BH1929">
            <v>35.769230769230766</v>
          </cell>
          <cell r="BI1929">
            <v>40</v>
          </cell>
          <cell r="BJ1929">
            <v>0</v>
          </cell>
        </row>
        <row r="1930">
          <cell r="D1930" t="str">
            <v>Trnavská univerzita v Trnave</v>
          </cell>
          <cell r="E1930" t="str">
            <v>Filozofická fakulta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5</v>
          </cell>
          <cell r="BJ1930">
            <v>0</v>
          </cell>
        </row>
        <row r="1931">
          <cell r="D1931" t="str">
            <v>Trnavská univerzita v Trnave</v>
          </cell>
          <cell r="E1931" t="str">
            <v>Filozofická fakulta</v>
          </cell>
          <cell r="AN1931">
            <v>5</v>
          </cell>
          <cell r="AO1931">
            <v>8</v>
          </cell>
          <cell r="AP1931">
            <v>0</v>
          </cell>
          <cell r="AQ1931">
            <v>0</v>
          </cell>
          <cell r="AR1931">
            <v>5</v>
          </cell>
          <cell r="BF1931">
            <v>3.5</v>
          </cell>
          <cell r="BG1931">
            <v>3.64</v>
          </cell>
          <cell r="BH1931">
            <v>3.4014814814814813</v>
          </cell>
          <cell r="BI1931">
            <v>8</v>
          </cell>
          <cell r="BJ1931">
            <v>0</v>
          </cell>
        </row>
        <row r="1932">
          <cell r="D1932" t="str">
            <v>Trnavská univerzita v Trnave</v>
          </cell>
          <cell r="E1932" t="str">
            <v>Filozofická fakulta</v>
          </cell>
          <cell r="AN1932">
            <v>21</v>
          </cell>
          <cell r="AO1932">
            <v>27</v>
          </cell>
          <cell r="AP1932">
            <v>0</v>
          </cell>
          <cell r="AQ1932">
            <v>0</v>
          </cell>
          <cell r="AR1932">
            <v>21</v>
          </cell>
          <cell r="BF1932">
            <v>16.2</v>
          </cell>
          <cell r="BG1932">
            <v>16.2</v>
          </cell>
          <cell r="BH1932">
            <v>16.2</v>
          </cell>
          <cell r="BI1932">
            <v>27</v>
          </cell>
          <cell r="BJ1932">
            <v>0</v>
          </cell>
        </row>
        <row r="1933">
          <cell r="D1933" t="str">
            <v>Trnavská univerzita v Trnave</v>
          </cell>
          <cell r="E1933" t="str">
            <v>Filozofická fakulta</v>
          </cell>
          <cell r="AN1933">
            <v>47</v>
          </cell>
          <cell r="AO1933">
            <v>49</v>
          </cell>
          <cell r="AP1933">
            <v>0</v>
          </cell>
          <cell r="AQ1933">
            <v>0</v>
          </cell>
          <cell r="AR1933">
            <v>47</v>
          </cell>
          <cell r="BF1933">
            <v>38</v>
          </cell>
          <cell r="BG1933">
            <v>38</v>
          </cell>
          <cell r="BH1933">
            <v>38</v>
          </cell>
          <cell r="BI1933">
            <v>49</v>
          </cell>
          <cell r="BJ1933">
            <v>0</v>
          </cell>
        </row>
        <row r="1934">
          <cell r="D1934" t="str">
            <v>Trnavská univerzita v Trnave</v>
          </cell>
          <cell r="E1934" t="str">
            <v>Filozofická fakulta</v>
          </cell>
          <cell r="AN1934">
            <v>11</v>
          </cell>
          <cell r="AO1934">
            <v>12</v>
          </cell>
          <cell r="AP1934">
            <v>0</v>
          </cell>
          <cell r="AQ1934">
            <v>0</v>
          </cell>
          <cell r="AR1934">
            <v>11</v>
          </cell>
          <cell r="BF1934">
            <v>9.5</v>
          </cell>
          <cell r="BG1934">
            <v>9.5</v>
          </cell>
          <cell r="BH1934">
            <v>9.5</v>
          </cell>
          <cell r="BI1934">
            <v>12</v>
          </cell>
          <cell r="BJ1934">
            <v>0</v>
          </cell>
        </row>
        <row r="1935">
          <cell r="D1935" t="str">
            <v>Trnavská univerzita v Trnave</v>
          </cell>
          <cell r="E1935" t="str">
            <v>Filozofická fakulta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11</v>
          </cell>
          <cell r="BJ1935">
            <v>0</v>
          </cell>
        </row>
        <row r="1936">
          <cell r="D1936" t="str">
            <v>Trnavská univerzita v Trnave</v>
          </cell>
          <cell r="E1936" t="str">
            <v>Fakulta zdravotníctva a sociálnej práce</v>
          </cell>
          <cell r="AN1936">
            <v>4</v>
          </cell>
          <cell r="AO1936">
            <v>0</v>
          </cell>
          <cell r="AP1936">
            <v>0</v>
          </cell>
          <cell r="AQ1936">
            <v>0</v>
          </cell>
          <cell r="AR1936">
            <v>4</v>
          </cell>
          <cell r="BF1936">
            <v>16</v>
          </cell>
          <cell r="BG1936">
            <v>17.600000000000001</v>
          </cell>
          <cell r="BH1936">
            <v>17.600000000000001</v>
          </cell>
          <cell r="BI1936">
            <v>4</v>
          </cell>
          <cell r="BJ1936">
            <v>4</v>
          </cell>
        </row>
        <row r="1937">
          <cell r="D1937" t="str">
            <v>Trnavská univerzita v Trnave</v>
          </cell>
          <cell r="E1937" t="str">
            <v>Fakulta zdravotníctva a sociálnej práce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25</v>
          </cell>
          <cell r="BJ1937">
            <v>0</v>
          </cell>
        </row>
        <row r="1938">
          <cell r="D1938" t="str">
            <v>Trnavská univerzita v Trnave</v>
          </cell>
          <cell r="E1938" t="str">
            <v>Fakulta zdravotníctva a sociálnej práce</v>
          </cell>
          <cell r="AN1938">
            <v>4</v>
          </cell>
          <cell r="AO1938">
            <v>0</v>
          </cell>
          <cell r="AP1938">
            <v>0</v>
          </cell>
          <cell r="AQ1938">
            <v>0</v>
          </cell>
          <cell r="AR1938">
            <v>4</v>
          </cell>
          <cell r="BF1938">
            <v>16</v>
          </cell>
          <cell r="BG1938">
            <v>34.08</v>
          </cell>
          <cell r="BH1938">
            <v>34.08</v>
          </cell>
          <cell r="BI1938">
            <v>4</v>
          </cell>
          <cell r="BJ1938">
            <v>4</v>
          </cell>
        </row>
        <row r="1939">
          <cell r="D1939" t="str">
            <v>Trnavská univerzita v Trnave</v>
          </cell>
          <cell r="E1939" t="str">
            <v>Fakulta zdravotníctva a sociálnej práce</v>
          </cell>
          <cell r="AN1939">
            <v>238</v>
          </cell>
          <cell r="AO1939">
            <v>239</v>
          </cell>
          <cell r="AP1939">
            <v>239</v>
          </cell>
          <cell r="AQ1939">
            <v>0</v>
          </cell>
          <cell r="AR1939">
            <v>238</v>
          </cell>
          <cell r="BF1939">
            <v>203.8</v>
          </cell>
          <cell r="BG1939">
            <v>438.17</v>
          </cell>
          <cell r="BH1939">
            <v>419.91291666666672</v>
          </cell>
          <cell r="BI1939">
            <v>239</v>
          </cell>
          <cell r="BJ1939">
            <v>0</v>
          </cell>
        </row>
        <row r="1940">
          <cell r="D1940" t="str">
            <v>Trnavská univerzita v Trnave</v>
          </cell>
          <cell r="E1940" t="str">
            <v>Fakulta zdravotníctva a sociálnej práce</v>
          </cell>
          <cell r="AN1940">
            <v>92</v>
          </cell>
          <cell r="AO1940">
            <v>99</v>
          </cell>
          <cell r="AP1940">
            <v>0</v>
          </cell>
          <cell r="AQ1940">
            <v>0</v>
          </cell>
          <cell r="AR1940">
            <v>92</v>
          </cell>
          <cell r="BF1940">
            <v>83.9</v>
          </cell>
          <cell r="BG1940">
            <v>124.17200000000001</v>
          </cell>
          <cell r="BH1940">
            <v>124.17200000000001</v>
          </cell>
          <cell r="BI1940">
            <v>99</v>
          </cell>
          <cell r="BJ1940">
            <v>0</v>
          </cell>
        </row>
        <row r="1941">
          <cell r="D1941" t="str">
            <v>Trnavská univerzita v Trnave</v>
          </cell>
          <cell r="E1941" t="str">
            <v>Fakulta zdravotníctva a sociálnej práce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2</v>
          </cell>
          <cell r="BJ1941">
            <v>0</v>
          </cell>
        </row>
        <row r="1942">
          <cell r="D1942" t="str">
            <v>Trnavská univerzita v Trnave</v>
          </cell>
          <cell r="E1942" t="str">
            <v>Fakulta zdravotníctva a sociálnej práce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1</v>
          </cell>
          <cell r="BJ1942">
            <v>0</v>
          </cell>
        </row>
        <row r="1943">
          <cell r="D1943" t="str">
            <v>Trnavská univerzita v Trnave</v>
          </cell>
          <cell r="E1943" t="str">
            <v>Právnická fakulta</v>
          </cell>
          <cell r="AN1943">
            <v>2</v>
          </cell>
          <cell r="AO1943">
            <v>0</v>
          </cell>
          <cell r="AP1943">
            <v>0</v>
          </cell>
          <cell r="AQ1943">
            <v>0</v>
          </cell>
          <cell r="AR1943">
            <v>2</v>
          </cell>
          <cell r="BF1943">
            <v>8</v>
          </cell>
          <cell r="BG1943">
            <v>8.8000000000000007</v>
          </cell>
          <cell r="BH1943">
            <v>8.8000000000000007</v>
          </cell>
          <cell r="BI1943">
            <v>2</v>
          </cell>
          <cell r="BJ1943">
            <v>2</v>
          </cell>
        </row>
        <row r="1944">
          <cell r="D1944" t="str">
            <v>Trnavská univerzita v Trnave</v>
          </cell>
          <cell r="E1944" t="str">
            <v>Právnická fakulta</v>
          </cell>
          <cell r="AN1944">
            <v>3</v>
          </cell>
          <cell r="AO1944">
            <v>0</v>
          </cell>
          <cell r="AP1944">
            <v>0</v>
          </cell>
          <cell r="AQ1944">
            <v>0</v>
          </cell>
          <cell r="AR1944">
            <v>3</v>
          </cell>
          <cell r="BF1944">
            <v>12</v>
          </cell>
          <cell r="BG1944">
            <v>13.200000000000001</v>
          </cell>
          <cell r="BH1944">
            <v>13.200000000000001</v>
          </cell>
          <cell r="BI1944">
            <v>3</v>
          </cell>
          <cell r="BJ1944">
            <v>3</v>
          </cell>
        </row>
        <row r="1945">
          <cell r="D1945" t="str">
            <v>Trnavská univerzita v Trnave</v>
          </cell>
          <cell r="E1945" t="str">
            <v>Právnická fakulta</v>
          </cell>
          <cell r="AN1945">
            <v>3</v>
          </cell>
          <cell r="AO1945">
            <v>0</v>
          </cell>
          <cell r="AP1945">
            <v>0</v>
          </cell>
          <cell r="AQ1945">
            <v>0</v>
          </cell>
          <cell r="AR1945">
            <v>3</v>
          </cell>
          <cell r="BF1945">
            <v>12</v>
          </cell>
          <cell r="BG1945">
            <v>13.200000000000001</v>
          </cell>
          <cell r="BH1945">
            <v>13.200000000000001</v>
          </cell>
          <cell r="BI1945">
            <v>3</v>
          </cell>
          <cell r="BJ1945">
            <v>3</v>
          </cell>
        </row>
        <row r="1946">
          <cell r="D1946" t="str">
            <v>Slovenská zdravotnícka univerzita v Bratislave</v>
          </cell>
          <cell r="E1946" t="str">
            <v>Fakulta verejného zdravotníctva</v>
          </cell>
          <cell r="AN1946">
            <v>5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13</v>
          </cell>
          <cell r="BJ1946">
            <v>0</v>
          </cell>
        </row>
        <row r="1947">
          <cell r="D1947" t="str">
            <v>Slovenská zdravotnícka univerzita v Bratislave</v>
          </cell>
          <cell r="E1947" t="str">
            <v>Fakulta verejného zdravotníctva</v>
          </cell>
          <cell r="AN1947">
            <v>2</v>
          </cell>
          <cell r="AO1947">
            <v>0</v>
          </cell>
          <cell r="AP1947">
            <v>0</v>
          </cell>
          <cell r="AQ1947">
            <v>0</v>
          </cell>
          <cell r="AR1947">
            <v>2</v>
          </cell>
          <cell r="BF1947">
            <v>8</v>
          </cell>
          <cell r="BG1947">
            <v>17.04</v>
          </cell>
          <cell r="BH1947">
            <v>17.04</v>
          </cell>
          <cell r="BI1947">
            <v>2</v>
          </cell>
          <cell r="BJ1947">
            <v>2</v>
          </cell>
        </row>
        <row r="1948">
          <cell r="D1948" t="str">
            <v>Slovenská zdravotnícka univerzita v Bratislave</v>
          </cell>
          <cell r="E1948" t="str">
            <v>Fakulta ošetrovateľstva a zdravotníckych odborných štúdií</v>
          </cell>
          <cell r="AN1948">
            <v>31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31</v>
          </cell>
          <cell r="BJ1948">
            <v>0</v>
          </cell>
        </row>
        <row r="1949">
          <cell r="D1949" t="str">
            <v>Akadémia Policajného zboru</v>
          </cell>
          <cell r="E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21</v>
          </cell>
          <cell r="BJ1949">
            <v>0</v>
          </cell>
        </row>
        <row r="1950">
          <cell r="D1950" t="str">
            <v>Akadémia Policajného zboru</v>
          </cell>
          <cell r="E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197</v>
          </cell>
          <cell r="BJ1950">
            <v>0</v>
          </cell>
        </row>
        <row r="1951">
          <cell r="D1951" t="str">
            <v>Akadémia Policajného zboru</v>
          </cell>
          <cell r="E1951">
            <v>0</v>
          </cell>
          <cell r="AN1951">
            <v>130</v>
          </cell>
          <cell r="AO1951">
            <v>140</v>
          </cell>
          <cell r="AP1951">
            <v>0</v>
          </cell>
          <cell r="AQ1951">
            <v>0</v>
          </cell>
          <cell r="AR1951">
            <v>130</v>
          </cell>
          <cell r="BF1951">
            <v>112.6</v>
          </cell>
          <cell r="BG1951">
            <v>166.648</v>
          </cell>
          <cell r="BH1951">
            <v>166.648</v>
          </cell>
          <cell r="BI1951">
            <v>140</v>
          </cell>
          <cell r="BJ1951">
            <v>0</v>
          </cell>
        </row>
        <row r="1952">
          <cell r="D1952" t="str">
            <v>Akadémia Policajného zboru</v>
          </cell>
          <cell r="E1952">
            <v>0</v>
          </cell>
          <cell r="AN1952">
            <v>5</v>
          </cell>
          <cell r="AO1952">
            <v>0</v>
          </cell>
          <cell r="AP1952">
            <v>0</v>
          </cell>
          <cell r="AQ1952">
            <v>0</v>
          </cell>
          <cell r="AR1952">
            <v>5</v>
          </cell>
          <cell r="BF1952">
            <v>20</v>
          </cell>
          <cell r="BG1952">
            <v>42.599999999999994</v>
          </cell>
          <cell r="BH1952">
            <v>42.599999999999994</v>
          </cell>
          <cell r="BI1952">
            <v>5</v>
          </cell>
          <cell r="BJ1952">
            <v>5</v>
          </cell>
        </row>
        <row r="1953">
          <cell r="D1953" t="str">
            <v>Trnavská univerzita v Trnave</v>
          </cell>
          <cell r="E1953" t="str">
            <v>Pedagogická fakulta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68</v>
          </cell>
          <cell r="BJ1953">
            <v>0</v>
          </cell>
        </row>
        <row r="1954">
          <cell r="D1954" t="str">
            <v>Trnavská univerzita v Trnave</v>
          </cell>
          <cell r="E1954" t="str">
            <v>Pedagogická fakulta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BF1954">
            <v>0</v>
          </cell>
          <cell r="BG1954">
            <v>0</v>
          </cell>
          <cell r="BH1954">
            <v>0</v>
          </cell>
          <cell r="BI1954">
            <v>5</v>
          </cell>
          <cell r="BJ1954">
            <v>0</v>
          </cell>
        </row>
        <row r="1955">
          <cell r="D1955" t="str">
            <v>Trnavská univerzita v Trnave</v>
          </cell>
          <cell r="E1955" t="str">
            <v>Pedagogická fakulta</v>
          </cell>
          <cell r="AN1955">
            <v>11</v>
          </cell>
          <cell r="AO1955">
            <v>11.5</v>
          </cell>
          <cell r="AP1955">
            <v>11.5</v>
          </cell>
          <cell r="AQ1955">
            <v>11</v>
          </cell>
          <cell r="AR1955">
            <v>11</v>
          </cell>
          <cell r="BF1955">
            <v>16.5</v>
          </cell>
          <cell r="BG1955">
            <v>19.634999999999998</v>
          </cell>
          <cell r="BH1955">
            <v>19.634999999999998</v>
          </cell>
          <cell r="BI1955">
            <v>11.5</v>
          </cell>
          <cell r="BJ1955">
            <v>0</v>
          </cell>
        </row>
        <row r="1956">
          <cell r="D1956" t="str">
            <v>Trnavská univerzita v Trnave</v>
          </cell>
          <cell r="E1956" t="str">
            <v>Pedagogická fakulta</v>
          </cell>
          <cell r="AN1956">
            <v>10</v>
          </cell>
          <cell r="AO1956">
            <v>10.5</v>
          </cell>
          <cell r="AP1956">
            <v>10.5</v>
          </cell>
          <cell r="AQ1956">
            <v>10</v>
          </cell>
          <cell r="AR1956">
            <v>10</v>
          </cell>
          <cell r="BF1956">
            <v>15</v>
          </cell>
          <cell r="BG1956">
            <v>17.849999999999998</v>
          </cell>
          <cell r="BH1956">
            <v>17.849999999999998</v>
          </cell>
          <cell r="BI1956">
            <v>10.5</v>
          </cell>
          <cell r="BJ1956">
            <v>0</v>
          </cell>
        </row>
        <row r="1957">
          <cell r="D1957" t="str">
            <v>Trnavská univerzita v Trnave</v>
          </cell>
          <cell r="E1957" t="str">
            <v>Pedagogická fakulta</v>
          </cell>
          <cell r="AN1957">
            <v>2</v>
          </cell>
          <cell r="AO1957">
            <v>0</v>
          </cell>
          <cell r="AP1957">
            <v>0</v>
          </cell>
          <cell r="AQ1957">
            <v>0</v>
          </cell>
          <cell r="AR1957">
            <v>2</v>
          </cell>
          <cell r="BF1957">
            <v>8</v>
          </cell>
          <cell r="BG1957">
            <v>8.8000000000000007</v>
          </cell>
          <cell r="BH1957">
            <v>8.8000000000000007</v>
          </cell>
          <cell r="BI1957">
            <v>2</v>
          </cell>
          <cell r="BJ1957">
            <v>2</v>
          </cell>
        </row>
        <row r="1958">
          <cell r="D1958" t="str">
            <v>Trnavská univerzita v Trnave</v>
          </cell>
          <cell r="E1958" t="str">
            <v>Pedagogická fakulta</v>
          </cell>
          <cell r="AN1958">
            <v>22</v>
          </cell>
          <cell r="AO1958">
            <v>26</v>
          </cell>
          <cell r="AP1958">
            <v>0</v>
          </cell>
          <cell r="AQ1958">
            <v>0</v>
          </cell>
          <cell r="AR1958">
            <v>22</v>
          </cell>
          <cell r="BF1958">
            <v>33</v>
          </cell>
          <cell r="BG1958">
            <v>70.95</v>
          </cell>
          <cell r="BH1958">
            <v>63.855000000000004</v>
          </cell>
          <cell r="BI1958">
            <v>26</v>
          </cell>
          <cell r="BJ1958">
            <v>0</v>
          </cell>
        </row>
        <row r="1959">
          <cell r="D1959" t="str">
            <v>Trnavská univerzita v Trnave</v>
          </cell>
          <cell r="E1959" t="str">
            <v>Pedagogická fakulta</v>
          </cell>
          <cell r="AN1959">
            <v>10</v>
          </cell>
          <cell r="AO1959">
            <v>11.5</v>
          </cell>
          <cell r="AP1959">
            <v>0</v>
          </cell>
          <cell r="AQ1959">
            <v>0</v>
          </cell>
          <cell r="AR1959">
            <v>10</v>
          </cell>
          <cell r="BF1959">
            <v>15</v>
          </cell>
          <cell r="BG1959">
            <v>16.350000000000001</v>
          </cell>
          <cell r="BH1959">
            <v>14.306250000000002</v>
          </cell>
          <cell r="BI1959">
            <v>11.5</v>
          </cell>
          <cell r="BJ1959">
            <v>0</v>
          </cell>
        </row>
        <row r="1960">
          <cell r="D1960" t="str">
            <v>Trnavská univerzita v Trnave</v>
          </cell>
          <cell r="E1960" t="str">
            <v>Pedagogická fakulta</v>
          </cell>
          <cell r="AN1960">
            <v>0</v>
          </cell>
          <cell r="AO1960">
            <v>0.5</v>
          </cell>
          <cell r="AP1960">
            <v>0</v>
          </cell>
          <cell r="AQ1960">
            <v>0</v>
          </cell>
          <cell r="AR1960">
            <v>0</v>
          </cell>
          <cell r="BF1960">
            <v>0</v>
          </cell>
          <cell r="BG1960">
            <v>0</v>
          </cell>
          <cell r="BH1960">
            <v>0</v>
          </cell>
          <cell r="BI1960">
            <v>0.5</v>
          </cell>
          <cell r="BJ1960">
            <v>0</v>
          </cell>
        </row>
        <row r="1961">
          <cell r="D1961" t="str">
            <v>Trnavská univerzita v Trnave</v>
          </cell>
          <cell r="E1961" t="str">
            <v>Pedagogická fakulta</v>
          </cell>
          <cell r="AN1961">
            <v>2</v>
          </cell>
          <cell r="AO1961">
            <v>0</v>
          </cell>
          <cell r="AP1961">
            <v>0</v>
          </cell>
          <cell r="AQ1961">
            <v>0</v>
          </cell>
          <cell r="AR1961">
            <v>2</v>
          </cell>
          <cell r="BF1961">
            <v>8</v>
          </cell>
          <cell r="BG1961">
            <v>8.8000000000000007</v>
          </cell>
          <cell r="BH1961">
            <v>8.8000000000000007</v>
          </cell>
          <cell r="BI1961">
            <v>2</v>
          </cell>
          <cell r="BJ1961">
            <v>2</v>
          </cell>
        </row>
        <row r="1962">
          <cell r="D1962" t="str">
            <v>Trnavská univerzita v Trnave</v>
          </cell>
          <cell r="E1962" t="str">
            <v>Pedagogická fakulta</v>
          </cell>
          <cell r="AN1962">
            <v>27.5</v>
          </cell>
          <cell r="AO1962">
            <v>28</v>
          </cell>
          <cell r="AP1962">
            <v>0</v>
          </cell>
          <cell r="AQ1962">
            <v>0</v>
          </cell>
          <cell r="AR1962">
            <v>27.5</v>
          </cell>
          <cell r="BF1962">
            <v>22.25</v>
          </cell>
          <cell r="BG1962">
            <v>24.252500000000001</v>
          </cell>
          <cell r="BH1962">
            <v>23.505224089635856</v>
          </cell>
          <cell r="BI1962">
            <v>28</v>
          </cell>
          <cell r="BJ1962">
            <v>0</v>
          </cell>
        </row>
        <row r="1963">
          <cell r="D1963" t="str">
            <v>Trnavská univerzita v Trnave</v>
          </cell>
          <cell r="E1963" t="str">
            <v>Pedagogická fakulta</v>
          </cell>
          <cell r="AN1963">
            <v>6</v>
          </cell>
          <cell r="AO1963">
            <v>6</v>
          </cell>
          <cell r="AP1963">
            <v>0</v>
          </cell>
          <cell r="AQ1963">
            <v>0</v>
          </cell>
          <cell r="AR1963">
            <v>6</v>
          </cell>
          <cell r="BF1963">
            <v>5.4</v>
          </cell>
          <cell r="BG1963">
            <v>5.886000000000001</v>
          </cell>
          <cell r="BH1963">
            <v>5.704638655462186</v>
          </cell>
          <cell r="BI1963">
            <v>6</v>
          </cell>
          <cell r="BJ1963">
            <v>0</v>
          </cell>
        </row>
        <row r="1964">
          <cell r="D1964" t="str">
            <v>Trnavská univerzita v Trnave</v>
          </cell>
          <cell r="E1964" t="str">
            <v>Pedagogická fakulta</v>
          </cell>
          <cell r="AN1964">
            <v>3</v>
          </cell>
          <cell r="AO1964">
            <v>0</v>
          </cell>
          <cell r="AP1964">
            <v>0</v>
          </cell>
          <cell r="AQ1964">
            <v>0</v>
          </cell>
          <cell r="AR1964">
            <v>3</v>
          </cell>
          <cell r="BF1964">
            <v>12</v>
          </cell>
          <cell r="BG1964">
            <v>13.200000000000001</v>
          </cell>
          <cell r="BH1964">
            <v>13.200000000000001</v>
          </cell>
          <cell r="BI1964">
            <v>3</v>
          </cell>
          <cell r="BJ1964">
            <v>3</v>
          </cell>
        </row>
        <row r="1965">
          <cell r="D1965" t="str">
            <v>Technická univerzita v Košiciach</v>
          </cell>
          <cell r="E1965" t="str">
            <v>Fakulta materiálov, metalurgie a recyklácie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2</v>
          </cell>
          <cell r="BJ1965">
            <v>0</v>
          </cell>
        </row>
        <row r="1966">
          <cell r="D1966" t="str">
            <v>Technická univerzita vo Zvolene</v>
          </cell>
          <cell r="E1966" t="str">
            <v>Fakulta ekológie a environmentalistiky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18</v>
          </cell>
          <cell r="BJ1966">
            <v>0</v>
          </cell>
        </row>
        <row r="1967">
          <cell r="D1967" t="str">
            <v>Technická univerzita vo Zvolene</v>
          </cell>
          <cell r="E1967" t="str">
            <v>Drevárska fakulta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R1967">
            <v>0</v>
          </cell>
          <cell r="BF1967">
            <v>0</v>
          </cell>
          <cell r="BG1967">
            <v>0</v>
          </cell>
          <cell r="BH1967">
            <v>0</v>
          </cell>
          <cell r="BI1967">
            <v>15</v>
          </cell>
          <cell r="BJ1967">
            <v>0</v>
          </cell>
        </row>
        <row r="1968">
          <cell r="D1968" t="str">
            <v>Technická univerzita vo Zvolene</v>
          </cell>
          <cell r="E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R1968">
            <v>0</v>
          </cell>
          <cell r="BF1968">
            <v>0</v>
          </cell>
          <cell r="BG1968">
            <v>0</v>
          </cell>
          <cell r="BH1968">
            <v>0</v>
          </cell>
          <cell r="BI1968">
            <v>19</v>
          </cell>
          <cell r="BJ1968">
            <v>0</v>
          </cell>
        </row>
        <row r="1969">
          <cell r="D1969" t="str">
            <v>Technická univerzita vo Zvolene</v>
          </cell>
          <cell r="E1969" t="str">
            <v>Lesnícka fakulta</v>
          </cell>
          <cell r="AN1969">
            <v>7</v>
          </cell>
          <cell r="AO1969">
            <v>0</v>
          </cell>
          <cell r="AP1969">
            <v>0</v>
          </cell>
          <cell r="AQ1969">
            <v>0</v>
          </cell>
          <cell r="AR1969">
            <v>7</v>
          </cell>
          <cell r="BF1969">
            <v>28</v>
          </cell>
          <cell r="BG1969">
            <v>59.64</v>
          </cell>
          <cell r="BH1969">
            <v>29.82</v>
          </cell>
          <cell r="BI1969">
            <v>7</v>
          </cell>
          <cell r="BJ1969">
            <v>7</v>
          </cell>
        </row>
        <row r="1970">
          <cell r="D1970" t="str">
            <v>Technická univerzita vo Zvolene</v>
          </cell>
          <cell r="E1970" t="str">
            <v>Lesnícka fakulta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BF1970">
            <v>0</v>
          </cell>
          <cell r="BG1970">
            <v>0</v>
          </cell>
          <cell r="BH1970">
            <v>0</v>
          </cell>
          <cell r="BI1970">
            <v>1</v>
          </cell>
          <cell r="BJ1970">
            <v>0</v>
          </cell>
        </row>
        <row r="1971">
          <cell r="D1971" t="str">
            <v>Technická univerzita vo Zvolene</v>
          </cell>
          <cell r="E1971" t="str">
            <v>Drevárska fakulta</v>
          </cell>
          <cell r="AN1971">
            <v>6</v>
          </cell>
          <cell r="AO1971">
            <v>0</v>
          </cell>
          <cell r="AP1971">
            <v>0</v>
          </cell>
          <cell r="AQ1971">
            <v>0</v>
          </cell>
          <cell r="AR1971">
            <v>6</v>
          </cell>
          <cell r="BF1971">
            <v>24</v>
          </cell>
          <cell r="BG1971">
            <v>26.400000000000002</v>
          </cell>
          <cell r="BH1971">
            <v>26.400000000000002</v>
          </cell>
          <cell r="BI1971">
            <v>6</v>
          </cell>
          <cell r="BJ1971">
            <v>6</v>
          </cell>
        </row>
        <row r="1972">
          <cell r="D1972" t="str">
            <v>Technická univerzita vo Zvolene</v>
          </cell>
          <cell r="E1972" t="str">
            <v>Fakulta ekológie a environmentalistiky</v>
          </cell>
          <cell r="AN1972">
            <v>0</v>
          </cell>
          <cell r="AO1972">
            <v>0</v>
          </cell>
          <cell r="AP1972">
            <v>0</v>
          </cell>
          <cell r="AQ1972">
            <v>0</v>
          </cell>
          <cell r="AR1972">
            <v>0</v>
          </cell>
          <cell r="BF1972">
            <v>0</v>
          </cell>
          <cell r="BG1972">
            <v>0</v>
          </cell>
          <cell r="BH1972">
            <v>0</v>
          </cell>
          <cell r="BI1972">
            <v>5</v>
          </cell>
          <cell r="BJ1972">
            <v>0</v>
          </cell>
        </row>
        <row r="1973">
          <cell r="D1973" t="str">
            <v>Technická univerzita vo Zvolene</v>
          </cell>
          <cell r="E1973" t="str">
            <v>Drevárska fakulta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BF1973">
            <v>0</v>
          </cell>
          <cell r="BG1973">
            <v>0</v>
          </cell>
          <cell r="BH1973">
            <v>0</v>
          </cell>
          <cell r="BI1973">
            <v>5</v>
          </cell>
          <cell r="BJ1973">
            <v>0</v>
          </cell>
        </row>
        <row r="1974">
          <cell r="D1974" t="str">
            <v>Technická univerzita vo Zvolene</v>
          </cell>
          <cell r="E1974" t="str">
            <v>Lesnícka fakulta</v>
          </cell>
          <cell r="AN1974">
            <v>6</v>
          </cell>
          <cell r="AO1974">
            <v>0</v>
          </cell>
          <cell r="AP1974">
            <v>0</v>
          </cell>
          <cell r="AQ1974">
            <v>0</v>
          </cell>
          <cell r="AR1974">
            <v>6</v>
          </cell>
          <cell r="BF1974">
            <v>24</v>
          </cell>
          <cell r="BG1974">
            <v>51.12</v>
          </cell>
          <cell r="BH1974">
            <v>51.12</v>
          </cell>
          <cell r="BI1974">
            <v>6</v>
          </cell>
          <cell r="BJ1974">
            <v>6</v>
          </cell>
        </row>
        <row r="1975">
          <cell r="D1975" t="str">
            <v>Technická univerzita vo Zvolene</v>
          </cell>
          <cell r="E1975" t="str">
            <v>Fakulta ekológie a environmentalistiky</v>
          </cell>
          <cell r="AN1975">
            <v>27</v>
          </cell>
          <cell r="AO1975">
            <v>28</v>
          </cell>
          <cell r="AP1975">
            <v>0</v>
          </cell>
          <cell r="AQ1975">
            <v>0</v>
          </cell>
          <cell r="AR1975">
            <v>27</v>
          </cell>
          <cell r="BF1975">
            <v>40.5</v>
          </cell>
          <cell r="BG1975">
            <v>59.94</v>
          </cell>
          <cell r="BH1975">
            <v>53.945999999999998</v>
          </cell>
          <cell r="BI1975">
            <v>28</v>
          </cell>
          <cell r="BJ1975">
            <v>0</v>
          </cell>
        </row>
        <row r="1976">
          <cell r="D1976" t="str">
            <v>Technická univerzita vo Zvolene</v>
          </cell>
          <cell r="E1976" t="str">
            <v>Lesnícka fakulta</v>
          </cell>
          <cell r="AN1976">
            <v>4</v>
          </cell>
          <cell r="AO1976">
            <v>0</v>
          </cell>
          <cell r="AP1976">
            <v>0</v>
          </cell>
          <cell r="AQ1976">
            <v>0</v>
          </cell>
          <cell r="AR1976">
            <v>4</v>
          </cell>
          <cell r="BF1976">
            <v>16</v>
          </cell>
          <cell r="BG1976">
            <v>34.08</v>
          </cell>
          <cell r="BH1976">
            <v>34.08</v>
          </cell>
          <cell r="BI1976">
            <v>4</v>
          </cell>
          <cell r="BJ1976">
            <v>4</v>
          </cell>
        </row>
        <row r="1977">
          <cell r="D1977" t="str">
            <v>Technická univerzita vo Zvolene</v>
          </cell>
          <cell r="E1977" t="str">
            <v>Drevárska fakulta</v>
          </cell>
          <cell r="AN1977">
            <v>5</v>
          </cell>
          <cell r="AO1977">
            <v>0</v>
          </cell>
          <cell r="AP1977">
            <v>0</v>
          </cell>
          <cell r="AQ1977">
            <v>5</v>
          </cell>
          <cell r="AR1977">
            <v>5</v>
          </cell>
          <cell r="BF1977">
            <v>20</v>
          </cell>
          <cell r="BG1977">
            <v>42.599999999999994</v>
          </cell>
          <cell r="BH1977">
            <v>42.599999999999994</v>
          </cell>
          <cell r="BI1977">
            <v>5</v>
          </cell>
          <cell r="BJ1977">
            <v>5</v>
          </cell>
        </row>
        <row r="1978">
          <cell r="D1978" t="str">
            <v>Technická univerzita vo Zvolene</v>
          </cell>
          <cell r="E1978" t="str">
            <v>Drevárska fakulta</v>
          </cell>
          <cell r="AN1978">
            <v>75</v>
          </cell>
          <cell r="AO1978">
            <v>78</v>
          </cell>
          <cell r="AP1978">
            <v>0</v>
          </cell>
          <cell r="AQ1978">
            <v>0</v>
          </cell>
          <cell r="AR1978">
            <v>75</v>
          </cell>
          <cell r="BF1978">
            <v>112.5</v>
          </cell>
          <cell r="BG1978">
            <v>117</v>
          </cell>
          <cell r="BH1978">
            <v>88.346938775510196</v>
          </cell>
          <cell r="BI1978">
            <v>78</v>
          </cell>
          <cell r="BJ1978">
            <v>0</v>
          </cell>
        </row>
        <row r="1979">
          <cell r="D1979" t="str">
            <v>Technická univerzita vo Zvolene</v>
          </cell>
          <cell r="E1979" t="str">
            <v>Drevárska fakulta</v>
          </cell>
          <cell r="AN1979">
            <v>4</v>
          </cell>
          <cell r="AO1979">
            <v>0</v>
          </cell>
          <cell r="AP1979">
            <v>0</v>
          </cell>
          <cell r="AQ1979">
            <v>0</v>
          </cell>
          <cell r="AR1979">
            <v>4</v>
          </cell>
          <cell r="BF1979">
            <v>16</v>
          </cell>
          <cell r="BG1979">
            <v>34.08</v>
          </cell>
          <cell r="BH1979">
            <v>34.08</v>
          </cell>
          <cell r="BI1979">
            <v>4</v>
          </cell>
          <cell r="BJ1979">
            <v>4</v>
          </cell>
        </row>
        <row r="1980">
          <cell r="D1980" t="str">
            <v>Technická univerzita vo Zvolene</v>
          </cell>
          <cell r="E1980" t="str">
            <v>Lesnícka fakulta</v>
          </cell>
          <cell r="AN1980">
            <v>1</v>
          </cell>
          <cell r="AO1980">
            <v>0</v>
          </cell>
          <cell r="AP1980">
            <v>0</v>
          </cell>
          <cell r="AQ1980">
            <v>0</v>
          </cell>
          <cell r="AR1980">
            <v>1</v>
          </cell>
          <cell r="BF1980">
            <v>4</v>
          </cell>
          <cell r="BG1980">
            <v>8.52</v>
          </cell>
          <cell r="BH1980">
            <v>8.52</v>
          </cell>
          <cell r="BI1980">
            <v>1</v>
          </cell>
          <cell r="BJ1980">
            <v>1</v>
          </cell>
        </row>
        <row r="1981">
          <cell r="D1981" t="str">
            <v>Technická univerzita vo Zvolene</v>
          </cell>
          <cell r="E1981" t="str">
            <v>Drevárska fakulta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BF1981">
            <v>0</v>
          </cell>
          <cell r="BG1981">
            <v>0</v>
          </cell>
          <cell r="BH1981">
            <v>0</v>
          </cell>
          <cell r="BI1981">
            <v>13</v>
          </cell>
          <cell r="BJ1981">
            <v>0</v>
          </cell>
        </row>
        <row r="1982">
          <cell r="D1982" t="str">
            <v>Technická univerzita vo Zvolene</v>
          </cell>
          <cell r="E1982" t="str">
            <v>Drevárska fakulta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BF1982">
            <v>0</v>
          </cell>
          <cell r="BG1982">
            <v>0</v>
          </cell>
          <cell r="BH1982">
            <v>0</v>
          </cell>
          <cell r="BI1982">
            <v>22</v>
          </cell>
          <cell r="BJ1982">
            <v>0</v>
          </cell>
        </row>
        <row r="1983">
          <cell r="D1983" t="str">
            <v>Technická univerzita vo Zvolene</v>
          </cell>
          <cell r="E1983" t="str">
            <v>Drevárska fakulta</v>
          </cell>
          <cell r="AN1983">
            <v>41</v>
          </cell>
          <cell r="AO1983">
            <v>44</v>
          </cell>
          <cell r="AP1983">
            <v>0</v>
          </cell>
          <cell r="AQ1983">
            <v>0</v>
          </cell>
          <cell r="AR1983">
            <v>41</v>
          </cell>
          <cell r="BF1983">
            <v>61.5</v>
          </cell>
          <cell r="BG1983">
            <v>91.02</v>
          </cell>
          <cell r="BH1983">
            <v>83.434999999999988</v>
          </cell>
          <cell r="BI1983">
            <v>44</v>
          </cell>
          <cell r="BJ1983">
            <v>0</v>
          </cell>
        </row>
        <row r="1984">
          <cell r="D1984" t="str">
            <v>Technická univerzita vo Zvolene</v>
          </cell>
          <cell r="E1984" t="str">
            <v>Lesnícka fakulta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BF1984">
            <v>0</v>
          </cell>
          <cell r="BG1984">
            <v>0</v>
          </cell>
          <cell r="BH1984">
            <v>0</v>
          </cell>
          <cell r="BI1984">
            <v>26</v>
          </cell>
          <cell r="BJ1984">
            <v>0</v>
          </cell>
        </row>
        <row r="1985">
          <cell r="D1985" t="str">
            <v>Technická univerzita vo Zvolene</v>
          </cell>
          <cell r="E1985" t="str">
            <v>Lesnícka fakulta</v>
          </cell>
          <cell r="AN1985">
            <v>0</v>
          </cell>
          <cell r="AO1985">
            <v>1</v>
          </cell>
          <cell r="AP1985">
            <v>0</v>
          </cell>
          <cell r="AQ1985">
            <v>0</v>
          </cell>
          <cell r="AR1985">
            <v>0</v>
          </cell>
          <cell r="BF1985">
            <v>0</v>
          </cell>
          <cell r="BG1985">
            <v>0</v>
          </cell>
          <cell r="BH1985">
            <v>0</v>
          </cell>
          <cell r="BI1985">
            <v>1</v>
          </cell>
          <cell r="BJ1985">
            <v>0</v>
          </cell>
        </row>
        <row r="1986">
          <cell r="D1986" t="str">
            <v>Technická univerzita vo Zvolene</v>
          </cell>
          <cell r="E1986" t="str">
            <v>Lesnícka fakulta</v>
          </cell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BF1986">
            <v>0</v>
          </cell>
          <cell r="BG1986">
            <v>0</v>
          </cell>
          <cell r="BH1986">
            <v>0</v>
          </cell>
          <cell r="BI1986">
            <v>56</v>
          </cell>
          <cell r="BJ1986">
            <v>0</v>
          </cell>
        </row>
        <row r="1987">
          <cell r="D1987" t="str">
            <v>Technická univerzita vo Zvolene</v>
          </cell>
          <cell r="E1987" t="str">
            <v>Fakulta techniky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BF1987">
            <v>0</v>
          </cell>
          <cell r="BG1987">
            <v>0</v>
          </cell>
          <cell r="BH1987">
            <v>0</v>
          </cell>
          <cell r="BI1987">
            <v>18</v>
          </cell>
          <cell r="BJ1987">
            <v>0</v>
          </cell>
        </row>
        <row r="1988">
          <cell r="D1988" t="str">
            <v>Technická univerzita vo Zvolene</v>
          </cell>
          <cell r="E1988" t="str">
            <v>Fakulta techniky</v>
          </cell>
          <cell r="AN1988">
            <v>41</v>
          </cell>
          <cell r="AO1988">
            <v>47</v>
          </cell>
          <cell r="AP1988">
            <v>47</v>
          </cell>
          <cell r="AQ1988">
            <v>41</v>
          </cell>
          <cell r="AR1988">
            <v>41</v>
          </cell>
          <cell r="BF1988">
            <v>34.4</v>
          </cell>
          <cell r="BG1988">
            <v>50.911999999999999</v>
          </cell>
          <cell r="BH1988">
            <v>50.911999999999999</v>
          </cell>
          <cell r="BI1988">
            <v>47</v>
          </cell>
          <cell r="BJ1988">
            <v>0</v>
          </cell>
        </row>
        <row r="1989">
          <cell r="D1989" t="str">
            <v>Technická univerzita vo Zvolene</v>
          </cell>
          <cell r="E1989" t="str">
            <v>Drevárska fakulta</v>
          </cell>
          <cell r="AN1989">
            <v>69</v>
          </cell>
          <cell r="AO1989">
            <v>82</v>
          </cell>
          <cell r="AP1989">
            <v>82</v>
          </cell>
          <cell r="AQ1989">
            <v>69</v>
          </cell>
          <cell r="AR1989">
            <v>69</v>
          </cell>
          <cell r="BF1989">
            <v>57.599999999999994</v>
          </cell>
          <cell r="BG1989">
            <v>85.24799999999999</v>
          </cell>
          <cell r="BH1989">
            <v>85.24799999999999</v>
          </cell>
          <cell r="BI1989">
            <v>82</v>
          </cell>
          <cell r="BJ1989">
            <v>0</v>
          </cell>
        </row>
        <row r="1990">
          <cell r="D1990" t="str">
            <v>Technická univerzita vo Zvolene</v>
          </cell>
          <cell r="E1990" t="str">
            <v>Fakulta ekológie a environmentalistiky</v>
          </cell>
          <cell r="AN1990">
            <v>62</v>
          </cell>
          <cell r="AO1990">
            <v>71</v>
          </cell>
          <cell r="AP1990">
            <v>0</v>
          </cell>
          <cell r="AQ1990">
            <v>0</v>
          </cell>
          <cell r="AR1990">
            <v>62</v>
          </cell>
          <cell r="BF1990">
            <v>54.2</v>
          </cell>
          <cell r="BG1990">
            <v>80.216000000000008</v>
          </cell>
          <cell r="BH1990">
            <v>68.517833333333343</v>
          </cell>
          <cell r="BI1990">
            <v>71</v>
          </cell>
          <cell r="BJ1990">
            <v>0</v>
          </cell>
        </row>
        <row r="1991">
          <cell r="D1991" t="str">
            <v>Technická univerzita vo Zvolene</v>
          </cell>
          <cell r="E1991" t="str">
            <v>Drevárska fakulta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BF1991">
            <v>0</v>
          </cell>
          <cell r="BG1991">
            <v>0</v>
          </cell>
          <cell r="BH1991">
            <v>0</v>
          </cell>
          <cell r="BI1991">
            <v>11</v>
          </cell>
          <cell r="BJ1991">
            <v>0</v>
          </cell>
        </row>
        <row r="1992">
          <cell r="D1992" t="str">
            <v>Technická univerzita vo Zvolene</v>
          </cell>
          <cell r="E1992" t="str">
            <v>Drevárska fakulta</v>
          </cell>
          <cell r="AN1992">
            <v>8</v>
          </cell>
          <cell r="AO1992">
            <v>11</v>
          </cell>
          <cell r="AP1992">
            <v>11</v>
          </cell>
          <cell r="AQ1992">
            <v>8</v>
          </cell>
          <cell r="AR1992">
            <v>8</v>
          </cell>
          <cell r="BF1992">
            <v>6.8</v>
          </cell>
          <cell r="BG1992">
            <v>10.064</v>
          </cell>
          <cell r="BH1992">
            <v>10.064</v>
          </cell>
          <cell r="BI1992">
            <v>11</v>
          </cell>
          <cell r="BJ1992">
            <v>0</v>
          </cell>
        </row>
        <row r="1993">
          <cell r="D1993" t="str">
            <v>Technická univerzita vo Zvolene</v>
          </cell>
          <cell r="E1993" t="str">
            <v>Fakulta ekológie a environmentalistiky</v>
          </cell>
          <cell r="AN1993">
            <v>21</v>
          </cell>
          <cell r="AO1993">
            <v>23</v>
          </cell>
          <cell r="AP1993">
            <v>23</v>
          </cell>
          <cell r="AQ1993">
            <v>21</v>
          </cell>
          <cell r="AR1993">
            <v>21</v>
          </cell>
          <cell r="BF1993">
            <v>16.799999999999997</v>
          </cell>
          <cell r="BG1993">
            <v>24.863999999999997</v>
          </cell>
          <cell r="BH1993">
            <v>24.863999999999997</v>
          </cell>
          <cell r="BI1993">
            <v>23</v>
          </cell>
          <cell r="BJ1993">
            <v>0</v>
          </cell>
        </row>
        <row r="1994">
          <cell r="D1994" t="str">
            <v>Technická univerzita vo Zvolene</v>
          </cell>
          <cell r="E1994" t="str">
            <v>Fakulta techniky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BF1994">
            <v>0</v>
          </cell>
          <cell r="BG1994">
            <v>0</v>
          </cell>
          <cell r="BH1994">
            <v>0</v>
          </cell>
          <cell r="BI1994">
            <v>7</v>
          </cell>
          <cell r="BJ1994">
            <v>0</v>
          </cell>
        </row>
        <row r="1995">
          <cell r="D1995" t="str">
            <v>Technická univerzita vo Zvolene</v>
          </cell>
          <cell r="E1995" t="str">
            <v>Drevárska fakulta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BF1995">
            <v>0</v>
          </cell>
          <cell r="BG1995">
            <v>0</v>
          </cell>
          <cell r="BH1995">
            <v>0</v>
          </cell>
          <cell r="BI1995">
            <v>2</v>
          </cell>
          <cell r="BJ1995">
            <v>0</v>
          </cell>
        </row>
        <row r="1996">
          <cell r="D1996" t="str">
            <v>Technická univerzita vo Zvolene</v>
          </cell>
          <cell r="E1996" t="str">
            <v>Fakulta techniky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R1996">
            <v>0</v>
          </cell>
          <cell r="BF1996">
            <v>0</v>
          </cell>
          <cell r="BG1996">
            <v>0</v>
          </cell>
          <cell r="BH1996">
            <v>0</v>
          </cell>
          <cell r="BI1996">
            <v>3</v>
          </cell>
          <cell r="BJ1996">
            <v>0</v>
          </cell>
        </row>
        <row r="1997">
          <cell r="D1997" t="str">
            <v>Technická univerzita vo Zvolene</v>
          </cell>
          <cell r="E1997" t="str">
            <v>Fakulta ekológie a environmentalistiky</v>
          </cell>
          <cell r="AN1997">
            <v>11</v>
          </cell>
          <cell r="AO1997">
            <v>14</v>
          </cell>
          <cell r="AP1997">
            <v>14</v>
          </cell>
          <cell r="AQ1997">
            <v>11</v>
          </cell>
          <cell r="AR1997">
            <v>11</v>
          </cell>
          <cell r="BF1997">
            <v>8</v>
          </cell>
          <cell r="BG1997">
            <v>11.84</v>
          </cell>
          <cell r="BH1997">
            <v>11.84</v>
          </cell>
          <cell r="BI1997">
            <v>14</v>
          </cell>
          <cell r="BJ1997">
            <v>0</v>
          </cell>
        </row>
        <row r="1998">
          <cell r="D1998" t="str">
            <v>Technická univerzita vo Zvolene</v>
          </cell>
          <cell r="E1998" t="str">
            <v>Drevárska fakulta</v>
          </cell>
          <cell r="AN1998">
            <v>3</v>
          </cell>
          <cell r="AO1998">
            <v>4</v>
          </cell>
          <cell r="AP1998">
            <v>0</v>
          </cell>
          <cell r="AQ1998">
            <v>0</v>
          </cell>
          <cell r="AR1998">
            <v>3</v>
          </cell>
          <cell r="BF1998">
            <v>3</v>
          </cell>
          <cell r="BG1998">
            <v>4.4399999999999995</v>
          </cell>
          <cell r="BH1998">
            <v>3.9276923076923071</v>
          </cell>
          <cell r="BI1998">
            <v>4</v>
          </cell>
          <cell r="BJ1998">
            <v>0</v>
          </cell>
        </row>
        <row r="1999">
          <cell r="D1999" t="str">
            <v>Technická univerzita vo Zvolene</v>
          </cell>
          <cell r="E1999" t="str">
            <v>Fakulta ekológie a environmentalistiky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0</v>
          </cell>
          <cell r="BF1999">
            <v>0</v>
          </cell>
          <cell r="BG1999">
            <v>0</v>
          </cell>
          <cell r="BH1999">
            <v>0</v>
          </cell>
          <cell r="BI1999">
            <v>11</v>
          </cell>
          <cell r="BJ1999">
            <v>0</v>
          </cell>
        </row>
        <row r="2000">
          <cell r="D2000" t="str">
            <v>Technická univerzita vo Zvolene</v>
          </cell>
          <cell r="E2000" t="str">
            <v>Fakulta ekológie a environmentalistiky</v>
          </cell>
          <cell r="AN2000">
            <v>22</v>
          </cell>
          <cell r="AO2000">
            <v>29</v>
          </cell>
          <cell r="AP2000">
            <v>29</v>
          </cell>
          <cell r="AQ2000">
            <v>22</v>
          </cell>
          <cell r="AR2000">
            <v>22</v>
          </cell>
          <cell r="BF2000">
            <v>15.7</v>
          </cell>
          <cell r="BG2000">
            <v>23.235999999999997</v>
          </cell>
          <cell r="BH2000">
            <v>23.235999999999997</v>
          </cell>
          <cell r="BI2000">
            <v>29</v>
          </cell>
          <cell r="BJ2000">
            <v>0</v>
          </cell>
        </row>
        <row r="2001">
          <cell r="D2001" t="str">
            <v>Univerzita Pavla Jozefa Šafárika v Košiciach</v>
          </cell>
          <cell r="E2001" t="str">
            <v>Prírodovedecká fakulta</v>
          </cell>
          <cell r="AN2001">
            <v>9</v>
          </cell>
          <cell r="AO2001">
            <v>9.5</v>
          </cell>
          <cell r="AP2001">
            <v>0</v>
          </cell>
          <cell r="AQ2001">
            <v>0</v>
          </cell>
          <cell r="AR2001">
            <v>9</v>
          </cell>
          <cell r="BF2001">
            <v>13.5</v>
          </cell>
          <cell r="BG2001">
            <v>16.064999999999998</v>
          </cell>
          <cell r="BH2001">
            <v>14.279999999999998</v>
          </cell>
          <cell r="BI2001">
            <v>9.5</v>
          </cell>
          <cell r="BJ2001">
            <v>0</v>
          </cell>
        </row>
        <row r="2002">
          <cell r="D2002" t="str">
            <v>Univerzita Pavla Jozefa Šafárika v Košiciach</v>
          </cell>
          <cell r="E2002" t="str">
            <v>Prírodovedecká fakulta</v>
          </cell>
          <cell r="AN2002">
            <v>15</v>
          </cell>
          <cell r="AO2002">
            <v>15.5</v>
          </cell>
          <cell r="AP2002">
            <v>0</v>
          </cell>
          <cell r="AQ2002">
            <v>0</v>
          </cell>
          <cell r="AR2002">
            <v>15</v>
          </cell>
          <cell r="BF2002">
            <v>22.5</v>
          </cell>
          <cell r="BG2002">
            <v>32.4</v>
          </cell>
          <cell r="BH2002">
            <v>29.314285714285713</v>
          </cell>
          <cell r="BI2002">
            <v>15.5</v>
          </cell>
          <cell r="BJ2002">
            <v>0</v>
          </cell>
        </row>
        <row r="2003">
          <cell r="D2003" t="str">
            <v>Univerzita Pavla Jozefa Šafárika v Košiciach</v>
          </cell>
          <cell r="E2003" t="str">
            <v>Prírodovedecká fakulta</v>
          </cell>
          <cell r="AN2003">
            <v>24</v>
          </cell>
          <cell r="AO2003">
            <v>29</v>
          </cell>
          <cell r="AP2003">
            <v>29</v>
          </cell>
          <cell r="AQ2003">
            <v>24</v>
          </cell>
          <cell r="AR2003">
            <v>24</v>
          </cell>
          <cell r="BF2003">
            <v>36</v>
          </cell>
          <cell r="BG2003">
            <v>53.28</v>
          </cell>
          <cell r="BH2003">
            <v>53.28</v>
          </cell>
          <cell r="BI2003">
            <v>29</v>
          </cell>
          <cell r="BJ2003">
            <v>0</v>
          </cell>
        </row>
        <row r="2004">
          <cell r="D2004" t="str">
            <v>Univerzita Pavla Jozefa Šafárika v Košiciach</v>
          </cell>
          <cell r="E2004" t="str">
            <v>Prírodovedecká fakulta</v>
          </cell>
          <cell r="AN2004">
            <v>2</v>
          </cell>
          <cell r="AO2004">
            <v>3</v>
          </cell>
          <cell r="AP2004">
            <v>3</v>
          </cell>
          <cell r="AQ2004">
            <v>2</v>
          </cell>
          <cell r="AR2004">
            <v>2</v>
          </cell>
          <cell r="BF2004">
            <v>1.7</v>
          </cell>
          <cell r="BG2004">
            <v>2.516</v>
          </cell>
          <cell r="BH2004">
            <v>2.516</v>
          </cell>
          <cell r="BI2004">
            <v>3</v>
          </cell>
          <cell r="BJ2004">
            <v>0</v>
          </cell>
        </row>
        <row r="2005">
          <cell r="D2005" t="str">
            <v>Univerzita Pavla Jozefa Šafárika v Košiciach</v>
          </cell>
          <cell r="E2005" t="str">
            <v>Prírodovedecká fakulta</v>
          </cell>
          <cell r="AN2005">
            <v>4</v>
          </cell>
          <cell r="AO2005">
            <v>4</v>
          </cell>
          <cell r="AP2005">
            <v>4</v>
          </cell>
          <cell r="AQ2005">
            <v>4</v>
          </cell>
          <cell r="AR2005">
            <v>4</v>
          </cell>
          <cell r="BF2005">
            <v>3.4</v>
          </cell>
          <cell r="BG2005">
            <v>5.032</v>
          </cell>
          <cell r="BH2005">
            <v>5.032</v>
          </cell>
          <cell r="BI2005">
            <v>4</v>
          </cell>
          <cell r="BJ2005">
            <v>0</v>
          </cell>
        </row>
        <row r="2006">
          <cell r="D2006" t="str">
            <v>Univerzita Pavla Jozefa Šafárika v Košiciach</v>
          </cell>
          <cell r="E2006" t="str">
            <v>Prírodovedecká fakulta</v>
          </cell>
          <cell r="AN2006">
            <v>11</v>
          </cell>
          <cell r="AO2006">
            <v>11</v>
          </cell>
          <cell r="AP2006">
            <v>11</v>
          </cell>
          <cell r="AQ2006">
            <v>11</v>
          </cell>
          <cell r="AR2006">
            <v>11</v>
          </cell>
          <cell r="BF2006">
            <v>9.5</v>
          </cell>
          <cell r="BG2006">
            <v>13.299999999999999</v>
          </cell>
          <cell r="BH2006">
            <v>13.299999999999999</v>
          </cell>
          <cell r="BI2006">
            <v>11</v>
          </cell>
          <cell r="BJ2006">
            <v>0</v>
          </cell>
        </row>
        <row r="2007">
          <cell r="D2007" t="str">
            <v>Univerzita Pavla Jozefa Šafárika v Košiciach</v>
          </cell>
          <cell r="E2007" t="str">
            <v>Prírodovedecká fakulta</v>
          </cell>
          <cell r="AN2007">
            <v>2</v>
          </cell>
          <cell r="AO2007">
            <v>2</v>
          </cell>
          <cell r="AP2007">
            <v>2</v>
          </cell>
          <cell r="AQ2007">
            <v>2</v>
          </cell>
          <cell r="AR2007">
            <v>2</v>
          </cell>
          <cell r="BF2007">
            <v>1.7</v>
          </cell>
          <cell r="BG2007">
            <v>2.516</v>
          </cell>
          <cell r="BH2007">
            <v>2.516</v>
          </cell>
          <cell r="BI2007">
            <v>2</v>
          </cell>
          <cell r="BJ2007">
            <v>0</v>
          </cell>
        </row>
        <row r="2008">
          <cell r="D2008" t="str">
            <v>Univerzita Pavla Jozefa Šafárika v Košiciach</v>
          </cell>
          <cell r="E2008" t="str">
            <v>Prírodovedecká fakulta</v>
          </cell>
          <cell r="AN2008">
            <v>12</v>
          </cell>
          <cell r="AO2008">
            <v>15</v>
          </cell>
          <cell r="AP2008">
            <v>15</v>
          </cell>
          <cell r="AQ2008">
            <v>12</v>
          </cell>
          <cell r="AR2008">
            <v>12</v>
          </cell>
          <cell r="BF2008">
            <v>10.8</v>
          </cell>
          <cell r="BG2008">
            <v>15.12</v>
          </cell>
          <cell r="BH2008">
            <v>15.12</v>
          </cell>
          <cell r="BI2008">
            <v>15</v>
          </cell>
          <cell r="BJ2008">
            <v>0</v>
          </cell>
        </row>
        <row r="2009">
          <cell r="D2009" t="str">
            <v>Univerzita Pavla Jozefa Šafárika v Košiciach</v>
          </cell>
          <cell r="E2009" t="str">
            <v>Prírodovedecká fakulta</v>
          </cell>
          <cell r="AN2009">
            <v>9</v>
          </cell>
          <cell r="AO2009">
            <v>9</v>
          </cell>
          <cell r="AP2009">
            <v>9</v>
          </cell>
          <cell r="AQ2009">
            <v>9</v>
          </cell>
          <cell r="AR2009">
            <v>9</v>
          </cell>
          <cell r="BF2009">
            <v>7.5</v>
          </cell>
          <cell r="BG2009">
            <v>9.9</v>
          </cell>
          <cell r="BH2009">
            <v>9.9</v>
          </cell>
          <cell r="BI2009">
            <v>9</v>
          </cell>
          <cell r="BJ2009">
            <v>0</v>
          </cell>
        </row>
        <row r="2010">
          <cell r="D2010" t="str">
            <v>Univerzita Pavla Jozefa Šafárika v Košiciach</v>
          </cell>
          <cell r="E2010" t="str">
            <v>Prírodovedecká fakulta</v>
          </cell>
          <cell r="AN2010">
            <v>1</v>
          </cell>
          <cell r="AO2010">
            <v>0</v>
          </cell>
          <cell r="AP2010">
            <v>0</v>
          </cell>
          <cell r="AQ2010">
            <v>1</v>
          </cell>
          <cell r="AR2010">
            <v>1</v>
          </cell>
          <cell r="BF2010">
            <v>3</v>
          </cell>
          <cell r="BG2010">
            <v>6.39</v>
          </cell>
          <cell r="BH2010">
            <v>6.39</v>
          </cell>
          <cell r="BI2010">
            <v>1</v>
          </cell>
          <cell r="BJ2010">
            <v>1</v>
          </cell>
        </row>
        <row r="2011">
          <cell r="D2011" t="str">
            <v>Univerzita Pavla Jozefa Šafárika v Košiciach</v>
          </cell>
          <cell r="E2011" t="str">
            <v>Prírodovedecká fakulta</v>
          </cell>
          <cell r="AN2011">
            <v>9</v>
          </cell>
          <cell r="AO2011">
            <v>0</v>
          </cell>
          <cell r="AP2011">
            <v>0</v>
          </cell>
          <cell r="AQ2011">
            <v>9</v>
          </cell>
          <cell r="AR2011">
            <v>9</v>
          </cell>
          <cell r="BF2011">
            <v>27</v>
          </cell>
          <cell r="BG2011">
            <v>57.51</v>
          </cell>
          <cell r="BH2011">
            <v>57.51</v>
          </cell>
          <cell r="BI2011">
            <v>9</v>
          </cell>
          <cell r="BJ2011">
            <v>9</v>
          </cell>
        </row>
        <row r="2012">
          <cell r="D2012" t="str">
            <v>Univerzita Pavla Jozefa Šafárika v Košiciach</v>
          </cell>
          <cell r="E2012" t="str">
            <v>Prírodovedecká fakulta</v>
          </cell>
          <cell r="AN2012">
            <v>5</v>
          </cell>
          <cell r="AO2012">
            <v>0</v>
          </cell>
          <cell r="AP2012">
            <v>0</v>
          </cell>
          <cell r="AQ2012">
            <v>5</v>
          </cell>
          <cell r="AR2012">
            <v>5</v>
          </cell>
          <cell r="BF2012">
            <v>15</v>
          </cell>
          <cell r="BG2012">
            <v>31.95</v>
          </cell>
          <cell r="BH2012">
            <v>31.95</v>
          </cell>
          <cell r="BI2012">
            <v>5</v>
          </cell>
          <cell r="BJ2012">
            <v>5</v>
          </cell>
        </row>
        <row r="2013">
          <cell r="D2013" t="str">
            <v>Univerzita Pavla Jozefa Šafárika v Košiciach</v>
          </cell>
          <cell r="E2013" t="str">
            <v>Prírodovedecká fakulta</v>
          </cell>
          <cell r="AN2013">
            <v>2</v>
          </cell>
          <cell r="AO2013">
            <v>0</v>
          </cell>
          <cell r="AP2013">
            <v>0</v>
          </cell>
          <cell r="AQ2013">
            <v>2</v>
          </cell>
          <cell r="AR2013">
            <v>2</v>
          </cell>
          <cell r="BF2013">
            <v>6</v>
          </cell>
          <cell r="BG2013">
            <v>12.78</v>
          </cell>
          <cell r="BH2013">
            <v>12.78</v>
          </cell>
          <cell r="BI2013">
            <v>2</v>
          </cell>
          <cell r="BJ2013">
            <v>2</v>
          </cell>
        </row>
        <row r="2014">
          <cell r="D2014" t="str">
            <v>Univerzita Pavla Jozefa Šafárika v Košiciach</v>
          </cell>
          <cell r="E2014" t="str">
            <v>Fakulta verejnej správy</v>
          </cell>
          <cell r="AN2014">
            <v>108</v>
          </cell>
          <cell r="AO2014">
            <v>109</v>
          </cell>
          <cell r="AP2014">
            <v>0</v>
          </cell>
          <cell r="AQ2014">
            <v>0</v>
          </cell>
          <cell r="AR2014">
            <v>108</v>
          </cell>
          <cell r="BF2014">
            <v>162</v>
          </cell>
          <cell r="BG2014">
            <v>162</v>
          </cell>
          <cell r="BH2014">
            <v>108.00000000000001</v>
          </cell>
          <cell r="BI2014">
            <v>109</v>
          </cell>
          <cell r="BJ2014">
            <v>0</v>
          </cell>
        </row>
        <row r="2015">
          <cell r="D2015" t="str">
            <v>Univerzita Pavla Jozefa Šafárika v Košiciach</v>
          </cell>
          <cell r="E2015" t="str">
            <v>Fakulta verejnej správy</v>
          </cell>
          <cell r="AN2015">
            <v>37</v>
          </cell>
          <cell r="AO2015">
            <v>38</v>
          </cell>
          <cell r="AP2015">
            <v>0</v>
          </cell>
          <cell r="AQ2015">
            <v>0</v>
          </cell>
          <cell r="AR2015">
            <v>37</v>
          </cell>
          <cell r="BF2015">
            <v>55.5</v>
          </cell>
          <cell r="BG2015">
            <v>55.5</v>
          </cell>
          <cell r="BH2015">
            <v>45.409090909090907</v>
          </cell>
          <cell r="BI2015">
            <v>38</v>
          </cell>
          <cell r="BJ2015">
            <v>0</v>
          </cell>
        </row>
        <row r="2016">
          <cell r="D2016" t="str">
            <v>Univerzita Pavla Jozefa Šafárika v Košiciach</v>
          </cell>
          <cell r="E2016" t="str">
            <v>Filozofická fakulta</v>
          </cell>
          <cell r="AN2016">
            <v>23</v>
          </cell>
          <cell r="AO2016">
            <v>24</v>
          </cell>
          <cell r="AP2016">
            <v>0</v>
          </cell>
          <cell r="AQ2016">
            <v>0</v>
          </cell>
          <cell r="AR2016">
            <v>23</v>
          </cell>
          <cell r="BF2016">
            <v>34.5</v>
          </cell>
          <cell r="BG2016">
            <v>35.880000000000003</v>
          </cell>
          <cell r="BH2016">
            <v>28.704000000000004</v>
          </cell>
          <cell r="BI2016">
            <v>24</v>
          </cell>
          <cell r="BJ2016">
            <v>0</v>
          </cell>
        </row>
        <row r="2017">
          <cell r="D2017" t="str">
            <v>Univerzita Pavla Jozefa Šafárika v Košiciach</v>
          </cell>
          <cell r="E2017" t="str">
            <v>Filozofická fakulta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BF2017">
            <v>0</v>
          </cell>
          <cell r="BG2017">
            <v>0</v>
          </cell>
          <cell r="BH2017">
            <v>0</v>
          </cell>
          <cell r="BI2017">
            <v>9</v>
          </cell>
          <cell r="BJ2017">
            <v>0</v>
          </cell>
        </row>
        <row r="2018">
          <cell r="D2018" t="str">
            <v>Univerzita Pavla Jozefa Šafárika v Košiciach</v>
          </cell>
          <cell r="E2018" t="str">
            <v>Filozofická fakulta</v>
          </cell>
          <cell r="AN2018">
            <v>19</v>
          </cell>
          <cell r="AO2018">
            <v>20</v>
          </cell>
          <cell r="AP2018">
            <v>0</v>
          </cell>
          <cell r="AQ2018">
            <v>0</v>
          </cell>
          <cell r="AR2018">
            <v>19</v>
          </cell>
          <cell r="BF2018">
            <v>28.5</v>
          </cell>
          <cell r="BG2018">
            <v>28.5</v>
          </cell>
          <cell r="BH2018">
            <v>17.53846153846154</v>
          </cell>
          <cell r="BI2018">
            <v>20</v>
          </cell>
          <cell r="BJ2018">
            <v>0</v>
          </cell>
        </row>
        <row r="2019">
          <cell r="D2019" t="str">
            <v>Univerzita Pavla Jozefa Šafárika v Košiciach</v>
          </cell>
          <cell r="E2019" t="str">
            <v>Filozofická fakulta</v>
          </cell>
          <cell r="AN2019">
            <v>19.5</v>
          </cell>
          <cell r="AO2019">
            <v>21.5</v>
          </cell>
          <cell r="AP2019">
            <v>0</v>
          </cell>
          <cell r="AQ2019">
            <v>0</v>
          </cell>
          <cell r="AR2019">
            <v>19.5</v>
          </cell>
          <cell r="BF2019">
            <v>29.25</v>
          </cell>
          <cell r="BG2019">
            <v>31.882500000000004</v>
          </cell>
          <cell r="BH2019">
            <v>31.882500000000004</v>
          </cell>
          <cell r="BI2019">
            <v>21.5</v>
          </cell>
          <cell r="BJ2019">
            <v>0</v>
          </cell>
        </row>
        <row r="2020">
          <cell r="D2020" t="str">
            <v>Univerzita Pavla Jozefa Šafárika v Košiciach</v>
          </cell>
          <cell r="E2020" t="str">
            <v>Filozofická fakulta</v>
          </cell>
          <cell r="AN2020">
            <v>11</v>
          </cell>
          <cell r="AO2020">
            <v>12</v>
          </cell>
          <cell r="AP2020">
            <v>0</v>
          </cell>
          <cell r="AQ2020">
            <v>0</v>
          </cell>
          <cell r="AR2020">
            <v>11</v>
          </cell>
          <cell r="BF2020">
            <v>16.5</v>
          </cell>
          <cell r="BG2020">
            <v>24.75</v>
          </cell>
          <cell r="BH2020">
            <v>20.625</v>
          </cell>
          <cell r="BI2020">
            <v>12</v>
          </cell>
          <cell r="BJ2020">
            <v>0</v>
          </cell>
        </row>
        <row r="2021">
          <cell r="D2021" t="str">
            <v>Univerzita Pavla Jozefa Šafárika v Košiciach</v>
          </cell>
          <cell r="E2021" t="str">
            <v>Filozofická fakulta</v>
          </cell>
          <cell r="AN2021">
            <v>8</v>
          </cell>
          <cell r="AO2021">
            <v>9</v>
          </cell>
          <cell r="AP2021">
            <v>0</v>
          </cell>
          <cell r="AQ2021">
            <v>0</v>
          </cell>
          <cell r="AR2021">
            <v>8</v>
          </cell>
          <cell r="BF2021">
            <v>12</v>
          </cell>
          <cell r="BG2021">
            <v>12</v>
          </cell>
          <cell r="BH2021">
            <v>10</v>
          </cell>
          <cell r="BI2021">
            <v>9</v>
          </cell>
          <cell r="BJ2021">
            <v>0</v>
          </cell>
        </row>
        <row r="2022">
          <cell r="D2022" t="str">
            <v>Univerzita Pavla Jozefa Šafárika v Košiciach</v>
          </cell>
          <cell r="E2022" t="str">
            <v>Filozofická fakulta</v>
          </cell>
          <cell r="AN2022">
            <v>15.5</v>
          </cell>
          <cell r="AO2022">
            <v>17.5</v>
          </cell>
          <cell r="AP2022">
            <v>0</v>
          </cell>
          <cell r="AQ2022">
            <v>0</v>
          </cell>
          <cell r="AR2022">
            <v>15.5</v>
          </cell>
          <cell r="BF2022">
            <v>23.25</v>
          </cell>
          <cell r="BG2022">
            <v>25.342500000000001</v>
          </cell>
          <cell r="BH2022">
            <v>23.758593750000003</v>
          </cell>
          <cell r="BI2022">
            <v>17.5</v>
          </cell>
          <cell r="BJ2022">
            <v>0</v>
          </cell>
        </row>
        <row r="2023">
          <cell r="D2023" t="str">
            <v>Univerzita Pavla Jozefa Šafárika v Košiciach</v>
          </cell>
          <cell r="E2023" t="str">
            <v>Filozofická fakulta</v>
          </cell>
          <cell r="AN2023">
            <v>35</v>
          </cell>
          <cell r="AO2023">
            <v>37</v>
          </cell>
          <cell r="AP2023">
            <v>0</v>
          </cell>
          <cell r="AQ2023">
            <v>0</v>
          </cell>
          <cell r="AR2023">
            <v>35</v>
          </cell>
          <cell r="BF2023">
            <v>52.5</v>
          </cell>
          <cell r="BG2023">
            <v>62.474999999999994</v>
          </cell>
          <cell r="BH2023">
            <v>46.856249999999996</v>
          </cell>
          <cell r="BI2023">
            <v>37</v>
          </cell>
          <cell r="BJ2023">
            <v>0</v>
          </cell>
        </row>
        <row r="2024">
          <cell r="D2024" t="str">
            <v>Univerzita Pavla Jozefa Šafárika v Košiciach</v>
          </cell>
          <cell r="E2024" t="str">
            <v>Filozofická fakulta</v>
          </cell>
          <cell r="AN2024">
            <v>3</v>
          </cell>
          <cell r="AO2024">
            <v>4</v>
          </cell>
          <cell r="AP2024">
            <v>0</v>
          </cell>
          <cell r="AQ2024">
            <v>0</v>
          </cell>
          <cell r="AR2024">
            <v>3</v>
          </cell>
          <cell r="BF2024">
            <v>4.5</v>
          </cell>
          <cell r="BG2024">
            <v>4.5</v>
          </cell>
          <cell r="BH2024">
            <v>2.5714285714285712</v>
          </cell>
          <cell r="BI2024">
            <v>4</v>
          </cell>
          <cell r="BJ2024">
            <v>0</v>
          </cell>
        </row>
        <row r="2025">
          <cell r="D2025" t="str">
            <v>Univerzita Pavla Jozefa Šafárika v Košiciach</v>
          </cell>
          <cell r="E2025" t="str">
            <v>Filozofická fakulta</v>
          </cell>
          <cell r="AN2025">
            <v>57</v>
          </cell>
          <cell r="AO2025">
            <v>60</v>
          </cell>
          <cell r="AP2025">
            <v>0</v>
          </cell>
          <cell r="AQ2025">
            <v>0</v>
          </cell>
          <cell r="AR2025">
            <v>57</v>
          </cell>
          <cell r="BF2025">
            <v>85.5</v>
          </cell>
          <cell r="BG2025">
            <v>85.5</v>
          </cell>
          <cell r="BH2025">
            <v>69.75</v>
          </cell>
          <cell r="BI2025">
            <v>60</v>
          </cell>
          <cell r="BJ2025">
            <v>0</v>
          </cell>
        </row>
        <row r="2026">
          <cell r="D2026" t="str">
            <v>Univerzita Pavla Jozefa Šafárika v Košiciach</v>
          </cell>
          <cell r="E2026" t="str">
            <v>Filozofická fakulta</v>
          </cell>
          <cell r="AN2026">
            <v>6</v>
          </cell>
          <cell r="AO2026">
            <v>8</v>
          </cell>
          <cell r="AP2026">
            <v>0</v>
          </cell>
          <cell r="AQ2026">
            <v>0</v>
          </cell>
          <cell r="AR2026">
            <v>6</v>
          </cell>
          <cell r="BF2026">
            <v>4.8</v>
          </cell>
          <cell r="BG2026">
            <v>4.8</v>
          </cell>
          <cell r="BH2026">
            <v>4.8</v>
          </cell>
          <cell r="BI2026">
            <v>8</v>
          </cell>
          <cell r="BJ2026">
            <v>0</v>
          </cell>
        </row>
        <row r="2027">
          <cell r="D2027" t="str">
            <v>Univerzita Pavla Jozefa Šafárika v Košiciach</v>
          </cell>
          <cell r="E2027" t="str">
            <v>Filozofická fakulta</v>
          </cell>
          <cell r="AN2027">
            <v>1</v>
          </cell>
          <cell r="AO2027">
            <v>1</v>
          </cell>
          <cell r="AP2027">
            <v>0</v>
          </cell>
          <cell r="AQ2027">
            <v>0</v>
          </cell>
          <cell r="AR2027">
            <v>1</v>
          </cell>
          <cell r="BF2027">
            <v>1</v>
          </cell>
          <cell r="BG2027">
            <v>1</v>
          </cell>
          <cell r="BH2027">
            <v>0.91666666666666663</v>
          </cell>
          <cell r="BI2027">
            <v>1</v>
          </cell>
          <cell r="BJ2027">
            <v>0</v>
          </cell>
        </row>
        <row r="2028">
          <cell r="D2028" t="str">
            <v>Univerzita Pavla Jozefa Šafárika v Košiciach</v>
          </cell>
          <cell r="E2028" t="str">
            <v>Filozofická fakulta</v>
          </cell>
          <cell r="AN2028">
            <v>8</v>
          </cell>
          <cell r="AO2028">
            <v>8</v>
          </cell>
          <cell r="AP2028">
            <v>0</v>
          </cell>
          <cell r="AQ2028">
            <v>0</v>
          </cell>
          <cell r="AR2028">
            <v>8</v>
          </cell>
          <cell r="BF2028">
            <v>6.5</v>
          </cell>
          <cell r="BG2028">
            <v>6.5</v>
          </cell>
          <cell r="BH2028">
            <v>5.958333333333333</v>
          </cell>
          <cell r="BI2028">
            <v>8</v>
          </cell>
          <cell r="BJ2028">
            <v>0</v>
          </cell>
        </row>
        <row r="2029">
          <cell r="D2029" t="str">
            <v>Univerzita Pavla Jozefa Šafárika v Košiciach</v>
          </cell>
          <cell r="E2029" t="str">
            <v>Filozofická fakulta</v>
          </cell>
          <cell r="AN2029">
            <v>15</v>
          </cell>
          <cell r="AO2029">
            <v>16</v>
          </cell>
          <cell r="AP2029">
            <v>0</v>
          </cell>
          <cell r="AQ2029">
            <v>0</v>
          </cell>
          <cell r="AR2029">
            <v>15</v>
          </cell>
          <cell r="BF2029">
            <v>13.2</v>
          </cell>
          <cell r="BG2029">
            <v>13.463999999999999</v>
          </cell>
          <cell r="BH2029">
            <v>13.463999999999999</v>
          </cell>
          <cell r="BI2029">
            <v>16</v>
          </cell>
          <cell r="BJ2029">
            <v>0</v>
          </cell>
        </row>
        <row r="2030">
          <cell r="D2030" t="str">
            <v>Univerzita Pavla Jozefa Šafárika v Košiciach</v>
          </cell>
          <cell r="E2030" t="str">
            <v>Filozofická fakulta</v>
          </cell>
          <cell r="AN2030">
            <v>14</v>
          </cell>
          <cell r="AO2030">
            <v>14</v>
          </cell>
          <cell r="AP2030">
            <v>0</v>
          </cell>
          <cell r="AQ2030">
            <v>0</v>
          </cell>
          <cell r="AR2030">
            <v>14</v>
          </cell>
          <cell r="BF2030">
            <v>11.899999999999999</v>
          </cell>
          <cell r="BG2030">
            <v>12.375999999999999</v>
          </cell>
          <cell r="BH2030">
            <v>12.375999999999999</v>
          </cell>
          <cell r="BI2030">
            <v>14</v>
          </cell>
          <cell r="BJ2030">
            <v>0</v>
          </cell>
        </row>
        <row r="2031">
          <cell r="D2031" t="str">
            <v>Univerzita Pavla Jozefa Šafárika v Košiciach</v>
          </cell>
          <cell r="E2031" t="str">
            <v>Filozofická fakulta</v>
          </cell>
          <cell r="AN2031">
            <v>24</v>
          </cell>
          <cell r="AO2031">
            <v>24</v>
          </cell>
          <cell r="AP2031">
            <v>0</v>
          </cell>
          <cell r="AQ2031">
            <v>0</v>
          </cell>
          <cell r="AR2031">
            <v>24</v>
          </cell>
          <cell r="BF2031">
            <v>19.2</v>
          </cell>
          <cell r="BG2031">
            <v>19.2</v>
          </cell>
          <cell r="BH2031">
            <v>19.2</v>
          </cell>
          <cell r="BI2031">
            <v>24</v>
          </cell>
          <cell r="BJ2031">
            <v>0</v>
          </cell>
        </row>
        <row r="2032">
          <cell r="D2032" t="str">
            <v>Univerzita Pavla Jozefa Šafárika v Košiciach</v>
          </cell>
          <cell r="E2032" t="str">
            <v>Filozofická fakulta</v>
          </cell>
          <cell r="AN2032">
            <v>4</v>
          </cell>
          <cell r="AO2032">
            <v>5</v>
          </cell>
          <cell r="AP2032">
            <v>0</v>
          </cell>
          <cell r="AQ2032">
            <v>0</v>
          </cell>
          <cell r="AR2032">
            <v>4</v>
          </cell>
          <cell r="BF2032">
            <v>3.7</v>
          </cell>
          <cell r="BG2032">
            <v>3.7740000000000005</v>
          </cell>
          <cell r="BH2032">
            <v>3.5829113924050637</v>
          </cell>
          <cell r="BI2032">
            <v>5</v>
          </cell>
          <cell r="BJ2032">
            <v>0</v>
          </cell>
        </row>
        <row r="2033">
          <cell r="D2033" t="str">
            <v>Univerzita Pavla Jozefa Šafárika v Košiciach</v>
          </cell>
          <cell r="E2033" t="str">
            <v>Filozofická fakulta</v>
          </cell>
          <cell r="AN2033">
            <v>6</v>
          </cell>
          <cell r="AO2033">
            <v>6</v>
          </cell>
          <cell r="AP2033">
            <v>0</v>
          </cell>
          <cell r="AQ2033">
            <v>0</v>
          </cell>
          <cell r="AR2033">
            <v>6</v>
          </cell>
          <cell r="BF2033">
            <v>4.8</v>
          </cell>
          <cell r="BG2033">
            <v>4.8959999999999999</v>
          </cell>
          <cell r="BH2033">
            <v>4.6481012658227847</v>
          </cell>
          <cell r="BI2033">
            <v>6</v>
          </cell>
          <cell r="BJ2033">
            <v>0</v>
          </cell>
        </row>
        <row r="2034">
          <cell r="D2034" t="str">
            <v>Univerzita Pavla Jozefa Šafárika v Košiciach</v>
          </cell>
          <cell r="E2034" t="str">
            <v>Filozofická fakulta</v>
          </cell>
          <cell r="AN2034">
            <v>5</v>
          </cell>
          <cell r="AO2034">
            <v>5</v>
          </cell>
          <cell r="AP2034">
            <v>5</v>
          </cell>
          <cell r="AQ2034">
            <v>0</v>
          </cell>
          <cell r="AR2034">
            <v>5</v>
          </cell>
          <cell r="BF2034">
            <v>4.7</v>
          </cell>
          <cell r="BG2034">
            <v>5.9220000000000006</v>
          </cell>
          <cell r="BH2034">
            <v>5.9220000000000006</v>
          </cell>
          <cell r="BI2034">
            <v>5</v>
          </cell>
          <cell r="BJ2034">
            <v>0</v>
          </cell>
        </row>
        <row r="2035">
          <cell r="D2035" t="str">
            <v>Univerzita Pavla Jozefa Šafárika v Košiciach</v>
          </cell>
          <cell r="E2035" t="str">
            <v>Filozofická fakulta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BF2035">
            <v>0</v>
          </cell>
          <cell r="BG2035">
            <v>0</v>
          </cell>
          <cell r="BH2035">
            <v>0</v>
          </cell>
          <cell r="BI2035">
            <v>9</v>
          </cell>
          <cell r="BJ2035">
            <v>0</v>
          </cell>
        </row>
        <row r="2036">
          <cell r="D2036" t="str">
            <v>Univerzita Pavla Jozefa Šafárika v Košiciach</v>
          </cell>
          <cell r="E2036" t="str">
            <v>Filozofická fakulta</v>
          </cell>
          <cell r="AN2036">
            <v>3</v>
          </cell>
          <cell r="AO2036">
            <v>4</v>
          </cell>
          <cell r="AP2036">
            <v>4</v>
          </cell>
          <cell r="AQ2036">
            <v>0</v>
          </cell>
          <cell r="AR2036">
            <v>3</v>
          </cell>
          <cell r="BF2036">
            <v>2.7</v>
          </cell>
          <cell r="BG2036">
            <v>3.4020000000000001</v>
          </cell>
          <cell r="BH2036">
            <v>3.2297468354430379</v>
          </cell>
          <cell r="BI2036">
            <v>4</v>
          </cell>
          <cell r="BJ2036">
            <v>0</v>
          </cell>
        </row>
        <row r="2037">
          <cell r="D2037" t="str">
            <v>Univerzita Pavla Jozefa Šafárika v Košiciach</v>
          </cell>
          <cell r="E2037" t="str">
            <v>Filozofická fakulta</v>
          </cell>
          <cell r="AN2037">
            <v>8</v>
          </cell>
          <cell r="AO2037">
            <v>0</v>
          </cell>
          <cell r="AP2037">
            <v>0</v>
          </cell>
          <cell r="AQ2037">
            <v>0</v>
          </cell>
          <cell r="AR2037">
            <v>8</v>
          </cell>
          <cell r="BF2037">
            <v>32</v>
          </cell>
          <cell r="BG2037">
            <v>35.200000000000003</v>
          </cell>
          <cell r="BH2037">
            <v>35.200000000000003</v>
          </cell>
          <cell r="BI2037">
            <v>8</v>
          </cell>
          <cell r="BJ2037">
            <v>8</v>
          </cell>
        </row>
        <row r="2038">
          <cell r="D2038" t="str">
            <v>Univerzita Pavla Jozefa Šafárika v Košiciach</v>
          </cell>
          <cell r="E2038" t="str">
            <v>Filozofická fakulta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BF2038">
            <v>0</v>
          </cell>
          <cell r="BG2038">
            <v>0</v>
          </cell>
          <cell r="BH2038">
            <v>0</v>
          </cell>
          <cell r="BI2038">
            <v>7</v>
          </cell>
          <cell r="BJ2038">
            <v>0</v>
          </cell>
        </row>
        <row r="2039">
          <cell r="D2039" t="str">
            <v>Univerzita Pavla Jozefa Šafárika v Košiciach</v>
          </cell>
          <cell r="E2039" t="str">
            <v>Právnická fakulta</v>
          </cell>
          <cell r="AN2039">
            <v>7</v>
          </cell>
          <cell r="AO2039">
            <v>0</v>
          </cell>
          <cell r="AP2039">
            <v>0</v>
          </cell>
          <cell r="AQ2039">
            <v>0</v>
          </cell>
          <cell r="AR2039">
            <v>7</v>
          </cell>
          <cell r="BF2039">
            <v>28</v>
          </cell>
          <cell r="BG2039">
            <v>30.800000000000004</v>
          </cell>
          <cell r="BH2039">
            <v>30.800000000000004</v>
          </cell>
          <cell r="BI2039">
            <v>7</v>
          </cell>
          <cell r="BJ2039">
            <v>7</v>
          </cell>
        </row>
        <row r="2040">
          <cell r="D2040" t="str">
            <v>Univerzita Pavla Jozefa Šafárika v Košiciach</v>
          </cell>
          <cell r="E2040" t="str">
            <v>Právnická fakulta</v>
          </cell>
          <cell r="AN2040">
            <v>3</v>
          </cell>
          <cell r="AO2040">
            <v>0</v>
          </cell>
          <cell r="AP2040">
            <v>0</v>
          </cell>
          <cell r="AQ2040">
            <v>0</v>
          </cell>
          <cell r="AR2040">
            <v>3</v>
          </cell>
          <cell r="BF2040">
            <v>12</v>
          </cell>
          <cell r="BG2040">
            <v>13.200000000000001</v>
          </cell>
          <cell r="BH2040">
            <v>13.200000000000001</v>
          </cell>
          <cell r="BI2040">
            <v>3</v>
          </cell>
          <cell r="BJ2040">
            <v>3</v>
          </cell>
        </row>
        <row r="2041">
          <cell r="D2041" t="str">
            <v>Univerzita Pavla Jozefa Šafárika v Košiciach</v>
          </cell>
          <cell r="E2041" t="str">
            <v>Lekárska fakulta</v>
          </cell>
          <cell r="AN2041">
            <v>12</v>
          </cell>
          <cell r="AO2041">
            <v>0</v>
          </cell>
          <cell r="AP2041">
            <v>0</v>
          </cell>
          <cell r="AQ2041">
            <v>0</v>
          </cell>
          <cell r="AR2041">
            <v>12</v>
          </cell>
          <cell r="BF2041">
            <v>36</v>
          </cell>
          <cell r="BG2041">
            <v>76.679999999999993</v>
          </cell>
          <cell r="BH2041">
            <v>51.12</v>
          </cell>
          <cell r="BI2041">
            <v>12</v>
          </cell>
          <cell r="BJ2041">
            <v>12</v>
          </cell>
        </row>
        <row r="2042">
          <cell r="D2042" t="str">
            <v>Univerzita Mateja Bela v Banskej Bystrici</v>
          </cell>
          <cell r="E2042" t="str">
            <v>Fakulta politických vied a medzinárodných vzťahov</v>
          </cell>
          <cell r="AN2042">
            <v>23</v>
          </cell>
          <cell r="AO2042">
            <v>29</v>
          </cell>
          <cell r="AP2042">
            <v>0</v>
          </cell>
          <cell r="AQ2042">
            <v>0</v>
          </cell>
          <cell r="AR2042">
            <v>23</v>
          </cell>
          <cell r="BF2042">
            <v>34.5</v>
          </cell>
          <cell r="BG2042">
            <v>34.5</v>
          </cell>
          <cell r="BH2042">
            <v>29.900000000000002</v>
          </cell>
          <cell r="BI2042">
            <v>29</v>
          </cell>
          <cell r="BJ2042">
            <v>0</v>
          </cell>
        </row>
        <row r="2043">
          <cell r="D2043" t="str">
            <v>Akadémia umení v Banskej Bystrici</v>
          </cell>
          <cell r="E2043" t="str">
            <v>Fakulta dramatických umení</v>
          </cell>
          <cell r="AN2043">
            <v>3</v>
          </cell>
          <cell r="AO2043">
            <v>0</v>
          </cell>
          <cell r="AP2043">
            <v>0</v>
          </cell>
          <cell r="AQ2043">
            <v>0</v>
          </cell>
          <cell r="AR2043">
            <v>3</v>
          </cell>
          <cell r="BF2043">
            <v>12</v>
          </cell>
          <cell r="BG2043">
            <v>13.200000000000001</v>
          </cell>
          <cell r="BH2043">
            <v>13.200000000000001</v>
          </cell>
          <cell r="BI2043">
            <v>3</v>
          </cell>
          <cell r="BJ2043">
            <v>3</v>
          </cell>
        </row>
        <row r="2044">
          <cell r="D2044" t="str">
            <v>Akadémia umení v Banskej Bystrici</v>
          </cell>
          <cell r="E2044" t="str">
            <v>Fakulta dramatických umení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BF2044">
            <v>0</v>
          </cell>
          <cell r="BG2044">
            <v>0</v>
          </cell>
          <cell r="BH2044">
            <v>0</v>
          </cell>
          <cell r="BI2044">
            <v>4</v>
          </cell>
          <cell r="BJ2044">
            <v>0</v>
          </cell>
        </row>
        <row r="2045">
          <cell r="D2045" t="str">
            <v>Akadémia umení v Banskej Bystrici</v>
          </cell>
          <cell r="E2045" t="str">
            <v>Fakulta dramatických umení</v>
          </cell>
          <cell r="AN2045">
            <v>4</v>
          </cell>
          <cell r="AO2045">
            <v>5</v>
          </cell>
          <cell r="AP2045">
            <v>0</v>
          </cell>
          <cell r="AQ2045">
            <v>0</v>
          </cell>
          <cell r="AR2045">
            <v>4</v>
          </cell>
          <cell r="BF2045">
            <v>3.4</v>
          </cell>
          <cell r="BG2045">
            <v>10.981999999999999</v>
          </cell>
          <cell r="BH2045">
            <v>10.981999999999999</v>
          </cell>
          <cell r="BI2045">
            <v>5</v>
          </cell>
          <cell r="BJ2045">
            <v>0</v>
          </cell>
        </row>
        <row r="2046">
          <cell r="D2046" t="str">
            <v>Akadémia umení v Banskej Bystrici</v>
          </cell>
          <cell r="E2046" t="str">
            <v>Fakulta dramatických umení</v>
          </cell>
          <cell r="AN2046">
            <v>36</v>
          </cell>
          <cell r="AO2046">
            <v>39</v>
          </cell>
          <cell r="AP2046">
            <v>0</v>
          </cell>
          <cell r="AQ2046">
            <v>0</v>
          </cell>
          <cell r="AR2046">
            <v>36</v>
          </cell>
          <cell r="BF2046">
            <v>31.5</v>
          </cell>
          <cell r="BG2046">
            <v>101.745</v>
          </cell>
          <cell r="BH2046">
            <v>101.745</v>
          </cell>
          <cell r="BI2046">
            <v>39</v>
          </cell>
          <cell r="BJ2046">
            <v>0</v>
          </cell>
        </row>
        <row r="2047">
          <cell r="D2047" t="str">
            <v>Akadémia umení v Banskej Bystrici</v>
          </cell>
          <cell r="E2047" t="str">
            <v>Fakulta výtvarných umení</v>
          </cell>
          <cell r="AN2047">
            <v>45</v>
          </cell>
          <cell r="AO2047">
            <v>46</v>
          </cell>
          <cell r="AP2047">
            <v>0</v>
          </cell>
          <cell r="AQ2047">
            <v>0</v>
          </cell>
          <cell r="AR2047">
            <v>45</v>
          </cell>
          <cell r="BF2047">
            <v>67.5</v>
          </cell>
          <cell r="BG2047">
            <v>218.02500000000001</v>
          </cell>
          <cell r="BH2047">
            <v>153.42500000000001</v>
          </cell>
          <cell r="BI2047">
            <v>46</v>
          </cell>
          <cell r="BJ2047">
            <v>0</v>
          </cell>
        </row>
        <row r="2048">
          <cell r="D2048" t="str">
            <v>Univerzita Pavla Jozefa Šafárika v Košiciach</v>
          </cell>
          <cell r="E2048" t="str">
            <v>Lekárska fakulta</v>
          </cell>
          <cell r="AN2048">
            <v>37</v>
          </cell>
          <cell r="AO2048">
            <v>40</v>
          </cell>
          <cell r="AP2048">
            <v>0</v>
          </cell>
          <cell r="AQ2048">
            <v>0</v>
          </cell>
          <cell r="AR2048">
            <v>37</v>
          </cell>
          <cell r="BF2048">
            <v>32.5</v>
          </cell>
          <cell r="BG2048">
            <v>69.875</v>
          </cell>
          <cell r="BH2048">
            <v>69.875</v>
          </cell>
          <cell r="BI2048">
            <v>40</v>
          </cell>
          <cell r="BJ2048">
            <v>0</v>
          </cell>
        </row>
        <row r="2049">
          <cell r="D2049" t="str">
            <v>Univerzita Pavla Jozefa Šafárika v Košiciach</v>
          </cell>
          <cell r="E2049" t="str">
            <v>Lekárska fakulta</v>
          </cell>
          <cell r="AN2049">
            <v>56</v>
          </cell>
          <cell r="AO2049">
            <v>62</v>
          </cell>
          <cell r="AP2049">
            <v>0</v>
          </cell>
          <cell r="AQ2049">
            <v>0</v>
          </cell>
          <cell r="AR2049">
            <v>56</v>
          </cell>
          <cell r="BF2049">
            <v>49.7</v>
          </cell>
          <cell r="BG2049">
            <v>106.855</v>
          </cell>
          <cell r="BH2049">
            <v>93.498125000000002</v>
          </cell>
          <cell r="BI2049">
            <v>62</v>
          </cell>
          <cell r="BJ2049">
            <v>0</v>
          </cell>
        </row>
        <row r="2050">
          <cell r="D2050" t="str">
            <v>Univerzita Pavla Jozefa Šafárika v Košiciach</v>
          </cell>
          <cell r="E2050" t="str">
            <v>Lekárska fakulta</v>
          </cell>
          <cell r="AN2050">
            <v>18</v>
          </cell>
          <cell r="AO2050">
            <v>20</v>
          </cell>
          <cell r="AP2050">
            <v>0</v>
          </cell>
          <cell r="AQ2050">
            <v>0</v>
          </cell>
          <cell r="AR2050">
            <v>18</v>
          </cell>
          <cell r="BF2050">
            <v>16.8</v>
          </cell>
          <cell r="BG2050">
            <v>24.864000000000001</v>
          </cell>
          <cell r="BH2050">
            <v>24.864000000000001</v>
          </cell>
          <cell r="BI2050">
            <v>20</v>
          </cell>
          <cell r="BJ2050">
            <v>0</v>
          </cell>
        </row>
        <row r="2051">
          <cell r="D2051" t="str">
            <v>Univerzita veterinárskeho lekárstva a farmácie v Košiciach</v>
          </cell>
          <cell r="E2051">
            <v>0</v>
          </cell>
          <cell r="AN2051">
            <v>27</v>
          </cell>
          <cell r="AO2051">
            <v>28</v>
          </cell>
          <cell r="AP2051">
            <v>0</v>
          </cell>
          <cell r="AQ2051">
            <v>0</v>
          </cell>
          <cell r="AR2051">
            <v>27</v>
          </cell>
          <cell r="BF2051">
            <v>40.5</v>
          </cell>
          <cell r="BG2051">
            <v>178.60500000000002</v>
          </cell>
          <cell r="BH2051">
            <v>122.79093750000001</v>
          </cell>
          <cell r="BI2051">
            <v>28</v>
          </cell>
          <cell r="BJ2051">
            <v>0</v>
          </cell>
        </row>
        <row r="2052">
          <cell r="D2052" t="str">
            <v>Akadémia umení v Banskej Bystrici</v>
          </cell>
          <cell r="E2052" t="str">
            <v>Fakulta múzických umení</v>
          </cell>
          <cell r="AN2052">
            <v>1</v>
          </cell>
          <cell r="AO2052">
            <v>0</v>
          </cell>
          <cell r="AP2052">
            <v>0</v>
          </cell>
          <cell r="AQ2052">
            <v>0</v>
          </cell>
          <cell r="AR2052">
            <v>1</v>
          </cell>
          <cell r="BF2052">
            <v>4</v>
          </cell>
          <cell r="BG2052">
            <v>4.4000000000000004</v>
          </cell>
          <cell r="BH2052">
            <v>4.4000000000000004</v>
          </cell>
          <cell r="BI2052">
            <v>1</v>
          </cell>
          <cell r="BJ2052">
            <v>1</v>
          </cell>
        </row>
        <row r="2053">
          <cell r="D2053" t="str">
            <v>Akadémia umení v Banskej Bystrici</v>
          </cell>
          <cell r="E2053" t="str">
            <v>Fakulta múzických umení</v>
          </cell>
          <cell r="AN2053">
            <v>10</v>
          </cell>
          <cell r="AO2053">
            <v>0</v>
          </cell>
          <cell r="AP2053">
            <v>0</v>
          </cell>
          <cell r="AQ2053">
            <v>0</v>
          </cell>
          <cell r="AR2053">
            <v>10</v>
          </cell>
          <cell r="BF2053">
            <v>40</v>
          </cell>
          <cell r="BG2053">
            <v>44</v>
          </cell>
          <cell r="BH2053">
            <v>44</v>
          </cell>
          <cell r="BI2053">
            <v>10</v>
          </cell>
          <cell r="BJ2053">
            <v>10</v>
          </cell>
        </row>
        <row r="2054">
          <cell r="D2054" t="str">
            <v>Akadémia umení v Banskej Bystrici</v>
          </cell>
          <cell r="E2054" t="str">
            <v>Fakulta múzických umení</v>
          </cell>
          <cell r="AN2054">
            <v>106</v>
          </cell>
          <cell r="AO2054">
            <v>115</v>
          </cell>
          <cell r="AP2054">
            <v>0</v>
          </cell>
          <cell r="AQ2054">
            <v>0</v>
          </cell>
          <cell r="AR2054">
            <v>106</v>
          </cell>
          <cell r="BF2054">
            <v>95.8</v>
          </cell>
          <cell r="BG2054">
            <v>309.43399999999997</v>
          </cell>
          <cell r="BH2054">
            <v>309.43399999999997</v>
          </cell>
          <cell r="BI2054">
            <v>115</v>
          </cell>
          <cell r="BJ2054">
            <v>0</v>
          </cell>
        </row>
        <row r="2055">
          <cell r="D2055" t="str">
            <v>Akadémia umení v Banskej Bystrici</v>
          </cell>
          <cell r="E2055" t="str">
            <v>Fakulta múzických umení</v>
          </cell>
          <cell r="AN2055">
            <v>5</v>
          </cell>
          <cell r="AO2055">
            <v>7</v>
          </cell>
          <cell r="AP2055">
            <v>0</v>
          </cell>
          <cell r="AQ2055">
            <v>0</v>
          </cell>
          <cell r="AR2055">
            <v>5</v>
          </cell>
          <cell r="BF2055">
            <v>4.0999999999999996</v>
          </cell>
          <cell r="BG2055">
            <v>13.242999999999999</v>
          </cell>
          <cell r="BH2055">
            <v>13.242999999999999</v>
          </cell>
          <cell r="BI2055">
            <v>7</v>
          </cell>
          <cell r="BJ2055">
            <v>0</v>
          </cell>
        </row>
        <row r="2056">
          <cell r="D2056" t="str">
            <v>Univerzita Mateja Bela v Banskej Bystrici</v>
          </cell>
          <cell r="E2056" t="str">
            <v>Fakulta prírodných vied</v>
          </cell>
          <cell r="AN2056">
            <v>4</v>
          </cell>
          <cell r="AO2056">
            <v>0</v>
          </cell>
          <cell r="AP2056">
            <v>0</v>
          </cell>
          <cell r="AQ2056">
            <v>4</v>
          </cell>
          <cell r="AR2056">
            <v>4</v>
          </cell>
          <cell r="BF2056">
            <v>12</v>
          </cell>
          <cell r="BG2056">
            <v>25.56</v>
          </cell>
          <cell r="BH2056">
            <v>25.56</v>
          </cell>
          <cell r="BI2056">
            <v>4</v>
          </cell>
          <cell r="BJ2056">
            <v>4</v>
          </cell>
        </row>
        <row r="2057">
          <cell r="D2057" t="str">
            <v>Univerzita Mateja Bela v Banskej Bystrici</v>
          </cell>
          <cell r="E2057" t="str">
            <v>Fakulta prírodných vied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R2057">
            <v>0</v>
          </cell>
          <cell r="BF2057">
            <v>0</v>
          </cell>
          <cell r="BG2057">
            <v>0</v>
          </cell>
          <cell r="BH2057">
            <v>0</v>
          </cell>
          <cell r="BI2057">
            <v>10</v>
          </cell>
          <cell r="BJ2057">
            <v>0</v>
          </cell>
        </row>
        <row r="2058">
          <cell r="D2058" t="str">
            <v>Univerzita Mateja Bela v Banskej Bystrici</v>
          </cell>
          <cell r="E2058" t="str">
            <v>Fakulta prírodných vied</v>
          </cell>
          <cell r="AN2058">
            <v>1</v>
          </cell>
          <cell r="AO2058">
            <v>1.5</v>
          </cell>
          <cell r="AP2058">
            <v>1.5</v>
          </cell>
          <cell r="AQ2058">
            <v>1</v>
          </cell>
          <cell r="AR2058">
            <v>1</v>
          </cell>
          <cell r="BF2058">
            <v>1.5</v>
          </cell>
          <cell r="BG2058">
            <v>1.7849999999999999</v>
          </cell>
          <cell r="BH2058">
            <v>1.7849999999999999</v>
          </cell>
          <cell r="BI2058">
            <v>1.5</v>
          </cell>
          <cell r="BJ2058">
            <v>0</v>
          </cell>
        </row>
        <row r="2059">
          <cell r="D2059" t="str">
            <v>Univerzita Mateja Bela v Banskej Bystrici</v>
          </cell>
          <cell r="E2059" t="str">
            <v>Fakulta prírodných vied</v>
          </cell>
          <cell r="AN2059">
            <v>4</v>
          </cell>
          <cell r="AO2059">
            <v>4.5</v>
          </cell>
          <cell r="AP2059">
            <v>4.5</v>
          </cell>
          <cell r="AQ2059">
            <v>4</v>
          </cell>
          <cell r="AR2059">
            <v>4</v>
          </cell>
          <cell r="BF2059">
            <v>6</v>
          </cell>
          <cell r="BG2059">
            <v>7.14</v>
          </cell>
          <cell r="BH2059">
            <v>7.14</v>
          </cell>
          <cell r="BI2059">
            <v>4.5</v>
          </cell>
          <cell r="BJ2059">
            <v>0</v>
          </cell>
        </row>
        <row r="2060">
          <cell r="D2060" t="str">
            <v>Univerzita Mateja Bela v Banskej Bystrici</v>
          </cell>
          <cell r="E2060" t="str">
            <v>Fakulta prírodných vied</v>
          </cell>
          <cell r="AN2060">
            <v>21</v>
          </cell>
          <cell r="AO2060">
            <v>22</v>
          </cell>
          <cell r="AP2060">
            <v>22</v>
          </cell>
          <cell r="AQ2060">
            <v>21</v>
          </cell>
          <cell r="AR2060">
            <v>21</v>
          </cell>
          <cell r="BF2060">
            <v>31.5</v>
          </cell>
          <cell r="BG2060">
            <v>45.36</v>
          </cell>
          <cell r="BH2060">
            <v>43.5456</v>
          </cell>
          <cell r="BI2060">
            <v>22</v>
          </cell>
          <cell r="BJ2060">
            <v>0</v>
          </cell>
        </row>
        <row r="2061">
          <cell r="D2061" t="str">
            <v>Univerzita Mateja Bela v Banskej Bystrici</v>
          </cell>
          <cell r="E2061" t="str">
            <v>Filozofická fakulta</v>
          </cell>
          <cell r="AN2061">
            <v>28.5</v>
          </cell>
          <cell r="AO2061">
            <v>29</v>
          </cell>
          <cell r="AP2061">
            <v>0</v>
          </cell>
          <cell r="AQ2061">
            <v>0</v>
          </cell>
          <cell r="AR2061">
            <v>28.5</v>
          </cell>
          <cell r="BF2061">
            <v>42.75</v>
          </cell>
          <cell r="BG2061">
            <v>46.597500000000004</v>
          </cell>
          <cell r="BH2061">
            <v>41.272071428571429</v>
          </cell>
          <cell r="BI2061">
            <v>29</v>
          </cell>
          <cell r="BJ2061">
            <v>0</v>
          </cell>
        </row>
        <row r="2062">
          <cell r="D2062" t="str">
            <v>Univerzita Mateja Bela v Banskej Bystrici</v>
          </cell>
          <cell r="E2062" t="str">
            <v>Fakulta prírodných vied</v>
          </cell>
          <cell r="AN2062">
            <v>9.5</v>
          </cell>
          <cell r="AO2062">
            <v>10</v>
          </cell>
          <cell r="AP2062">
            <v>0</v>
          </cell>
          <cell r="AQ2062">
            <v>0</v>
          </cell>
          <cell r="AR2062">
            <v>9.5</v>
          </cell>
          <cell r="BF2062">
            <v>7.85</v>
          </cell>
          <cell r="BG2062">
            <v>11.303999999999998</v>
          </cell>
          <cell r="BH2062">
            <v>11.303999999999998</v>
          </cell>
          <cell r="BI2062">
            <v>10</v>
          </cell>
          <cell r="BJ2062">
            <v>0</v>
          </cell>
        </row>
        <row r="2063">
          <cell r="D2063" t="str">
            <v>Univerzita Mateja Bela v Banskej Bystrici</v>
          </cell>
          <cell r="E2063" t="str">
            <v>Fakulta prírodných vied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R2063">
            <v>0</v>
          </cell>
          <cell r="BF2063">
            <v>0</v>
          </cell>
          <cell r="BG2063">
            <v>0</v>
          </cell>
          <cell r="BH2063">
            <v>0</v>
          </cell>
          <cell r="BI2063">
            <v>16</v>
          </cell>
          <cell r="BJ2063">
            <v>0</v>
          </cell>
        </row>
        <row r="2064">
          <cell r="D2064" t="str">
            <v>Univerzita Mateja Bela v Banskej Bystrici</v>
          </cell>
          <cell r="E2064" t="str">
            <v>Fakulta prírodných vied</v>
          </cell>
          <cell r="AN2064">
            <v>19</v>
          </cell>
          <cell r="AO2064">
            <v>20</v>
          </cell>
          <cell r="AP2064">
            <v>20</v>
          </cell>
          <cell r="AQ2064">
            <v>19</v>
          </cell>
          <cell r="AR2064">
            <v>19</v>
          </cell>
          <cell r="BF2064">
            <v>15.1</v>
          </cell>
          <cell r="BG2064">
            <v>22.347999999999999</v>
          </cell>
          <cell r="BH2064">
            <v>21.106444444444442</v>
          </cell>
          <cell r="BI2064">
            <v>20</v>
          </cell>
          <cell r="BJ2064">
            <v>0</v>
          </cell>
        </row>
        <row r="2065">
          <cell r="D2065" t="str">
            <v>Univerzita Mateja Bela v Banskej Bystrici</v>
          </cell>
          <cell r="E2065" t="str">
            <v>Fakulta prírodných vied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R2065">
            <v>0</v>
          </cell>
          <cell r="BF2065">
            <v>0</v>
          </cell>
          <cell r="BG2065">
            <v>0</v>
          </cell>
          <cell r="BH2065">
            <v>0</v>
          </cell>
          <cell r="BI2065">
            <v>1</v>
          </cell>
          <cell r="BJ2065">
            <v>0</v>
          </cell>
        </row>
        <row r="2066">
          <cell r="D2066" t="str">
            <v>Univerzita Mateja Bela v Banskej Bystrici</v>
          </cell>
          <cell r="E2066" t="str">
            <v>Filozofická fakulta</v>
          </cell>
          <cell r="AN2066">
            <v>6</v>
          </cell>
          <cell r="AO2066">
            <v>7</v>
          </cell>
          <cell r="AP2066">
            <v>0</v>
          </cell>
          <cell r="AQ2066">
            <v>0</v>
          </cell>
          <cell r="AR2066">
            <v>6</v>
          </cell>
          <cell r="BF2066">
            <v>4.8</v>
          </cell>
          <cell r="BG2066">
            <v>5.2320000000000002</v>
          </cell>
          <cell r="BH2066">
            <v>5.2320000000000002</v>
          </cell>
          <cell r="BI2066">
            <v>7</v>
          </cell>
          <cell r="BJ2066">
            <v>0</v>
          </cell>
        </row>
        <row r="2067">
          <cell r="D2067" t="str">
            <v>Univerzita Mateja Bela v Banskej Bystrici</v>
          </cell>
          <cell r="E2067" t="str">
            <v>Fakulta prírodných vied</v>
          </cell>
          <cell r="AN2067">
            <v>25.5</v>
          </cell>
          <cell r="AO2067">
            <v>27</v>
          </cell>
          <cell r="AP2067">
            <v>0</v>
          </cell>
          <cell r="AQ2067">
            <v>0</v>
          </cell>
          <cell r="AR2067">
            <v>25.5</v>
          </cell>
          <cell r="BF2067">
            <v>38.25</v>
          </cell>
          <cell r="BG2067">
            <v>55.08</v>
          </cell>
          <cell r="BH2067">
            <v>49.572000000000003</v>
          </cell>
          <cell r="BI2067">
            <v>27</v>
          </cell>
          <cell r="BJ2067">
            <v>0</v>
          </cell>
        </row>
        <row r="2068">
          <cell r="D2068" t="str">
            <v>Univerzita veterinárskeho lekárstva a farmácie v Košiciach</v>
          </cell>
          <cell r="E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BF2068">
            <v>0</v>
          </cell>
          <cell r="BG2068">
            <v>0</v>
          </cell>
          <cell r="BH2068">
            <v>0</v>
          </cell>
          <cell r="BI2068">
            <v>2</v>
          </cell>
          <cell r="BJ2068">
            <v>0</v>
          </cell>
        </row>
        <row r="2069">
          <cell r="D2069" t="str">
            <v>Univerzita veterinárskeho lekárstva a farmácie v Košiciach</v>
          </cell>
          <cell r="E2069">
            <v>0</v>
          </cell>
          <cell r="AN2069">
            <v>2</v>
          </cell>
          <cell r="AO2069">
            <v>0</v>
          </cell>
          <cell r="AP2069">
            <v>0</v>
          </cell>
          <cell r="AQ2069">
            <v>2</v>
          </cell>
          <cell r="AR2069">
            <v>2</v>
          </cell>
          <cell r="BF2069">
            <v>6</v>
          </cell>
          <cell r="BG2069">
            <v>12.78</v>
          </cell>
          <cell r="BH2069">
            <v>12.78</v>
          </cell>
          <cell r="BI2069">
            <v>2</v>
          </cell>
          <cell r="BJ2069">
            <v>2</v>
          </cell>
        </row>
        <row r="2070">
          <cell r="D2070" t="str">
            <v>Univerzita sv. Cyrila a Metoda v Trnave</v>
          </cell>
          <cell r="E2070" t="str">
            <v>Fakulta sociálnych vied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BF2070">
            <v>0</v>
          </cell>
          <cell r="BG2070">
            <v>0</v>
          </cell>
          <cell r="BH2070">
            <v>0</v>
          </cell>
          <cell r="BI2070">
            <v>46</v>
          </cell>
          <cell r="BJ2070">
            <v>0</v>
          </cell>
        </row>
        <row r="2071">
          <cell r="D2071" t="str">
            <v>Univerzita sv. Cyrila a Metoda v Trnave</v>
          </cell>
          <cell r="E2071" t="str">
            <v>Fakulta masmediálnej komunikácie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BF2071">
            <v>0</v>
          </cell>
          <cell r="BG2071">
            <v>0</v>
          </cell>
          <cell r="BH2071">
            <v>0</v>
          </cell>
          <cell r="BI2071">
            <v>128</v>
          </cell>
          <cell r="BJ2071">
            <v>0</v>
          </cell>
        </row>
        <row r="2072">
          <cell r="D2072" t="str">
            <v>Univerzita sv. Cyrila a Metoda v Trnave</v>
          </cell>
          <cell r="E2072" t="str">
            <v>Fakulta sociálnych vied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BF2072">
            <v>0</v>
          </cell>
          <cell r="BG2072">
            <v>0</v>
          </cell>
          <cell r="BH2072">
            <v>0</v>
          </cell>
          <cell r="BI2072">
            <v>112</v>
          </cell>
          <cell r="BJ2072">
            <v>0</v>
          </cell>
        </row>
        <row r="2073">
          <cell r="D2073" t="str">
            <v>Univerzita sv. Cyrila a Metoda v Trnave</v>
          </cell>
          <cell r="E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BF2073">
            <v>0</v>
          </cell>
          <cell r="BG2073">
            <v>0</v>
          </cell>
          <cell r="BH2073">
            <v>0</v>
          </cell>
          <cell r="BI2073">
            <v>91</v>
          </cell>
          <cell r="BJ2073">
            <v>0</v>
          </cell>
        </row>
        <row r="2074">
          <cell r="D2074" t="str">
            <v>Univerzita sv. Cyrila a Metoda v Trnave</v>
          </cell>
          <cell r="E2074" t="str">
            <v>Fakulta masmediálnej komunikácie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BF2074">
            <v>0</v>
          </cell>
          <cell r="BG2074">
            <v>0</v>
          </cell>
          <cell r="BH2074">
            <v>0</v>
          </cell>
          <cell r="BI2074">
            <v>93</v>
          </cell>
          <cell r="BJ2074">
            <v>0</v>
          </cell>
        </row>
        <row r="2075">
          <cell r="D2075" t="str">
            <v>Univerzita sv. Cyrila a Metoda v Trnave</v>
          </cell>
          <cell r="E2075" t="str">
            <v>Fakulta sociálnych vied</v>
          </cell>
          <cell r="AN2075">
            <v>7</v>
          </cell>
          <cell r="AO2075">
            <v>0</v>
          </cell>
          <cell r="AP2075">
            <v>0</v>
          </cell>
          <cell r="AQ2075">
            <v>0</v>
          </cell>
          <cell r="AR2075">
            <v>7</v>
          </cell>
          <cell r="BF2075">
            <v>28</v>
          </cell>
          <cell r="BG2075">
            <v>30.800000000000004</v>
          </cell>
          <cell r="BH2075">
            <v>30.800000000000004</v>
          </cell>
          <cell r="BI2075">
            <v>8</v>
          </cell>
          <cell r="BJ2075">
            <v>7</v>
          </cell>
        </row>
        <row r="2076">
          <cell r="D2076" t="str">
            <v>Univerzita sv. Cyrila a Metoda v Trnave</v>
          </cell>
          <cell r="E2076" t="str">
            <v>Fakulta sociálnych vied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R2076">
            <v>0</v>
          </cell>
          <cell r="BF2076">
            <v>0</v>
          </cell>
          <cell r="BG2076">
            <v>0</v>
          </cell>
          <cell r="BH2076">
            <v>0</v>
          </cell>
          <cell r="BI2076">
            <v>43</v>
          </cell>
          <cell r="BJ2076">
            <v>0</v>
          </cell>
        </row>
        <row r="2077">
          <cell r="D2077" t="str">
            <v>Univerzita sv. Cyrila a Metoda v Trnave</v>
          </cell>
          <cell r="E2077" t="str">
            <v>Fakulta masmediálnej komunikácie</v>
          </cell>
          <cell r="AN2077">
            <v>16</v>
          </cell>
          <cell r="AO2077">
            <v>0</v>
          </cell>
          <cell r="AP2077">
            <v>0</v>
          </cell>
          <cell r="AQ2077">
            <v>0</v>
          </cell>
          <cell r="AR2077">
            <v>16</v>
          </cell>
          <cell r="BF2077">
            <v>64</v>
          </cell>
          <cell r="BG2077">
            <v>70.400000000000006</v>
          </cell>
          <cell r="BH2077">
            <v>70.400000000000006</v>
          </cell>
          <cell r="BI2077">
            <v>16</v>
          </cell>
          <cell r="BJ2077">
            <v>16</v>
          </cell>
        </row>
        <row r="2078">
          <cell r="D2078" t="str">
            <v>Univerzita sv. Cyrila a Metoda v Trnave</v>
          </cell>
          <cell r="E2078" t="str">
            <v>Fakulta masmediálnej komunikácie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BF2078">
            <v>0</v>
          </cell>
          <cell r="BG2078">
            <v>0</v>
          </cell>
          <cell r="BH2078">
            <v>0</v>
          </cell>
          <cell r="BI2078">
            <v>24</v>
          </cell>
          <cell r="BJ2078">
            <v>0</v>
          </cell>
        </row>
        <row r="2079">
          <cell r="D2079" t="str">
            <v>Univerzita sv. Cyrila a Metoda v Trnave</v>
          </cell>
          <cell r="E2079" t="str">
            <v>Fakulta masmediálnej komunikácie</v>
          </cell>
          <cell r="AN2079">
            <v>12</v>
          </cell>
          <cell r="AO2079">
            <v>0</v>
          </cell>
          <cell r="AP2079">
            <v>0</v>
          </cell>
          <cell r="AQ2079">
            <v>0</v>
          </cell>
          <cell r="AR2079">
            <v>12</v>
          </cell>
          <cell r="BF2079">
            <v>48</v>
          </cell>
          <cell r="BG2079">
            <v>52.800000000000004</v>
          </cell>
          <cell r="BH2079">
            <v>52.800000000000004</v>
          </cell>
          <cell r="BI2079">
            <v>12</v>
          </cell>
          <cell r="BJ2079">
            <v>12</v>
          </cell>
        </row>
        <row r="2080">
          <cell r="D2080" t="str">
            <v>Univerzita sv. Cyrila a Metoda v Trnave</v>
          </cell>
          <cell r="E2080" t="str">
            <v>Filozofická fakulta</v>
          </cell>
          <cell r="AN2080">
            <v>65</v>
          </cell>
          <cell r="AO2080">
            <v>71</v>
          </cell>
          <cell r="AP2080">
            <v>0</v>
          </cell>
          <cell r="AQ2080">
            <v>0</v>
          </cell>
          <cell r="AR2080">
            <v>65</v>
          </cell>
          <cell r="BF2080">
            <v>97.5</v>
          </cell>
          <cell r="BG2080">
            <v>101.4</v>
          </cell>
          <cell r="BH2080">
            <v>82.387500000000003</v>
          </cell>
          <cell r="BI2080">
            <v>71</v>
          </cell>
          <cell r="BJ2080">
            <v>0</v>
          </cell>
        </row>
        <row r="2081">
          <cell r="D2081" t="str">
            <v>Univerzita sv. Cyrila a Metoda v Trnave</v>
          </cell>
          <cell r="E2081" t="str">
            <v>Fakulta masmediálnej komunikácie</v>
          </cell>
          <cell r="AN2081">
            <v>19</v>
          </cell>
          <cell r="AO2081">
            <v>22</v>
          </cell>
          <cell r="AP2081">
            <v>0</v>
          </cell>
          <cell r="AQ2081">
            <v>0</v>
          </cell>
          <cell r="AR2081">
            <v>19</v>
          </cell>
          <cell r="BF2081">
            <v>28.5</v>
          </cell>
          <cell r="BG2081">
            <v>33.914999999999999</v>
          </cell>
          <cell r="BH2081">
            <v>27.454999999999998</v>
          </cell>
          <cell r="BI2081">
            <v>22</v>
          </cell>
          <cell r="BJ2081">
            <v>0</v>
          </cell>
        </row>
        <row r="2082">
          <cell r="D2082" t="str">
            <v>Univerzita sv. Cyrila a Metoda v Trnave</v>
          </cell>
          <cell r="E2082" t="str">
            <v>Filozofická fakulta</v>
          </cell>
          <cell r="AN2082">
            <v>78</v>
          </cell>
          <cell r="AO2082">
            <v>80</v>
          </cell>
          <cell r="AP2082">
            <v>0</v>
          </cell>
          <cell r="AQ2082">
            <v>0</v>
          </cell>
          <cell r="AR2082">
            <v>78</v>
          </cell>
          <cell r="BF2082">
            <v>117</v>
          </cell>
          <cell r="BG2082">
            <v>117</v>
          </cell>
          <cell r="BH2082">
            <v>106.36363636363636</v>
          </cell>
          <cell r="BI2082">
            <v>80</v>
          </cell>
          <cell r="BJ2082">
            <v>0</v>
          </cell>
        </row>
        <row r="2083">
          <cell r="D2083" t="str">
            <v>Univerzita sv. Cyrila a Metoda v Trnave</v>
          </cell>
          <cell r="E2083" t="str">
            <v>Filozofická fakulta</v>
          </cell>
          <cell r="AN2083">
            <v>7</v>
          </cell>
          <cell r="AO2083">
            <v>8.5</v>
          </cell>
          <cell r="AP2083">
            <v>0</v>
          </cell>
          <cell r="AQ2083">
            <v>0</v>
          </cell>
          <cell r="AR2083">
            <v>7</v>
          </cell>
          <cell r="BF2083">
            <v>10.5</v>
          </cell>
          <cell r="BG2083">
            <v>11.445</v>
          </cell>
          <cell r="BH2083">
            <v>11.445</v>
          </cell>
          <cell r="BI2083">
            <v>8.5</v>
          </cell>
          <cell r="BJ2083">
            <v>0</v>
          </cell>
        </row>
        <row r="2084">
          <cell r="D2084" t="str">
            <v>Univerzita sv. Cyrila a Metoda v Trnave</v>
          </cell>
          <cell r="E2084" t="str">
            <v>Filozofická fakulta</v>
          </cell>
          <cell r="AN2084">
            <v>0</v>
          </cell>
          <cell r="AO2084">
            <v>0.5</v>
          </cell>
          <cell r="AP2084">
            <v>0</v>
          </cell>
          <cell r="AQ2084">
            <v>0</v>
          </cell>
          <cell r="AR2084">
            <v>0</v>
          </cell>
          <cell r="BF2084">
            <v>0</v>
          </cell>
          <cell r="BG2084">
            <v>0</v>
          </cell>
          <cell r="BH2084">
            <v>0</v>
          </cell>
          <cell r="BI2084">
            <v>0.5</v>
          </cell>
          <cell r="BJ2084">
            <v>0</v>
          </cell>
        </row>
        <row r="2085">
          <cell r="D2085" t="str">
            <v>Univerzita sv. Cyrila a Metoda v Trnave</v>
          </cell>
          <cell r="E2085" t="str">
            <v>Fakulta prírodných vied</v>
          </cell>
          <cell r="AN2085">
            <v>23</v>
          </cell>
          <cell r="AO2085">
            <v>24</v>
          </cell>
          <cell r="AP2085">
            <v>24</v>
          </cell>
          <cell r="AQ2085">
            <v>23</v>
          </cell>
          <cell r="AR2085">
            <v>23</v>
          </cell>
          <cell r="BF2085">
            <v>19.7</v>
          </cell>
          <cell r="BG2085">
            <v>29.155999999999999</v>
          </cell>
          <cell r="BH2085">
            <v>29.155999999999999</v>
          </cell>
          <cell r="BI2085">
            <v>24</v>
          </cell>
          <cell r="BJ2085">
            <v>0</v>
          </cell>
        </row>
        <row r="2086">
          <cell r="D2086" t="str">
            <v>Univerzita sv. Cyrila a Metoda v Trnave</v>
          </cell>
          <cell r="E2086" t="str">
            <v>Filozofická fakulta</v>
          </cell>
          <cell r="AN2086">
            <v>12</v>
          </cell>
          <cell r="AO2086">
            <v>15</v>
          </cell>
          <cell r="AP2086">
            <v>0</v>
          </cell>
          <cell r="AQ2086">
            <v>0</v>
          </cell>
          <cell r="AR2086">
            <v>12</v>
          </cell>
          <cell r="BF2086">
            <v>10.5</v>
          </cell>
          <cell r="BG2086">
            <v>10.5</v>
          </cell>
          <cell r="BH2086">
            <v>10.5</v>
          </cell>
          <cell r="BI2086">
            <v>15</v>
          </cell>
          <cell r="BJ2086">
            <v>0</v>
          </cell>
        </row>
        <row r="2087">
          <cell r="D2087" t="str">
            <v>Univerzita sv. Cyrila a Metoda v Trnave</v>
          </cell>
          <cell r="E2087" t="str">
            <v>Filozofická fakulta</v>
          </cell>
          <cell r="AN2087">
            <v>8</v>
          </cell>
          <cell r="AO2087">
            <v>9</v>
          </cell>
          <cell r="AP2087">
            <v>0</v>
          </cell>
          <cell r="AQ2087">
            <v>0</v>
          </cell>
          <cell r="AR2087">
            <v>8</v>
          </cell>
          <cell r="BF2087">
            <v>6.5</v>
          </cell>
          <cell r="BG2087">
            <v>6.5</v>
          </cell>
          <cell r="BH2087">
            <v>6.5</v>
          </cell>
          <cell r="BI2087">
            <v>9</v>
          </cell>
          <cell r="BJ2087">
            <v>0</v>
          </cell>
        </row>
        <row r="2088">
          <cell r="D2088" t="str">
            <v>Univerzita sv. Cyrila a Metoda v Trnave</v>
          </cell>
          <cell r="E2088" t="str">
            <v>Filozofická fakulta</v>
          </cell>
          <cell r="AN2088">
            <v>8</v>
          </cell>
          <cell r="AO2088">
            <v>10</v>
          </cell>
          <cell r="AP2088">
            <v>0</v>
          </cell>
          <cell r="AQ2088">
            <v>0</v>
          </cell>
          <cell r="AR2088">
            <v>8</v>
          </cell>
          <cell r="BF2088">
            <v>12</v>
          </cell>
          <cell r="BG2088">
            <v>12.48</v>
          </cell>
          <cell r="BH2088">
            <v>12.48</v>
          </cell>
          <cell r="BI2088">
            <v>10</v>
          </cell>
          <cell r="BJ2088">
            <v>0</v>
          </cell>
        </row>
        <row r="2089">
          <cell r="D2089" t="str">
            <v>Univerzita sv. Cyrila a Metoda v Trnave</v>
          </cell>
          <cell r="E2089" t="str">
            <v>Fakulta prírodných vied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BF2089">
            <v>0</v>
          </cell>
          <cell r="BG2089">
            <v>0</v>
          </cell>
          <cell r="BH2089">
            <v>0</v>
          </cell>
          <cell r="BI2089">
            <v>51</v>
          </cell>
          <cell r="BJ2089">
            <v>0</v>
          </cell>
        </row>
        <row r="2090">
          <cell r="D2090" t="str">
            <v>Univerzita sv. Cyrila a Metoda v Trnave</v>
          </cell>
          <cell r="E2090" t="str">
            <v>Fakulta masmediálnej komunikácie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BF2090">
            <v>0</v>
          </cell>
          <cell r="BG2090">
            <v>0</v>
          </cell>
          <cell r="BH2090">
            <v>0</v>
          </cell>
          <cell r="BI2090">
            <v>2</v>
          </cell>
          <cell r="BJ2090">
            <v>0</v>
          </cell>
        </row>
        <row r="2091">
          <cell r="D2091" t="str">
            <v>Univerzita sv. Cyrila a Metoda v Trnave</v>
          </cell>
          <cell r="E2091" t="str">
            <v>Filozofická fakulta</v>
          </cell>
          <cell r="AN2091">
            <v>5</v>
          </cell>
          <cell r="AO2091">
            <v>0</v>
          </cell>
          <cell r="AP2091">
            <v>0</v>
          </cell>
          <cell r="AQ2091">
            <v>0</v>
          </cell>
          <cell r="AR2091">
            <v>5</v>
          </cell>
          <cell r="BF2091">
            <v>20</v>
          </cell>
          <cell r="BG2091">
            <v>22</v>
          </cell>
          <cell r="BH2091">
            <v>22</v>
          </cell>
          <cell r="BI2091">
            <v>5</v>
          </cell>
          <cell r="BJ2091">
            <v>5</v>
          </cell>
        </row>
        <row r="2092">
          <cell r="D2092" t="str">
            <v>Univerzita Mateja Bela v Banskej Bystrici</v>
          </cell>
          <cell r="E2092" t="str">
            <v>Pedagogická fakulta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BF2092">
            <v>0</v>
          </cell>
          <cell r="BG2092">
            <v>0</v>
          </cell>
          <cell r="BH2092">
            <v>0</v>
          </cell>
          <cell r="BI2092">
            <v>17</v>
          </cell>
          <cell r="BJ2092">
            <v>0</v>
          </cell>
        </row>
        <row r="2093">
          <cell r="D2093" t="str">
            <v>Univerzita Mateja Bela v Banskej Bystrici</v>
          </cell>
          <cell r="E2093" t="str">
            <v>Pedagogická fakulta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BF2093">
            <v>0</v>
          </cell>
          <cell r="BG2093">
            <v>0</v>
          </cell>
          <cell r="BH2093">
            <v>0</v>
          </cell>
          <cell r="BI2093">
            <v>14</v>
          </cell>
          <cell r="BJ2093">
            <v>0</v>
          </cell>
        </row>
        <row r="2094">
          <cell r="D2094" t="str">
            <v>Univerzita Mateja Bela v Banskej Bystrici</v>
          </cell>
          <cell r="E2094" t="str">
            <v>Pedagogická fakulta</v>
          </cell>
          <cell r="AN2094">
            <v>3</v>
          </cell>
          <cell r="AO2094">
            <v>0</v>
          </cell>
          <cell r="AP2094">
            <v>0</v>
          </cell>
          <cell r="AQ2094">
            <v>0</v>
          </cell>
          <cell r="AR2094">
            <v>3</v>
          </cell>
          <cell r="BF2094">
            <v>12</v>
          </cell>
          <cell r="BG2094">
            <v>13.200000000000001</v>
          </cell>
          <cell r="BH2094">
            <v>13.200000000000001</v>
          </cell>
          <cell r="BI2094">
            <v>3</v>
          </cell>
          <cell r="BJ2094">
            <v>3</v>
          </cell>
        </row>
        <row r="2095">
          <cell r="D2095" t="str">
            <v>Univerzita Mateja Bela v Banskej Bystrici</v>
          </cell>
          <cell r="E2095" t="str">
            <v>Pedagogická fakulta</v>
          </cell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BF2095">
            <v>0</v>
          </cell>
          <cell r="BG2095">
            <v>0</v>
          </cell>
          <cell r="BH2095">
            <v>0</v>
          </cell>
          <cell r="BI2095">
            <v>17</v>
          </cell>
          <cell r="BJ2095">
            <v>0</v>
          </cell>
        </row>
        <row r="2096">
          <cell r="D2096" t="str">
            <v>Univerzita Mateja Bela v Banskej Bystrici</v>
          </cell>
          <cell r="E2096" t="str">
            <v>Pedagogická fakulta</v>
          </cell>
          <cell r="AN2096">
            <v>5</v>
          </cell>
          <cell r="AO2096">
            <v>0</v>
          </cell>
          <cell r="AP2096">
            <v>0</v>
          </cell>
          <cell r="AQ2096">
            <v>0</v>
          </cell>
          <cell r="AR2096">
            <v>5</v>
          </cell>
          <cell r="BF2096">
            <v>20</v>
          </cell>
          <cell r="BG2096">
            <v>22</v>
          </cell>
          <cell r="BH2096">
            <v>22</v>
          </cell>
          <cell r="BI2096">
            <v>5</v>
          </cell>
          <cell r="BJ2096">
            <v>5</v>
          </cell>
        </row>
        <row r="2097">
          <cell r="D2097" t="str">
            <v>Univerzita Mateja Bela v Banskej Bystrici</v>
          </cell>
          <cell r="E2097" t="str">
            <v>Pedagogická fakulta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BF2097">
            <v>0</v>
          </cell>
          <cell r="BG2097">
            <v>0</v>
          </cell>
          <cell r="BH2097">
            <v>0</v>
          </cell>
          <cell r="BI2097">
            <v>23</v>
          </cell>
          <cell r="BJ2097">
            <v>0</v>
          </cell>
        </row>
        <row r="2098">
          <cell r="D2098" t="str">
            <v>Univerzita Mateja Bela v Banskej Bystrici</v>
          </cell>
          <cell r="E2098" t="str">
            <v>Pedagogická fakulta</v>
          </cell>
          <cell r="AN2098">
            <v>14</v>
          </cell>
          <cell r="AO2098">
            <v>15</v>
          </cell>
          <cell r="AP2098">
            <v>0</v>
          </cell>
          <cell r="AQ2098">
            <v>0</v>
          </cell>
          <cell r="AR2098">
            <v>14</v>
          </cell>
          <cell r="BF2098">
            <v>12.2</v>
          </cell>
          <cell r="BG2098">
            <v>26.229999999999997</v>
          </cell>
          <cell r="BH2098">
            <v>26.229999999999997</v>
          </cell>
          <cell r="BI2098">
            <v>15</v>
          </cell>
          <cell r="BJ2098">
            <v>0</v>
          </cell>
        </row>
        <row r="2099">
          <cell r="D2099" t="str">
            <v>Univerzita Mateja Bela v Banskej Bystrici</v>
          </cell>
          <cell r="E2099" t="str">
            <v>Pedagogická fakulta</v>
          </cell>
          <cell r="AN2099">
            <v>4</v>
          </cell>
          <cell r="AO2099">
            <v>4.5</v>
          </cell>
          <cell r="AP2099">
            <v>0</v>
          </cell>
          <cell r="AQ2099">
            <v>0</v>
          </cell>
          <cell r="AR2099">
            <v>4</v>
          </cell>
          <cell r="BF2099">
            <v>6</v>
          </cell>
          <cell r="BG2099">
            <v>12.899999999999999</v>
          </cell>
          <cell r="BH2099">
            <v>12.899999999999999</v>
          </cell>
          <cell r="BI2099">
            <v>4.5</v>
          </cell>
          <cell r="BJ2099">
            <v>0</v>
          </cell>
        </row>
        <row r="2100">
          <cell r="D2100" t="str">
            <v>Univerzita Mateja Bela v Banskej Bystrici</v>
          </cell>
          <cell r="E2100" t="str">
            <v>Filozofická fakulta</v>
          </cell>
          <cell r="AN2100">
            <v>36</v>
          </cell>
          <cell r="AO2100">
            <v>37</v>
          </cell>
          <cell r="AP2100">
            <v>0</v>
          </cell>
          <cell r="AQ2100">
            <v>0</v>
          </cell>
          <cell r="AR2100">
            <v>36</v>
          </cell>
          <cell r="BF2100">
            <v>54</v>
          </cell>
          <cell r="BG2100">
            <v>58.860000000000007</v>
          </cell>
          <cell r="BH2100">
            <v>55.292727272727284</v>
          </cell>
          <cell r="BI2100">
            <v>37</v>
          </cell>
          <cell r="BJ2100">
            <v>0</v>
          </cell>
        </row>
        <row r="2101">
          <cell r="D2101" t="str">
            <v>Univerzita Mateja Bela v Banskej Bystrici</v>
          </cell>
          <cell r="E2101" t="str">
            <v>Pedagogická fakulta</v>
          </cell>
          <cell r="AN2101">
            <v>4</v>
          </cell>
          <cell r="AO2101">
            <v>0</v>
          </cell>
          <cell r="AP2101">
            <v>0</v>
          </cell>
          <cell r="AQ2101">
            <v>0</v>
          </cell>
          <cell r="AR2101">
            <v>4</v>
          </cell>
          <cell r="BF2101">
            <v>16</v>
          </cell>
          <cell r="BG2101">
            <v>17.600000000000001</v>
          </cell>
          <cell r="BH2101">
            <v>17.600000000000001</v>
          </cell>
          <cell r="BI2101">
            <v>4</v>
          </cell>
          <cell r="BJ2101">
            <v>4</v>
          </cell>
        </row>
        <row r="2102">
          <cell r="D2102" t="str">
            <v>Univerzita Mateja Bela v Banskej Bystrici</v>
          </cell>
          <cell r="E2102" t="str">
            <v>Pedagogická fakulta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BF2102">
            <v>0</v>
          </cell>
          <cell r="BG2102">
            <v>0</v>
          </cell>
          <cell r="BH2102">
            <v>0</v>
          </cell>
          <cell r="BI2102">
            <v>4</v>
          </cell>
          <cell r="BJ2102">
            <v>0</v>
          </cell>
        </row>
        <row r="2103">
          <cell r="D2103" t="str">
            <v>Univerzita Mateja Bela v Banskej Bystrici</v>
          </cell>
          <cell r="E2103" t="str">
            <v>Pedagogická fakulta</v>
          </cell>
          <cell r="AN2103">
            <v>2</v>
          </cell>
          <cell r="AO2103">
            <v>0</v>
          </cell>
          <cell r="AP2103">
            <v>0</v>
          </cell>
          <cell r="AQ2103">
            <v>0</v>
          </cell>
          <cell r="AR2103">
            <v>2</v>
          </cell>
          <cell r="BF2103">
            <v>8</v>
          </cell>
          <cell r="BG2103">
            <v>8.8000000000000007</v>
          </cell>
          <cell r="BH2103">
            <v>8.8000000000000007</v>
          </cell>
          <cell r="BI2103">
            <v>2</v>
          </cell>
          <cell r="BJ2103">
            <v>2</v>
          </cell>
        </row>
        <row r="2104">
          <cell r="D2104" t="str">
            <v>Univerzita Mateja Bela v Banskej Bystrici</v>
          </cell>
          <cell r="E2104" t="str">
            <v>Pedagogická fakulta</v>
          </cell>
          <cell r="AN2104">
            <v>25</v>
          </cell>
          <cell r="AO2104">
            <v>27</v>
          </cell>
          <cell r="AP2104">
            <v>0</v>
          </cell>
          <cell r="AQ2104">
            <v>0</v>
          </cell>
          <cell r="AR2104">
            <v>25</v>
          </cell>
          <cell r="BF2104">
            <v>37.5</v>
          </cell>
          <cell r="BG2104">
            <v>37.5</v>
          </cell>
          <cell r="BH2104">
            <v>37.5</v>
          </cell>
          <cell r="BI2104">
            <v>27</v>
          </cell>
          <cell r="BJ2104">
            <v>0</v>
          </cell>
        </row>
        <row r="2105">
          <cell r="D2105" t="str">
            <v>Univerzita Mateja Bela v Banskej Bystrici</v>
          </cell>
          <cell r="E2105" t="str">
            <v>Pedagogická fakulta</v>
          </cell>
          <cell r="AN2105">
            <v>27</v>
          </cell>
          <cell r="AO2105">
            <v>29</v>
          </cell>
          <cell r="AP2105">
            <v>0</v>
          </cell>
          <cell r="AQ2105">
            <v>0</v>
          </cell>
          <cell r="AR2105">
            <v>27</v>
          </cell>
          <cell r="BF2105">
            <v>40.5</v>
          </cell>
          <cell r="BG2105">
            <v>48.195</v>
          </cell>
          <cell r="BH2105">
            <v>40.162500000000001</v>
          </cell>
          <cell r="BI2105">
            <v>29</v>
          </cell>
          <cell r="BJ2105">
            <v>0</v>
          </cell>
        </row>
        <row r="2106">
          <cell r="D2106" t="str">
            <v>Univerzita Mateja Bela v Banskej Bystrici</v>
          </cell>
          <cell r="E2106" t="str">
            <v>Pedagogická fakulta</v>
          </cell>
          <cell r="AN2106">
            <v>12</v>
          </cell>
          <cell r="AO2106">
            <v>13</v>
          </cell>
          <cell r="AP2106">
            <v>0</v>
          </cell>
          <cell r="AQ2106">
            <v>0</v>
          </cell>
          <cell r="AR2106">
            <v>12</v>
          </cell>
          <cell r="BF2106">
            <v>18</v>
          </cell>
          <cell r="BG2106">
            <v>38.699999999999996</v>
          </cell>
          <cell r="BH2106">
            <v>38.699999999999996</v>
          </cell>
          <cell r="BI2106">
            <v>13</v>
          </cell>
          <cell r="BJ2106">
            <v>0</v>
          </cell>
        </row>
        <row r="2107">
          <cell r="D2107" t="str">
            <v>Univerzita Mateja Bela v Banskej Bystrici</v>
          </cell>
          <cell r="E2107" t="str">
            <v>Pedagogická fakulta</v>
          </cell>
          <cell r="AN2107">
            <v>21</v>
          </cell>
          <cell r="AO2107">
            <v>22</v>
          </cell>
          <cell r="AP2107">
            <v>0</v>
          </cell>
          <cell r="AQ2107">
            <v>0</v>
          </cell>
          <cell r="AR2107">
            <v>21</v>
          </cell>
          <cell r="BF2107">
            <v>31.5</v>
          </cell>
          <cell r="BG2107">
            <v>67.724999999999994</v>
          </cell>
          <cell r="BH2107">
            <v>58.05</v>
          </cell>
          <cell r="BI2107">
            <v>22</v>
          </cell>
          <cell r="BJ2107">
            <v>0</v>
          </cell>
        </row>
        <row r="2108">
          <cell r="D2108" t="str">
            <v>Univerzita Mateja Bela v Banskej Bystrici</v>
          </cell>
          <cell r="E2108" t="str">
            <v>Pedagogická fakulta</v>
          </cell>
          <cell r="AN2108">
            <v>10.5</v>
          </cell>
          <cell r="AO2108">
            <v>11</v>
          </cell>
          <cell r="AP2108">
            <v>0</v>
          </cell>
          <cell r="AQ2108">
            <v>0</v>
          </cell>
          <cell r="AR2108">
            <v>10.5</v>
          </cell>
          <cell r="BF2108">
            <v>15.75</v>
          </cell>
          <cell r="BG2108">
            <v>18.7425</v>
          </cell>
          <cell r="BH2108">
            <v>16.928709677419356</v>
          </cell>
          <cell r="BI2108">
            <v>11</v>
          </cell>
          <cell r="BJ2108">
            <v>0</v>
          </cell>
        </row>
        <row r="2109">
          <cell r="D2109" t="str">
            <v>Univerzita Mateja Bela v Banskej Bystrici</v>
          </cell>
          <cell r="E2109" t="str">
            <v>Pedagogická fakulta</v>
          </cell>
          <cell r="AN2109">
            <v>28</v>
          </cell>
          <cell r="AO2109">
            <v>33</v>
          </cell>
          <cell r="AP2109">
            <v>0</v>
          </cell>
          <cell r="AQ2109">
            <v>0</v>
          </cell>
          <cell r="AR2109">
            <v>28</v>
          </cell>
          <cell r="BF2109">
            <v>42</v>
          </cell>
          <cell r="BG2109">
            <v>42</v>
          </cell>
          <cell r="BH2109">
            <v>36.75</v>
          </cell>
          <cell r="BI2109">
            <v>33</v>
          </cell>
          <cell r="BJ2109">
            <v>0</v>
          </cell>
        </row>
        <row r="2110">
          <cell r="D2110" t="str">
            <v>Univerzita Mateja Bela v Banskej Bystrici</v>
          </cell>
          <cell r="E2110" t="str">
            <v>Pedagogická fakulta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7</v>
          </cell>
          <cell r="BJ2110">
            <v>0</v>
          </cell>
        </row>
        <row r="2111">
          <cell r="D2111" t="str">
            <v>Univerzita Mateja Bela v Banskej Bystrici</v>
          </cell>
          <cell r="E2111" t="str">
            <v>Pedagogická fakulta</v>
          </cell>
          <cell r="AN2111">
            <v>18</v>
          </cell>
          <cell r="AO2111">
            <v>18</v>
          </cell>
          <cell r="AP2111">
            <v>0</v>
          </cell>
          <cell r="AQ2111">
            <v>0</v>
          </cell>
          <cell r="AR2111">
            <v>18</v>
          </cell>
          <cell r="BF2111">
            <v>15.6</v>
          </cell>
          <cell r="BG2111">
            <v>33.54</v>
          </cell>
          <cell r="BH2111">
            <v>33.54</v>
          </cell>
          <cell r="BI2111">
            <v>18</v>
          </cell>
          <cell r="BJ2111">
            <v>0</v>
          </cell>
        </row>
        <row r="2112">
          <cell r="D2112" t="str">
            <v>Univerzita Mateja Bela v Banskej Bystrici</v>
          </cell>
          <cell r="E2112" t="str">
            <v>Pedagogická fakulta</v>
          </cell>
          <cell r="AN2112">
            <v>47</v>
          </cell>
          <cell r="AO2112">
            <v>48</v>
          </cell>
          <cell r="AP2112">
            <v>0</v>
          </cell>
          <cell r="AQ2112">
            <v>0</v>
          </cell>
          <cell r="AR2112">
            <v>47</v>
          </cell>
          <cell r="BF2112">
            <v>43.7</v>
          </cell>
          <cell r="BG2112">
            <v>43.7</v>
          </cell>
          <cell r="BH2112">
            <v>43.7</v>
          </cell>
          <cell r="BI2112">
            <v>48</v>
          </cell>
          <cell r="BJ2112">
            <v>0</v>
          </cell>
        </row>
        <row r="2113">
          <cell r="D2113" t="str">
            <v>Univerzita Mateja Bela v Banskej Bystrici</v>
          </cell>
          <cell r="E2113" t="str">
            <v>Pedagogická fakulta</v>
          </cell>
          <cell r="AN2113">
            <v>78</v>
          </cell>
          <cell r="AO2113">
            <v>86</v>
          </cell>
          <cell r="AP2113">
            <v>0</v>
          </cell>
          <cell r="AQ2113">
            <v>0</v>
          </cell>
          <cell r="AR2113">
            <v>78</v>
          </cell>
          <cell r="BF2113">
            <v>65.400000000000006</v>
          </cell>
          <cell r="BG2113">
            <v>65.400000000000006</v>
          </cell>
          <cell r="BH2113">
            <v>61.21226158038148</v>
          </cell>
          <cell r="BI2113">
            <v>86</v>
          </cell>
          <cell r="BJ2113">
            <v>0</v>
          </cell>
        </row>
        <row r="2114">
          <cell r="D2114" t="str">
            <v>Univerzita Mateja Bela v Banskej Bystrici</v>
          </cell>
          <cell r="E2114" t="str">
            <v>Pedagogická fakulta</v>
          </cell>
          <cell r="AN2114">
            <v>5</v>
          </cell>
          <cell r="AO2114">
            <v>5</v>
          </cell>
          <cell r="AP2114">
            <v>0</v>
          </cell>
          <cell r="AQ2114">
            <v>0</v>
          </cell>
          <cell r="AR2114">
            <v>5</v>
          </cell>
          <cell r="BF2114">
            <v>4.4000000000000004</v>
          </cell>
          <cell r="BG2114">
            <v>9.4600000000000009</v>
          </cell>
          <cell r="BH2114">
            <v>9.4600000000000009</v>
          </cell>
          <cell r="BI2114">
            <v>5</v>
          </cell>
          <cell r="BJ2114">
            <v>0</v>
          </cell>
        </row>
        <row r="2115">
          <cell r="D2115" t="str">
            <v>Univerzita Mateja Bela v Banskej Bystrici</v>
          </cell>
          <cell r="E2115" t="str">
            <v>Pedagogická fakulta</v>
          </cell>
          <cell r="AN2115">
            <v>5.5</v>
          </cell>
          <cell r="AO2115">
            <v>7.5</v>
          </cell>
          <cell r="AP2115">
            <v>0</v>
          </cell>
          <cell r="AQ2115">
            <v>0</v>
          </cell>
          <cell r="AR2115">
            <v>5.5</v>
          </cell>
          <cell r="BF2115">
            <v>4.75</v>
          </cell>
          <cell r="BG2115">
            <v>5.6524999999999999</v>
          </cell>
          <cell r="BH2115">
            <v>5.6524999999999999</v>
          </cell>
          <cell r="BI2115">
            <v>7.5</v>
          </cell>
          <cell r="BJ2115">
            <v>0</v>
          </cell>
        </row>
        <row r="2116">
          <cell r="D2116" t="str">
            <v>Univerzita Mateja Bela v Banskej Bystrici</v>
          </cell>
          <cell r="E2116" t="str">
            <v>Pedagogická fakulta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2</v>
          </cell>
          <cell r="BJ2116">
            <v>0</v>
          </cell>
        </row>
        <row r="2117">
          <cell r="D2117" t="str">
            <v>Univerzita Mateja Bela v Banskej Bystrici</v>
          </cell>
          <cell r="E2117" t="str">
            <v>Pedagogická fakulta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15</v>
          </cell>
          <cell r="BJ2117">
            <v>0</v>
          </cell>
        </row>
        <row r="2118">
          <cell r="D2118" t="str">
            <v>Univerzita Mateja Bela v Banskej Bystrici</v>
          </cell>
          <cell r="E2118" t="str">
            <v>Pedagogická fakulta</v>
          </cell>
          <cell r="AN2118">
            <v>3</v>
          </cell>
          <cell r="AO2118">
            <v>0</v>
          </cell>
          <cell r="AP2118">
            <v>0</v>
          </cell>
          <cell r="AQ2118">
            <v>0</v>
          </cell>
          <cell r="AR2118">
            <v>3</v>
          </cell>
          <cell r="BF2118">
            <v>12</v>
          </cell>
          <cell r="BG2118">
            <v>13.200000000000001</v>
          </cell>
          <cell r="BH2118">
            <v>13.200000000000001</v>
          </cell>
          <cell r="BI2118">
            <v>3</v>
          </cell>
          <cell r="BJ2118">
            <v>3</v>
          </cell>
        </row>
        <row r="2119">
          <cell r="D2119" t="str">
            <v>Univerzita Mateja Bela v Banskej Bystrici</v>
          </cell>
          <cell r="E2119" t="str">
            <v>Ekonomická fakulta</v>
          </cell>
          <cell r="AN2119">
            <v>1</v>
          </cell>
          <cell r="AO2119">
            <v>0</v>
          </cell>
          <cell r="AP2119">
            <v>0</v>
          </cell>
          <cell r="AQ2119">
            <v>0</v>
          </cell>
          <cell r="AR2119">
            <v>0</v>
          </cell>
          <cell r="BF2119">
            <v>0</v>
          </cell>
          <cell r="BG2119">
            <v>0</v>
          </cell>
          <cell r="BH2119">
            <v>0</v>
          </cell>
          <cell r="BI2119">
            <v>1</v>
          </cell>
          <cell r="BJ2119">
            <v>0</v>
          </cell>
        </row>
        <row r="2120">
          <cell r="D2120" t="str">
            <v>Univerzita Mateja Bela v Banskej Bystrici</v>
          </cell>
          <cell r="E2120" t="str">
            <v>Ekonomická fakulta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BF2120">
            <v>0</v>
          </cell>
          <cell r="BG2120">
            <v>0</v>
          </cell>
          <cell r="BH2120">
            <v>0</v>
          </cell>
          <cell r="BI2120">
            <v>35</v>
          </cell>
          <cell r="BJ2120">
            <v>0</v>
          </cell>
        </row>
        <row r="2121">
          <cell r="D2121" t="str">
            <v>Univerzita Mateja Bela v Banskej Bystrici</v>
          </cell>
          <cell r="E2121" t="str">
            <v>Ekonomická fakulta</v>
          </cell>
          <cell r="AN2121">
            <v>25</v>
          </cell>
          <cell r="AO2121">
            <v>33</v>
          </cell>
          <cell r="AP2121">
            <v>0</v>
          </cell>
          <cell r="AQ2121">
            <v>0</v>
          </cell>
          <cell r="AR2121">
            <v>25</v>
          </cell>
          <cell r="BF2121">
            <v>37.5</v>
          </cell>
          <cell r="BG2121">
            <v>39</v>
          </cell>
          <cell r="BH2121">
            <v>33.428571428571431</v>
          </cell>
          <cell r="BI2121">
            <v>33</v>
          </cell>
          <cell r="BJ2121">
            <v>0</v>
          </cell>
        </row>
        <row r="2122">
          <cell r="D2122" t="str">
            <v>Univerzita Mateja Bela v Banskej Bystrici</v>
          </cell>
          <cell r="E2122" t="str">
            <v>Ekonomická fakulta</v>
          </cell>
          <cell r="AN2122">
            <v>7</v>
          </cell>
          <cell r="AO2122">
            <v>0</v>
          </cell>
          <cell r="AP2122">
            <v>0</v>
          </cell>
          <cell r="AQ2122">
            <v>0</v>
          </cell>
          <cell r="AR2122">
            <v>7</v>
          </cell>
          <cell r="BF2122">
            <v>28</v>
          </cell>
          <cell r="BG2122">
            <v>30.800000000000004</v>
          </cell>
          <cell r="BH2122">
            <v>30.800000000000004</v>
          </cell>
          <cell r="BI2122">
            <v>7</v>
          </cell>
          <cell r="BJ2122">
            <v>7</v>
          </cell>
        </row>
        <row r="2123">
          <cell r="D2123" t="str">
            <v>Univerzita Mateja Bela v Banskej Bystrici</v>
          </cell>
          <cell r="E2123" t="str">
            <v>Ekonomická fakulta</v>
          </cell>
          <cell r="AN2123">
            <v>3</v>
          </cell>
          <cell r="AO2123">
            <v>0</v>
          </cell>
          <cell r="AP2123">
            <v>0</v>
          </cell>
          <cell r="AQ2123">
            <v>0</v>
          </cell>
          <cell r="AR2123">
            <v>3</v>
          </cell>
          <cell r="BF2123">
            <v>12</v>
          </cell>
          <cell r="BG2123">
            <v>13.200000000000001</v>
          </cell>
          <cell r="BH2123">
            <v>8.8000000000000025</v>
          </cell>
          <cell r="BI2123">
            <v>3</v>
          </cell>
          <cell r="BJ2123">
            <v>3</v>
          </cell>
        </row>
        <row r="2124">
          <cell r="D2124" t="str">
            <v>Univerzita Mateja Bela v Banskej Bystrici</v>
          </cell>
          <cell r="E2124" t="str">
            <v>Ekonomická fakulta</v>
          </cell>
          <cell r="AN2124">
            <v>32</v>
          </cell>
          <cell r="AO2124">
            <v>34</v>
          </cell>
          <cell r="AP2124">
            <v>0</v>
          </cell>
          <cell r="AQ2124">
            <v>0</v>
          </cell>
          <cell r="AR2124">
            <v>32</v>
          </cell>
          <cell r="BF2124">
            <v>48</v>
          </cell>
          <cell r="BG2124">
            <v>49.92</v>
          </cell>
          <cell r="BH2124">
            <v>47.423999999999999</v>
          </cell>
          <cell r="BI2124">
            <v>34</v>
          </cell>
          <cell r="BJ2124">
            <v>0</v>
          </cell>
        </row>
        <row r="2125">
          <cell r="D2125" t="str">
            <v>Univerzita Mateja Bela v Banskej Bystrici</v>
          </cell>
          <cell r="E2125" t="str">
            <v>Ekonomická fakulta</v>
          </cell>
          <cell r="AN2125">
            <v>25</v>
          </cell>
          <cell r="AO2125">
            <v>28</v>
          </cell>
          <cell r="AP2125">
            <v>0</v>
          </cell>
          <cell r="AQ2125">
            <v>0</v>
          </cell>
          <cell r="AR2125">
            <v>25</v>
          </cell>
          <cell r="BF2125">
            <v>37.5</v>
          </cell>
          <cell r="BG2125">
            <v>39</v>
          </cell>
          <cell r="BH2125">
            <v>30.333333333333332</v>
          </cell>
          <cell r="BI2125">
            <v>28</v>
          </cell>
          <cell r="BJ2125">
            <v>0</v>
          </cell>
        </row>
        <row r="2126">
          <cell r="D2126" t="str">
            <v>Univerzita Mateja Bela v Banskej Bystrici</v>
          </cell>
          <cell r="E2126" t="str">
            <v>Ekonomická fakulta</v>
          </cell>
          <cell r="AN2126">
            <v>2</v>
          </cell>
          <cell r="AO2126">
            <v>30</v>
          </cell>
          <cell r="AP2126">
            <v>0</v>
          </cell>
          <cell r="AQ2126">
            <v>0</v>
          </cell>
          <cell r="AR2126">
            <v>2</v>
          </cell>
          <cell r="BF2126">
            <v>3</v>
          </cell>
          <cell r="BG2126">
            <v>3.12</v>
          </cell>
          <cell r="BH2126">
            <v>2.8800000000000003</v>
          </cell>
          <cell r="BI2126">
            <v>30</v>
          </cell>
          <cell r="BJ2126">
            <v>0</v>
          </cell>
        </row>
        <row r="2127">
          <cell r="D2127" t="str">
            <v>Univerzita Mateja Bela v Banskej Bystrici</v>
          </cell>
          <cell r="E2127" t="str">
            <v>Ekonomická fakulta</v>
          </cell>
          <cell r="AN2127">
            <v>1</v>
          </cell>
          <cell r="AO2127">
            <v>10</v>
          </cell>
          <cell r="AP2127">
            <v>0</v>
          </cell>
          <cell r="AQ2127">
            <v>0</v>
          </cell>
          <cell r="AR2127">
            <v>1</v>
          </cell>
          <cell r="BF2127">
            <v>1.5</v>
          </cell>
          <cell r="BG2127">
            <v>1.56</v>
          </cell>
          <cell r="BH2127">
            <v>1.56</v>
          </cell>
          <cell r="BI2127">
            <v>10</v>
          </cell>
          <cell r="BJ2127">
            <v>0</v>
          </cell>
        </row>
        <row r="2128">
          <cell r="D2128" t="str">
            <v>Univerzita Mateja Bela v Banskej Bystrici</v>
          </cell>
          <cell r="E2128" t="str">
            <v>Ekonomická fakulta</v>
          </cell>
          <cell r="AN2128">
            <v>0</v>
          </cell>
          <cell r="AO2128">
            <v>48</v>
          </cell>
          <cell r="AP2128">
            <v>0</v>
          </cell>
          <cell r="AQ2128">
            <v>0</v>
          </cell>
          <cell r="AR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48</v>
          </cell>
          <cell r="BJ2128">
            <v>0</v>
          </cell>
        </row>
        <row r="2129">
          <cell r="D2129" t="str">
            <v>Univerzita Mateja Bela v Banskej Bystrici</v>
          </cell>
          <cell r="E2129" t="str">
            <v>Ekonomická fakulta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BF2129">
            <v>0</v>
          </cell>
          <cell r="BG2129">
            <v>0</v>
          </cell>
          <cell r="BH2129">
            <v>0</v>
          </cell>
          <cell r="BI2129">
            <v>53</v>
          </cell>
          <cell r="BJ2129">
            <v>0</v>
          </cell>
        </row>
        <row r="2130">
          <cell r="D2130" t="str">
            <v>Univerzita Mateja Bela v Banskej Bystrici</v>
          </cell>
          <cell r="E2130" t="str">
            <v>Ekonomická fakulta</v>
          </cell>
          <cell r="AN2130">
            <v>43</v>
          </cell>
          <cell r="AO2130">
            <v>46</v>
          </cell>
          <cell r="AP2130">
            <v>0</v>
          </cell>
          <cell r="AQ2130">
            <v>0</v>
          </cell>
          <cell r="AR2130">
            <v>43</v>
          </cell>
          <cell r="BF2130">
            <v>36.700000000000003</v>
          </cell>
          <cell r="BG2130">
            <v>38.168000000000006</v>
          </cell>
          <cell r="BH2130">
            <v>38.168000000000006</v>
          </cell>
          <cell r="BI2130">
            <v>46</v>
          </cell>
          <cell r="BJ2130">
            <v>0</v>
          </cell>
        </row>
        <row r="2131">
          <cell r="D2131" t="str">
            <v>Univerzita Mateja Bela v Banskej Bystrici</v>
          </cell>
          <cell r="E2131" t="str">
            <v>Ekonomická fakulta</v>
          </cell>
          <cell r="AN2131">
            <v>27</v>
          </cell>
          <cell r="AO2131">
            <v>30</v>
          </cell>
          <cell r="AP2131">
            <v>0</v>
          </cell>
          <cell r="AQ2131">
            <v>0</v>
          </cell>
          <cell r="AR2131">
            <v>27</v>
          </cell>
          <cell r="BF2131">
            <v>40.5</v>
          </cell>
          <cell r="BG2131">
            <v>42.120000000000005</v>
          </cell>
          <cell r="BH2131">
            <v>29.484000000000002</v>
          </cell>
          <cell r="BI2131">
            <v>30</v>
          </cell>
          <cell r="BJ2131">
            <v>0</v>
          </cell>
        </row>
        <row r="2132">
          <cell r="D2132" t="str">
            <v>Vysoká škola výtvarných umení v Bratislave</v>
          </cell>
          <cell r="E2132">
            <v>0</v>
          </cell>
          <cell r="AN2132">
            <v>2</v>
          </cell>
          <cell r="AO2132">
            <v>0</v>
          </cell>
          <cell r="AP2132">
            <v>0</v>
          </cell>
          <cell r="AQ2132">
            <v>0</v>
          </cell>
          <cell r="AR2132">
            <v>2</v>
          </cell>
          <cell r="BF2132">
            <v>8</v>
          </cell>
          <cell r="BG2132">
            <v>8.8000000000000007</v>
          </cell>
          <cell r="BH2132">
            <v>8.8000000000000007</v>
          </cell>
          <cell r="BI2132">
            <v>2</v>
          </cell>
          <cell r="BJ2132">
            <v>2</v>
          </cell>
        </row>
        <row r="2133">
          <cell r="D2133" t="str">
            <v>Vysoká škola výtvarných umení v Bratislave</v>
          </cell>
          <cell r="E2133">
            <v>0</v>
          </cell>
          <cell r="AN2133">
            <v>12</v>
          </cell>
          <cell r="AO2133">
            <v>13</v>
          </cell>
          <cell r="AP2133">
            <v>0</v>
          </cell>
          <cell r="AQ2133">
            <v>0</v>
          </cell>
          <cell r="AR2133">
            <v>12</v>
          </cell>
          <cell r="BF2133">
            <v>18</v>
          </cell>
          <cell r="BG2133">
            <v>58.14</v>
          </cell>
          <cell r="BH2133">
            <v>40.25076923076923</v>
          </cell>
          <cell r="BI2133">
            <v>13</v>
          </cell>
          <cell r="BJ2133">
            <v>0</v>
          </cell>
        </row>
        <row r="2134">
          <cell r="D2134" t="str">
            <v>Vysoká škola výtvarných umení v Bratislave</v>
          </cell>
          <cell r="E2134">
            <v>0</v>
          </cell>
          <cell r="AN2134">
            <v>24</v>
          </cell>
          <cell r="AO2134">
            <v>27</v>
          </cell>
          <cell r="AP2134">
            <v>0</v>
          </cell>
          <cell r="AQ2134">
            <v>0</v>
          </cell>
          <cell r="AR2134">
            <v>24</v>
          </cell>
          <cell r="BF2134">
            <v>36</v>
          </cell>
          <cell r="BG2134">
            <v>116.28</v>
          </cell>
          <cell r="BH2134">
            <v>116.28</v>
          </cell>
          <cell r="BI2134">
            <v>27</v>
          </cell>
          <cell r="BJ2134">
            <v>0</v>
          </cell>
        </row>
        <row r="2135">
          <cell r="D2135" t="str">
            <v>Vysoká škola výtvarných umení v Bratislave</v>
          </cell>
          <cell r="E2135">
            <v>0</v>
          </cell>
          <cell r="AN2135">
            <v>7</v>
          </cell>
          <cell r="AO2135">
            <v>10</v>
          </cell>
          <cell r="AP2135">
            <v>0</v>
          </cell>
          <cell r="AQ2135">
            <v>0</v>
          </cell>
          <cell r="AR2135">
            <v>7</v>
          </cell>
          <cell r="BF2135">
            <v>10.5</v>
          </cell>
          <cell r="BG2135">
            <v>33.914999999999999</v>
          </cell>
          <cell r="BH2135">
            <v>22.610000000000003</v>
          </cell>
          <cell r="BI2135">
            <v>10</v>
          </cell>
          <cell r="BJ2135">
            <v>0</v>
          </cell>
        </row>
        <row r="2136">
          <cell r="D2136" t="str">
            <v>Vysoká škola výtvarných umení v Bratislave</v>
          </cell>
          <cell r="E2136">
            <v>0</v>
          </cell>
          <cell r="AN2136">
            <v>13</v>
          </cell>
          <cell r="AO2136">
            <v>13</v>
          </cell>
          <cell r="AP2136">
            <v>0</v>
          </cell>
          <cell r="AQ2136">
            <v>0</v>
          </cell>
          <cell r="AR2136">
            <v>13</v>
          </cell>
          <cell r="BF2136">
            <v>19.5</v>
          </cell>
          <cell r="BG2136">
            <v>62.984999999999999</v>
          </cell>
          <cell r="BH2136">
            <v>52.487500000000004</v>
          </cell>
          <cell r="BI2136">
            <v>13</v>
          </cell>
          <cell r="BJ2136">
            <v>0</v>
          </cell>
        </row>
        <row r="2137">
          <cell r="D2137" t="str">
            <v>Vysoká škola výtvarných umení v Bratislave</v>
          </cell>
          <cell r="E2137">
            <v>0</v>
          </cell>
          <cell r="AN2137">
            <v>17</v>
          </cell>
          <cell r="AO2137">
            <v>19</v>
          </cell>
          <cell r="AP2137">
            <v>0</v>
          </cell>
          <cell r="AQ2137">
            <v>0</v>
          </cell>
          <cell r="AR2137">
            <v>17</v>
          </cell>
          <cell r="BF2137">
            <v>25.5</v>
          </cell>
          <cell r="BG2137">
            <v>82.364999999999995</v>
          </cell>
          <cell r="BH2137">
            <v>41.182499999999997</v>
          </cell>
          <cell r="BI2137">
            <v>19</v>
          </cell>
          <cell r="BJ2137">
            <v>0</v>
          </cell>
        </row>
        <row r="2138">
          <cell r="D2138" t="str">
            <v>Vysoká škola výtvarných umení v Bratislave</v>
          </cell>
          <cell r="E2138">
            <v>0</v>
          </cell>
          <cell r="AN2138">
            <v>25</v>
          </cell>
          <cell r="AO2138">
            <v>27</v>
          </cell>
          <cell r="AP2138">
            <v>0</v>
          </cell>
          <cell r="AQ2138">
            <v>0</v>
          </cell>
          <cell r="AR2138">
            <v>25</v>
          </cell>
          <cell r="BF2138">
            <v>37.5</v>
          </cell>
          <cell r="BG2138">
            <v>121.125</v>
          </cell>
          <cell r="BH2138">
            <v>121.125</v>
          </cell>
          <cell r="BI2138">
            <v>27</v>
          </cell>
          <cell r="BJ2138">
            <v>0</v>
          </cell>
        </row>
        <row r="2139">
          <cell r="D2139" t="str">
            <v>Vysoká škola výtvarných umení v Bratislave</v>
          </cell>
          <cell r="E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BF2139">
            <v>0</v>
          </cell>
          <cell r="BG2139">
            <v>0</v>
          </cell>
          <cell r="BH2139">
            <v>0</v>
          </cell>
          <cell r="BI2139">
            <v>3</v>
          </cell>
          <cell r="BJ2139">
            <v>0</v>
          </cell>
        </row>
        <row r="2140">
          <cell r="D2140" t="str">
            <v>Vysoká škola výtvarných umení v Bratislave</v>
          </cell>
          <cell r="E2140">
            <v>0</v>
          </cell>
          <cell r="AN2140">
            <v>3</v>
          </cell>
          <cell r="AO2140">
            <v>0</v>
          </cell>
          <cell r="AP2140">
            <v>0</v>
          </cell>
          <cell r="AQ2140">
            <v>0</v>
          </cell>
          <cell r="AR2140">
            <v>3</v>
          </cell>
          <cell r="BF2140">
            <v>12</v>
          </cell>
          <cell r="BG2140">
            <v>13.200000000000001</v>
          </cell>
          <cell r="BH2140">
            <v>13.200000000000001</v>
          </cell>
          <cell r="BI2140">
            <v>3</v>
          </cell>
          <cell r="BJ2140">
            <v>3</v>
          </cell>
        </row>
        <row r="2141">
          <cell r="D2141" t="str">
            <v>Akadémia ozbrojených síl generála Milana Rastislava Štefánika</v>
          </cell>
          <cell r="E2141">
            <v>0</v>
          </cell>
          <cell r="AN2141">
            <v>2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2</v>
          </cell>
          <cell r="BJ2141">
            <v>0</v>
          </cell>
        </row>
        <row r="2142">
          <cell r="D2142" t="str">
            <v>Katolícka univerzita v Ružomberku</v>
          </cell>
          <cell r="E2142" t="str">
            <v>Teologická fakulta v Košiciach</v>
          </cell>
          <cell r="AN2142">
            <v>0</v>
          </cell>
          <cell r="AO2142">
            <v>2</v>
          </cell>
          <cell r="AP2142">
            <v>0</v>
          </cell>
          <cell r="AQ2142">
            <v>0</v>
          </cell>
          <cell r="AR2142">
            <v>0</v>
          </cell>
          <cell r="BF2142">
            <v>0</v>
          </cell>
          <cell r="BG2142">
            <v>0</v>
          </cell>
          <cell r="BH2142">
            <v>0</v>
          </cell>
          <cell r="BI2142">
            <v>2</v>
          </cell>
          <cell r="BJ2142">
            <v>0</v>
          </cell>
        </row>
        <row r="2143">
          <cell r="D2143" t="str">
            <v>Katolícka univerzita v Ružomberku</v>
          </cell>
          <cell r="E2143" t="str">
            <v>Teologická fakulta v Košiciach</v>
          </cell>
          <cell r="AN2143">
            <v>2</v>
          </cell>
          <cell r="AO2143">
            <v>3</v>
          </cell>
          <cell r="AP2143">
            <v>0</v>
          </cell>
          <cell r="AQ2143">
            <v>0</v>
          </cell>
          <cell r="AR2143">
            <v>2</v>
          </cell>
          <cell r="BF2143">
            <v>3</v>
          </cell>
          <cell r="BG2143">
            <v>3</v>
          </cell>
          <cell r="BH2143">
            <v>3</v>
          </cell>
          <cell r="BI2143">
            <v>3</v>
          </cell>
          <cell r="BJ2143">
            <v>0</v>
          </cell>
        </row>
        <row r="2144">
          <cell r="D2144" t="str">
            <v>Katolícka univerzita v Ružomberku</v>
          </cell>
          <cell r="E2144" t="str">
            <v>Teologická fakulta v Košiciach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BF2144">
            <v>0</v>
          </cell>
          <cell r="BG2144">
            <v>0</v>
          </cell>
          <cell r="BH2144">
            <v>0</v>
          </cell>
          <cell r="BI2144">
            <v>2</v>
          </cell>
          <cell r="BJ2144">
            <v>0</v>
          </cell>
        </row>
        <row r="2145">
          <cell r="D2145" t="str">
            <v>Katolícka univerzita v Ružomberku</v>
          </cell>
          <cell r="E2145" t="str">
            <v>Teologická fakulta v Košiciach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BF2145">
            <v>0</v>
          </cell>
          <cell r="BG2145">
            <v>0</v>
          </cell>
          <cell r="BH2145">
            <v>0</v>
          </cell>
          <cell r="BI2145">
            <v>18</v>
          </cell>
          <cell r="BJ2145">
            <v>0</v>
          </cell>
        </row>
        <row r="2146">
          <cell r="D2146" t="str">
            <v>Katolícka univerzita v Ružomberku</v>
          </cell>
          <cell r="E2146" t="str">
            <v>Teologická fakulta v Košiciach</v>
          </cell>
          <cell r="AN2146">
            <v>26</v>
          </cell>
          <cell r="AO2146">
            <v>27</v>
          </cell>
          <cell r="AP2146">
            <v>0</v>
          </cell>
          <cell r="AQ2146">
            <v>0</v>
          </cell>
          <cell r="AR2146">
            <v>26</v>
          </cell>
          <cell r="BF2146">
            <v>23</v>
          </cell>
          <cell r="BG2146">
            <v>23</v>
          </cell>
          <cell r="BH2146">
            <v>23</v>
          </cell>
          <cell r="BI2146">
            <v>27</v>
          </cell>
          <cell r="BJ2146">
            <v>0</v>
          </cell>
        </row>
        <row r="2147">
          <cell r="D2147" t="str">
            <v>Katolícka univerzita v Ružomberku</v>
          </cell>
          <cell r="E2147" t="str">
            <v>Teologická fakulta v Košiciach</v>
          </cell>
          <cell r="AN2147">
            <v>1.5</v>
          </cell>
          <cell r="AO2147">
            <v>1.5</v>
          </cell>
          <cell r="AP2147">
            <v>0</v>
          </cell>
          <cell r="AQ2147">
            <v>0</v>
          </cell>
          <cell r="AR2147">
            <v>1.5</v>
          </cell>
          <cell r="BF2147">
            <v>1.35</v>
          </cell>
          <cell r="BG2147">
            <v>1.4715000000000003</v>
          </cell>
          <cell r="BH2147">
            <v>1.385195014662757</v>
          </cell>
          <cell r="BI2147">
            <v>1.5</v>
          </cell>
          <cell r="BJ2147">
            <v>0</v>
          </cell>
        </row>
        <row r="2148">
          <cell r="D2148" t="str">
            <v>Univerzita Mateja Bela v Banskej Bystrici</v>
          </cell>
          <cell r="E2148" t="str">
            <v>Filozofická fakulta</v>
          </cell>
          <cell r="AN2148">
            <v>20</v>
          </cell>
          <cell r="AO2148">
            <v>24</v>
          </cell>
          <cell r="AP2148">
            <v>0</v>
          </cell>
          <cell r="AQ2148">
            <v>0</v>
          </cell>
          <cell r="AR2148">
            <v>20</v>
          </cell>
          <cell r="BF2148">
            <v>18.5</v>
          </cell>
          <cell r="BG2148">
            <v>27.75</v>
          </cell>
          <cell r="BH2148">
            <v>27.75</v>
          </cell>
          <cell r="BI2148">
            <v>24</v>
          </cell>
          <cell r="BJ2148">
            <v>0</v>
          </cell>
        </row>
        <row r="2149">
          <cell r="D2149" t="str">
            <v>Univerzita Mateja Bela v Banskej Bystrici</v>
          </cell>
          <cell r="E2149" t="str">
            <v>Filozofická fakulta</v>
          </cell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BF2149">
            <v>0</v>
          </cell>
          <cell r="BG2149">
            <v>0</v>
          </cell>
          <cell r="BH2149">
            <v>0</v>
          </cell>
          <cell r="BI2149">
            <v>4</v>
          </cell>
          <cell r="BJ2149">
            <v>0</v>
          </cell>
        </row>
        <row r="2150">
          <cell r="D2150" t="str">
            <v>Univerzita Mateja Bela v Banskej Bystrici</v>
          </cell>
          <cell r="E2150" t="str">
            <v>Filozofická fakulta</v>
          </cell>
          <cell r="AN2150">
            <v>1</v>
          </cell>
          <cell r="AO2150">
            <v>0</v>
          </cell>
          <cell r="AP2150">
            <v>0</v>
          </cell>
          <cell r="AQ2150">
            <v>0</v>
          </cell>
          <cell r="AR2150">
            <v>1</v>
          </cell>
          <cell r="BF2150">
            <v>4</v>
          </cell>
          <cell r="BG2150">
            <v>4.4000000000000004</v>
          </cell>
          <cell r="BH2150">
            <v>4.4000000000000004</v>
          </cell>
          <cell r="BI2150">
            <v>1</v>
          </cell>
          <cell r="BJ2150">
            <v>1</v>
          </cell>
        </row>
        <row r="2151">
          <cell r="D2151" t="str">
            <v>Univerzita Mateja Bela v Banskej Bystrici</v>
          </cell>
          <cell r="E2151" t="str">
            <v>Filozofická fakulta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BF2151">
            <v>0</v>
          </cell>
          <cell r="BG2151">
            <v>0</v>
          </cell>
          <cell r="BH2151">
            <v>0</v>
          </cell>
          <cell r="BI2151">
            <v>4</v>
          </cell>
          <cell r="BJ2151">
            <v>0</v>
          </cell>
        </row>
        <row r="2152">
          <cell r="D2152" t="str">
            <v>Univerzita Mateja Bela v Banskej Bystrici</v>
          </cell>
          <cell r="E2152" t="str">
            <v>Filozofická fakulta</v>
          </cell>
          <cell r="AN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BF2152">
            <v>0</v>
          </cell>
          <cell r="BG2152">
            <v>0</v>
          </cell>
          <cell r="BH2152">
            <v>0</v>
          </cell>
          <cell r="BI2152">
            <v>2</v>
          </cell>
          <cell r="BJ2152">
            <v>0</v>
          </cell>
        </row>
        <row r="2153">
          <cell r="D2153" t="str">
            <v>Univerzita Mateja Bela v Banskej Bystrici</v>
          </cell>
          <cell r="E2153" t="str">
            <v>Filozofická fakulta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BF2153">
            <v>0</v>
          </cell>
          <cell r="BG2153">
            <v>0</v>
          </cell>
          <cell r="BH2153">
            <v>0</v>
          </cell>
          <cell r="BI2153">
            <v>16</v>
          </cell>
          <cell r="BJ2153">
            <v>0</v>
          </cell>
        </row>
        <row r="2154">
          <cell r="D2154" t="str">
            <v>Univerzita Mateja Bela v Banskej Bystrici</v>
          </cell>
          <cell r="E2154" t="str">
            <v>Filozofická fakulta</v>
          </cell>
          <cell r="AN2154">
            <v>2</v>
          </cell>
          <cell r="AO2154">
            <v>0</v>
          </cell>
          <cell r="AP2154">
            <v>0</v>
          </cell>
          <cell r="AQ2154">
            <v>0</v>
          </cell>
          <cell r="AR2154">
            <v>2</v>
          </cell>
          <cell r="BF2154">
            <v>8</v>
          </cell>
          <cell r="BG2154">
            <v>8.8000000000000007</v>
          </cell>
          <cell r="BH2154">
            <v>8.8000000000000007</v>
          </cell>
          <cell r="BI2154">
            <v>2</v>
          </cell>
          <cell r="BJ2154">
            <v>2</v>
          </cell>
        </row>
        <row r="2155">
          <cell r="D2155" t="str">
            <v>Univerzita Mateja Bela v Banskej Bystrici</v>
          </cell>
          <cell r="E2155" t="str">
            <v>Filozofická fakulta</v>
          </cell>
          <cell r="AN2155">
            <v>3</v>
          </cell>
          <cell r="AO2155">
            <v>5</v>
          </cell>
          <cell r="AP2155">
            <v>0</v>
          </cell>
          <cell r="AQ2155">
            <v>0</v>
          </cell>
          <cell r="AR2155">
            <v>3</v>
          </cell>
          <cell r="BF2155">
            <v>4.5</v>
          </cell>
          <cell r="BG2155">
            <v>4.5</v>
          </cell>
          <cell r="BH2155">
            <v>2.25</v>
          </cell>
          <cell r="BI2155">
            <v>5</v>
          </cell>
          <cell r="BJ2155">
            <v>0</v>
          </cell>
        </row>
        <row r="2156">
          <cell r="D2156" t="str">
            <v>Univerzita Mateja Bela v Banskej Bystrici</v>
          </cell>
          <cell r="E2156" t="str">
            <v>Filozofická fakulta</v>
          </cell>
          <cell r="AN2156">
            <v>3</v>
          </cell>
          <cell r="AO2156">
            <v>0</v>
          </cell>
          <cell r="AP2156">
            <v>0</v>
          </cell>
          <cell r="AQ2156">
            <v>0</v>
          </cell>
          <cell r="AR2156">
            <v>3</v>
          </cell>
          <cell r="BF2156">
            <v>12</v>
          </cell>
          <cell r="BG2156">
            <v>13.200000000000001</v>
          </cell>
          <cell r="BH2156">
            <v>13.200000000000001</v>
          </cell>
          <cell r="BI2156">
            <v>3</v>
          </cell>
          <cell r="BJ2156">
            <v>3</v>
          </cell>
        </row>
        <row r="2157">
          <cell r="D2157" t="str">
            <v>Univerzita Mateja Bela v Banskej Bystrici</v>
          </cell>
          <cell r="E2157" t="str">
            <v>Filozofická fakulta</v>
          </cell>
          <cell r="AN2157">
            <v>10</v>
          </cell>
          <cell r="AO2157">
            <v>11</v>
          </cell>
          <cell r="AP2157">
            <v>0</v>
          </cell>
          <cell r="AQ2157">
            <v>0</v>
          </cell>
          <cell r="AR2157">
            <v>10</v>
          </cell>
          <cell r="BF2157">
            <v>8.8000000000000007</v>
          </cell>
          <cell r="BG2157">
            <v>9.5920000000000023</v>
          </cell>
          <cell r="BH2157">
            <v>9.5920000000000023</v>
          </cell>
          <cell r="BI2157">
            <v>11</v>
          </cell>
          <cell r="BJ2157">
            <v>0</v>
          </cell>
        </row>
        <row r="2158">
          <cell r="D2158" t="str">
            <v>Univerzita Mateja Bela v Banskej Bystrici</v>
          </cell>
          <cell r="E2158" t="str">
            <v>Filozofická fakulta</v>
          </cell>
          <cell r="AN2158">
            <v>10</v>
          </cell>
          <cell r="AO2158">
            <v>11</v>
          </cell>
          <cell r="AP2158">
            <v>0</v>
          </cell>
          <cell r="AQ2158">
            <v>0</v>
          </cell>
          <cell r="AR2158">
            <v>10</v>
          </cell>
          <cell r="BF2158">
            <v>15</v>
          </cell>
          <cell r="BG2158">
            <v>19.05</v>
          </cell>
          <cell r="BH2158">
            <v>16.668749999999999</v>
          </cell>
          <cell r="BI2158">
            <v>11</v>
          </cell>
          <cell r="BJ2158">
            <v>0</v>
          </cell>
        </row>
        <row r="2159">
          <cell r="D2159" t="str">
            <v>Univerzita Mateja Bela v Banskej Bystrici</v>
          </cell>
          <cell r="E2159" t="str">
            <v>Filozofická fakulta</v>
          </cell>
          <cell r="AN2159">
            <v>21.5</v>
          </cell>
          <cell r="AO2159">
            <v>22</v>
          </cell>
          <cell r="AP2159">
            <v>0</v>
          </cell>
          <cell r="AQ2159">
            <v>0</v>
          </cell>
          <cell r="AR2159">
            <v>21.5</v>
          </cell>
          <cell r="BF2159">
            <v>32.25</v>
          </cell>
          <cell r="BG2159">
            <v>38.377499999999998</v>
          </cell>
          <cell r="BH2159">
            <v>35.307299999999998</v>
          </cell>
          <cell r="BI2159">
            <v>22</v>
          </cell>
          <cell r="BJ2159">
            <v>0</v>
          </cell>
        </row>
        <row r="2160">
          <cell r="D2160" t="str">
            <v>Univerzita Mateja Bela v Banskej Bystrici</v>
          </cell>
          <cell r="E2160" t="str">
            <v>Filozofická fakulta</v>
          </cell>
          <cell r="AN2160">
            <v>28</v>
          </cell>
          <cell r="AO2160">
            <v>31</v>
          </cell>
          <cell r="AP2160">
            <v>0</v>
          </cell>
          <cell r="AQ2160">
            <v>0</v>
          </cell>
          <cell r="AR2160">
            <v>28</v>
          </cell>
          <cell r="BF2160">
            <v>42</v>
          </cell>
          <cell r="BG2160">
            <v>49.98</v>
          </cell>
          <cell r="BH2160">
            <v>37.484999999999999</v>
          </cell>
          <cell r="BI2160">
            <v>31</v>
          </cell>
          <cell r="BJ2160">
            <v>0</v>
          </cell>
        </row>
        <row r="2161">
          <cell r="D2161" t="str">
            <v>Univerzita Mateja Bela v Banskej Bystrici</v>
          </cell>
          <cell r="E2161" t="str">
            <v>Filozofická fakulta</v>
          </cell>
          <cell r="AN2161">
            <v>26.5</v>
          </cell>
          <cell r="AO2161">
            <v>26.5</v>
          </cell>
          <cell r="AP2161">
            <v>0</v>
          </cell>
          <cell r="AQ2161">
            <v>0</v>
          </cell>
          <cell r="AR2161">
            <v>26.5</v>
          </cell>
          <cell r="BF2161">
            <v>39.75</v>
          </cell>
          <cell r="BG2161">
            <v>43.327500000000001</v>
          </cell>
          <cell r="BH2161">
            <v>39.100426829268294</v>
          </cell>
          <cell r="BI2161">
            <v>26.5</v>
          </cell>
          <cell r="BJ2161">
            <v>0</v>
          </cell>
        </row>
        <row r="2162">
          <cell r="D2162" t="str">
            <v>Univerzita Mateja Bela v Banskej Bystrici</v>
          </cell>
          <cell r="E2162" t="str">
            <v>Pedagogická fakulta</v>
          </cell>
          <cell r="AN2162">
            <v>6.5</v>
          </cell>
          <cell r="AO2162">
            <v>6.5</v>
          </cell>
          <cell r="AP2162">
            <v>0</v>
          </cell>
          <cell r="AQ2162">
            <v>0</v>
          </cell>
          <cell r="AR2162">
            <v>6.5</v>
          </cell>
          <cell r="BF2162">
            <v>9.75</v>
          </cell>
          <cell r="BG2162">
            <v>20.962499999999999</v>
          </cell>
          <cell r="BH2162">
            <v>20.962499999999999</v>
          </cell>
          <cell r="BI2162">
            <v>6.5</v>
          </cell>
          <cell r="BJ2162">
            <v>0</v>
          </cell>
        </row>
        <row r="2163">
          <cell r="D2163" t="str">
            <v>Univerzita Mateja Bela v Banskej Bystrici</v>
          </cell>
          <cell r="E2163" t="str">
            <v>Filozofická fakulta</v>
          </cell>
          <cell r="AN2163">
            <v>39</v>
          </cell>
          <cell r="AO2163">
            <v>42</v>
          </cell>
          <cell r="AP2163">
            <v>0</v>
          </cell>
          <cell r="AQ2163">
            <v>0</v>
          </cell>
          <cell r="AR2163">
            <v>39</v>
          </cell>
          <cell r="BF2163">
            <v>58.5</v>
          </cell>
          <cell r="BG2163">
            <v>69.614999999999995</v>
          </cell>
          <cell r="BH2163">
            <v>59.172749999999994</v>
          </cell>
          <cell r="BI2163">
            <v>42</v>
          </cell>
          <cell r="BJ2163">
            <v>0</v>
          </cell>
        </row>
        <row r="2164">
          <cell r="D2164" t="str">
            <v>Univerzita Mateja Bela v Banskej Bystrici</v>
          </cell>
          <cell r="E2164" t="str">
            <v>Filozofická fakulta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BF2164">
            <v>0</v>
          </cell>
          <cell r="BG2164">
            <v>0</v>
          </cell>
          <cell r="BH2164">
            <v>0</v>
          </cell>
          <cell r="BI2164">
            <v>18</v>
          </cell>
          <cell r="BJ2164">
            <v>0</v>
          </cell>
        </row>
        <row r="2165">
          <cell r="D2165" t="str">
            <v>Univerzita Mateja Bela v Banskej Bystrici</v>
          </cell>
          <cell r="E2165" t="str">
            <v>Filozofická fakulta</v>
          </cell>
          <cell r="AN2165">
            <v>34.5</v>
          </cell>
          <cell r="AO2165">
            <v>34.5</v>
          </cell>
          <cell r="AP2165">
            <v>0</v>
          </cell>
          <cell r="AQ2165">
            <v>0</v>
          </cell>
          <cell r="AR2165">
            <v>34.5</v>
          </cell>
          <cell r="BF2165">
            <v>51.75</v>
          </cell>
          <cell r="BG2165">
            <v>77.625</v>
          </cell>
          <cell r="BH2165">
            <v>71.803125000000009</v>
          </cell>
          <cell r="BI2165">
            <v>34.5</v>
          </cell>
          <cell r="BJ2165">
            <v>0</v>
          </cell>
        </row>
        <row r="2166">
          <cell r="D2166" t="str">
            <v>Univerzita Mateja Bela v Banskej Bystrici</v>
          </cell>
          <cell r="E2166" t="str">
            <v>Filozofická fakulta</v>
          </cell>
          <cell r="AN2166">
            <v>8.5</v>
          </cell>
          <cell r="AO2166">
            <v>8.5</v>
          </cell>
          <cell r="AP2166">
            <v>0</v>
          </cell>
          <cell r="AQ2166">
            <v>0</v>
          </cell>
          <cell r="AR2166">
            <v>8.5</v>
          </cell>
          <cell r="BF2166">
            <v>12.75</v>
          </cell>
          <cell r="BG2166">
            <v>19.125</v>
          </cell>
          <cell r="BH2166">
            <v>15.3</v>
          </cell>
          <cell r="BI2166">
            <v>8.5</v>
          </cell>
          <cell r="BJ2166">
            <v>0</v>
          </cell>
        </row>
        <row r="2167">
          <cell r="D2167" t="str">
            <v>Univerzita Mateja Bela v Banskej Bystrici</v>
          </cell>
          <cell r="E2167" t="str">
            <v>Filozofická fakulta</v>
          </cell>
          <cell r="AN2167">
            <v>2</v>
          </cell>
          <cell r="AO2167">
            <v>2.5</v>
          </cell>
          <cell r="AP2167">
            <v>0</v>
          </cell>
          <cell r="AQ2167">
            <v>0</v>
          </cell>
          <cell r="AR2167">
            <v>2</v>
          </cell>
          <cell r="BF2167">
            <v>3</v>
          </cell>
          <cell r="BG2167">
            <v>3.2700000000000005</v>
          </cell>
          <cell r="BH2167">
            <v>3.2700000000000005</v>
          </cell>
          <cell r="BI2167">
            <v>2.5</v>
          </cell>
          <cell r="BJ2167">
            <v>0</v>
          </cell>
        </row>
        <row r="2168">
          <cell r="D2168" t="str">
            <v>Univerzita Mateja Bela v Banskej Bystrici</v>
          </cell>
          <cell r="E2168" t="str">
            <v>Filozofická fakulta</v>
          </cell>
          <cell r="AN2168">
            <v>6</v>
          </cell>
          <cell r="AO2168">
            <v>8</v>
          </cell>
          <cell r="AP2168">
            <v>0</v>
          </cell>
          <cell r="AQ2168">
            <v>0</v>
          </cell>
          <cell r="AR2168">
            <v>6</v>
          </cell>
          <cell r="BF2168">
            <v>9</v>
          </cell>
          <cell r="BG2168">
            <v>9.36</v>
          </cell>
          <cell r="BH2168">
            <v>6.24</v>
          </cell>
          <cell r="BI2168">
            <v>8</v>
          </cell>
          <cell r="BJ2168">
            <v>0</v>
          </cell>
        </row>
        <row r="2169">
          <cell r="D2169" t="str">
            <v>Univerzita Mateja Bela v Banskej Bystrici</v>
          </cell>
          <cell r="E2169" t="str">
            <v>Filozofická fakulta</v>
          </cell>
          <cell r="AN2169">
            <v>1</v>
          </cell>
          <cell r="AO2169">
            <v>0</v>
          </cell>
          <cell r="AP2169">
            <v>0</v>
          </cell>
          <cell r="AQ2169">
            <v>0</v>
          </cell>
          <cell r="AR2169">
            <v>1</v>
          </cell>
          <cell r="BF2169">
            <v>4</v>
          </cell>
          <cell r="BG2169">
            <v>4.4000000000000004</v>
          </cell>
          <cell r="BH2169">
            <v>4.4000000000000004</v>
          </cell>
          <cell r="BI2169">
            <v>1</v>
          </cell>
          <cell r="BJ2169">
            <v>1</v>
          </cell>
        </row>
        <row r="2170">
          <cell r="D2170" t="str">
            <v>Univerzita Mateja Bela v Banskej Bystrici</v>
          </cell>
          <cell r="E2170" t="str">
            <v>Filozofická fakulta</v>
          </cell>
          <cell r="AN2170">
            <v>1</v>
          </cell>
          <cell r="AO2170">
            <v>3</v>
          </cell>
          <cell r="AP2170">
            <v>0</v>
          </cell>
          <cell r="AQ2170">
            <v>0</v>
          </cell>
          <cell r="AR2170">
            <v>1</v>
          </cell>
          <cell r="BF2170">
            <v>1</v>
          </cell>
          <cell r="BG2170">
            <v>1.04</v>
          </cell>
          <cell r="BH2170">
            <v>1.04</v>
          </cell>
          <cell r="BI2170">
            <v>3</v>
          </cell>
          <cell r="BJ2170">
            <v>0</v>
          </cell>
        </row>
        <row r="2171">
          <cell r="D2171" t="str">
            <v>Univerzita Mateja Bela v Banskej Bystrici</v>
          </cell>
          <cell r="E2171" t="str">
            <v>Filozofická fakulta</v>
          </cell>
          <cell r="AN2171">
            <v>1</v>
          </cell>
          <cell r="AO2171">
            <v>2</v>
          </cell>
          <cell r="AP2171">
            <v>0</v>
          </cell>
          <cell r="AQ2171">
            <v>0</v>
          </cell>
          <cell r="AR2171">
            <v>1</v>
          </cell>
          <cell r="BF2171">
            <v>0.7</v>
          </cell>
          <cell r="BG2171">
            <v>1.0499999999999998</v>
          </cell>
          <cell r="BH2171">
            <v>1.0499999999999998</v>
          </cell>
          <cell r="BI2171">
            <v>2</v>
          </cell>
          <cell r="BJ2171">
            <v>0</v>
          </cell>
        </row>
        <row r="2172">
          <cell r="D2172" t="str">
            <v>Univerzita Mateja Bela v Banskej Bystrici</v>
          </cell>
          <cell r="E2172" t="str">
            <v>Filozofická fakulta</v>
          </cell>
          <cell r="AN2172">
            <v>11</v>
          </cell>
          <cell r="AO2172">
            <v>15</v>
          </cell>
          <cell r="AP2172">
            <v>0</v>
          </cell>
          <cell r="AQ2172">
            <v>0</v>
          </cell>
          <cell r="AR2172">
            <v>11</v>
          </cell>
          <cell r="BF2172">
            <v>10.1</v>
          </cell>
          <cell r="BG2172">
            <v>12.625</v>
          </cell>
          <cell r="BH2172">
            <v>12.625</v>
          </cell>
          <cell r="BI2172">
            <v>15</v>
          </cell>
          <cell r="BJ2172">
            <v>0</v>
          </cell>
        </row>
        <row r="2173">
          <cell r="D2173" t="str">
            <v>Univerzita Mateja Bela v Banskej Bystrici</v>
          </cell>
          <cell r="E2173" t="str">
            <v>Filozofická fakulta</v>
          </cell>
          <cell r="AN2173">
            <v>7</v>
          </cell>
          <cell r="AO2173">
            <v>10</v>
          </cell>
          <cell r="AP2173">
            <v>0</v>
          </cell>
          <cell r="AQ2173">
            <v>0</v>
          </cell>
          <cell r="AR2173">
            <v>7</v>
          </cell>
          <cell r="BF2173">
            <v>5.5</v>
          </cell>
          <cell r="BG2173">
            <v>6.875</v>
          </cell>
          <cell r="BH2173">
            <v>6.875</v>
          </cell>
          <cell r="BI2173">
            <v>10</v>
          </cell>
          <cell r="BJ2173">
            <v>0</v>
          </cell>
        </row>
        <row r="2174">
          <cell r="D2174" t="str">
            <v>Univerzita Mateja Bela v Banskej Bystrici</v>
          </cell>
          <cell r="E2174" t="str">
            <v>Filozofická fakulta</v>
          </cell>
          <cell r="AN2174">
            <v>8.5</v>
          </cell>
          <cell r="AO2174">
            <v>10</v>
          </cell>
          <cell r="AP2174">
            <v>0</v>
          </cell>
          <cell r="AQ2174">
            <v>0</v>
          </cell>
          <cell r="AR2174">
            <v>8.5</v>
          </cell>
          <cell r="BF2174">
            <v>7.3</v>
          </cell>
          <cell r="BG2174">
            <v>10.95</v>
          </cell>
          <cell r="BH2174">
            <v>10.95</v>
          </cell>
          <cell r="BI2174">
            <v>10</v>
          </cell>
          <cell r="BJ2174">
            <v>0</v>
          </cell>
        </row>
        <row r="2175">
          <cell r="D2175" t="str">
            <v>Univerzita Mateja Bela v Banskej Bystrici</v>
          </cell>
          <cell r="E2175" t="str">
            <v>Filozofická fakulta</v>
          </cell>
          <cell r="AN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BF2175">
            <v>0</v>
          </cell>
          <cell r="BG2175">
            <v>0</v>
          </cell>
          <cell r="BH2175">
            <v>0</v>
          </cell>
          <cell r="BI2175">
            <v>4</v>
          </cell>
          <cell r="BJ2175">
            <v>0</v>
          </cell>
        </row>
        <row r="2176">
          <cell r="D2176" t="str">
            <v>Univerzita Mateja Bela v Banskej Bystrici</v>
          </cell>
          <cell r="E2176" t="str">
            <v>Filozofická fakulta</v>
          </cell>
          <cell r="AN2176">
            <v>36</v>
          </cell>
          <cell r="AO2176">
            <v>40</v>
          </cell>
          <cell r="AP2176">
            <v>0</v>
          </cell>
          <cell r="AQ2176">
            <v>0</v>
          </cell>
          <cell r="AR2176">
            <v>36</v>
          </cell>
          <cell r="BF2176">
            <v>29.4</v>
          </cell>
          <cell r="BG2176">
            <v>37.338000000000001</v>
          </cell>
          <cell r="BH2176">
            <v>37.338000000000001</v>
          </cell>
          <cell r="BI2176">
            <v>40</v>
          </cell>
          <cell r="BJ2176">
            <v>0</v>
          </cell>
        </row>
        <row r="2177">
          <cell r="D2177" t="str">
            <v>Univerzita Mateja Bela v Banskej Bystrici</v>
          </cell>
          <cell r="E2177" t="str">
            <v>Filozofická fakulta</v>
          </cell>
          <cell r="AN2177">
            <v>3</v>
          </cell>
          <cell r="AO2177">
            <v>3</v>
          </cell>
          <cell r="AP2177">
            <v>0</v>
          </cell>
          <cell r="AQ2177">
            <v>0</v>
          </cell>
          <cell r="AR2177">
            <v>3</v>
          </cell>
          <cell r="BF2177">
            <v>2.4</v>
          </cell>
          <cell r="BG2177">
            <v>3</v>
          </cell>
          <cell r="BH2177">
            <v>2.3333333333333335</v>
          </cell>
          <cell r="BI2177">
            <v>3</v>
          </cell>
          <cell r="BJ2177">
            <v>0</v>
          </cell>
        </row>
        <row r="2178">
          <cell r="D2178" t="str">
            <v>Univerzita Mateja Bela v Banskej Bystrici</v>
          </cell>
          <cell r="E2178" t="str">
            <v>Filozofická fakulta</v>
          </cell>
          <cell r="AN2178">
            <v>4</v>
          </cell>
          <cell r="AO2178">
            <v>4</v>
          </cell>
          <cell r="AP2178">
            <v>0</v>
          </cell>
          <cell r="AQ2178">
            <v>0</v>
          </cell>
          <cell r="AR2178">
            <v>4</v>
          </cell>
          <cell r="BF2178">
            <v>3.0999999999999996</v>
          </cell>
          <cell r="BG2178">
            <v>3.1619999999999995</v>
          </cell>
          <cell r="BH2178">
            <v>2.9926071428571421</v>
          </cell>
          <cell r="BI2178">
            <v>4</v>
          </cell>
          <cell r="BJ2178">
            <v>0</v>
          </cell>
        </row>
        <row r="2179">
          <cell r="D2179" t="str">
            <v>Univerzita Mateja Bela v Banskej Bystrici</v>
          </cell>
          <cell r="E2179" t="str">
            <v>Fakulta prírodných vied</v>
          </cell>
          <cell r="AN2179">
            <v>3</v>
          </cell>
          <cell r="AO2179">
            <v>3</v>
          </cell>
          <cell r="AP2179">
            <v>0</v>
          </cell>
          <cell r="AQ2179">
            <v>0</v>
          </cell>
          <cell r="AR2179">
            <v>3</v>
          </cell>
          <cell r="BF2179">
            <v>2.7</v>
          </cell>
          <cell r="BG2179">
            <v>3.8879999999999999</v>
          </cell>
          <cell r="BH2179">
            <v>3.8879999999999999</v>
          </cell>
          <cell r="BI2179">
            <v>3</v>
          </cell>
          <cell r="BJ2179">
            <v>0</v>
          </cell>
        </row>
        <row r="2180">
          <cell r="D2180" t="str">
            <v>Univerzita Mateja Bela v Banskej Bystrici</v>
          </cell>
          <cell r="E2180" t="str">
            <v>Filozofická fakulta</v>
          </cell>
          <cell r="AN2180">
            <v>1</v>
          </cell>
          <cell r="AO2180">
            <v>1</v>
          </cell>
          <cell r="AP2180">
            <v>0</v>
          </cell>
          <cell r="AQ2180">
            <v>0</v>
          </cell>
          <cell r="AR2180">
            <v>1</v>
          </cell>
          <cell r="BF2180">
            <v>1</v>
          </cell>
          <cell r="BG2180">
            <v>1.27</v>
          </cell>
          <cell r="BH2180">
            <v>1.2019642857142856</v>
          </cell>
          <cell r="BI2180">
            <v>1</v>
          </cell>
          <cell r="BJ2180">
            <v>0</v>
          </cell>
        </row>
        <row r="2181">
          <cell r="D2181" t="str">
            <v>Univerzita Mateja Bela v Banskej Bystrici</v>
          </cell>
          <cell r="E2181" t="str">
            <v>Filozofická fakulta</v>
          </cell>
          <cell r="AN2181">
            <v>10</v>
          </cell>
          <cell r="AO2181">
            <v>11</v>
          </cell>
          <cell r="AP2181">
            <v>0</v>
          </cell>
          <cell r="AQ2181">
            <v>0</v>
          </cell>
          <cell r="AR2181">
            <v>10</v>
          </cell>
          <cell r="BF2181">
            <v>15</v>
          </cell>
          <cell r="BG2181">
            <v>22.5</v>
          </cell>
          <cell r="BH2181">
            <v>22.5</v>
          </cell>
          <cell r="BI2181">
            <v>11</v>
          </cell>
          <cell r="BJ2181">
            <v>0</v>
          </cell>
        </row>
        <row r="2182">
          <cell r="D2182" t="str">
            <v>Univerzita Mateja Bela v Banskej Bystrici</v>
          </cell>
          <cell r="E2182" t="str">
            <v>Právnická fakulta</v>
          </cell>
          <cell r="AN2182">
            <v>5</v>
          </cell>
          <cell r="AO2182">
            <v>0</v>
          </cell>
          <cell r="AP2182">
            <v>0</v>
          </cell>
          <cell r="AQ2182">
            <v>0</v>
          </cell>
          <cell r="AR2182">
            <v>5</v>
          </cell>
          <cell r="BF2182">
            <v>20</v>
          </cell>
          <cell r="BG2182">
            <v>22</v>
          </cell>
          <cell r="BH2182">
            <v>22</v>
          </cell>
          <cell r="BI2182">
            <v>5</v>
          </cell>
          <cell r="BJ2182">
            <v>5</v>
          </cell>
        </row>
        <row r="2183">
          <cell r="D2183" t="str">
            <v>Trenčianska univerzita Alexandra Dubčeka v Trenčíne</v>
          </cell>
          <cell r="E2183" t="str">
            <v>Fakulta sociálno-ekonomických vzťahov</v>
          </cell>
          <cell r="AN2183">
            <v>0</v>
          </cell>
          <cell r="AO2183">
            <v>0</v>
          </cell>
          <cell r="AP2183">
            <v>0</v>
          </cell>
          <cell r="AQ2183">
            <v>0</v>
          </cell>
          <cell r="AR2183">
            <v>0</v>
          </cell>
          <cell r="BF2183">
            <v>0</v>
          </cell>
          <cell r="BG2183">
            <v>0</v>
          </cell>
          <cell r="BH2183">
            <v>0</v>
          </cell>
          <cell r="BI2183">
            <v>109</v>
          </cell>
          <cell r="BJ2183">
            <v>0</v>
          </cell>
        </row>
        <row r="2184">
          <cell r="D2184" t="str">
            <v>Trenčianska univerzita Alexandra Dubčeka v Trenčíne</v>
          </cell>
          <cell r="E2184" t="str">
            <v>Fakulta sociálno-ekonomických vzťahov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BF2184">
            <v>0</v>
          </cell>
          <cell r="BG2184">
            <v>0</v>
          </cell>
          <cell r="BH2184">
            <v>0</v>
          </cell>
          <cell r="BI2184">
            <v>7</v>
          </cell>
          <cell r="BJ2184">
            <v>0</v>
          </cell>
        </row>
        <row r="2185">
          <cell r="D2185" t="str">
            <v>Trenčianska univerzita Alexandra Dubčeka v Trenčíne</v>
          </cell>
          <cell r="E2185" t="str">
            <v>Fakulta sociálno-ekonomických vzťahov</v>
          </cell>
          <cell r="AN2185">
            <v>8</v>
          </cell>
          <cell r="AO2185">
            <v>0</v>
          </cell>
          <cell r="AP2185">
            <v>0</v>
          </cell>
          <cell r="AQ2185">
            <v>0</v>
          </cell>
          <cell r="AR2185">
            <v>8</v>
          </cell>
          <cell r="BF2185">
            <v>32</v>
          </cell>
          <cell r="BG2185">
            <v>35.200000000000003</v>
          </cell>
          <cell r="BH2185">
            <v>33.828571428571429</v>
          </cell>
          <cell r="BI2185">
            <v>8</v>
          </cell>
          <cell r="BJ2185">
            <v>8</v>
          </cell>
        </row>
        <row r="2186">
          <cell r="D2186" t="str">
            <v>Trenčianska univerzita Alexandra Dubčeka v Trenčíne</v>
          </cell>
          <cell r="E2186" t="str">
            <v>Fakulta zdravotníctva</v>
          </cell>
          <cell r="AN2186">
            <v>113</v>
          </cell>
          <cell r="AO2186">
            <v>114</v>
          </cell>
          <cell r="AP2186">
            <v>0</v>
          </cell>
          <cell r="AQ2186">
            <v>0</v>
          </cell>
          <cell r="AR2186">
            <v>113</v>
          </cell>
          <cell r="BF2186">
            <v>169.5</v>
          </cell>
          <cell r="BG2186">
            <v>176.28</v>
          </cell>
          <cell r="BH2186">
            <v>176.28</v>
          </cell>
          <cell r="BI2186">
            <v>114</v>
          </cell>
          <cell r="BJ2186">
            <v>0</v>
          </cell>
        </row>
        <row r="2187">
          <cell r="D2187" t="str">
            <v>Trenčianska univerzita Alexandra Dubčeka v Trenčíne</v>
          </cell>
          <cell r="E2187" t="str">
            <v>Fakulta zdravotníctva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BF2187">
            <v>0</v>
          </cell>
          <cell r="BG2187">
            <v>0</v>
          </cell>
          <cell r="BH2187">
            <v>0</v>
          </cell>
          <cell r="BI2187">
            <v>12</v>
          </cell>
          <cell r="BJ2187">
            <v>0</v>
          </cell>
        </row>
        <row r="2188">
          <cell r="D2188" t="str">
            <v>Trenčianska univerzita Alexandra Dubčeka v Trenčíne</v>
          </cell>
          <cell r="E2188" t="str">
            <v>Fakulta zdravotníctva</v>
          </cell>
          <cell r="AN2188">
            <v>1</v>
          </cell>
          <cell r="AO2188">
            <v>0</v>
          </cell>
          <cell r="AP2188">
            <v>0</v>
          </cell>
          <cell r="AQ2188">
            <v>0</v>
          </cell>
          <cell r="AR2188">
            <v>0</v>
          </cell>
          <cell r="BF2188">
            <v>0</v>
          </cell>
          <cell r="BG2188">
            <v>0</v>
          </cell>
          <cell r="BH2188">
            <v>0</v>
          </cell>
          <cell r="BI2188">
            <v>12</v>
          </cell>
          <cell r="BJ2188">
            <v>0</v>
          </cell>
        </row>
        <row r="2189">
          <cell r="D2189" t="str">
            <v>Trenčianska univerzita Alexandra Dubčeka v Trenčíne</v>
          </cell>
          <cell r="E2189">
            <v>0</v>
          </cell>
          <cell r="AN2189">
            <v>6</v>
          </cell>
          <cell r="AO2189">
            <v>0</v>
          </cell>
          <cell r="AP2189">
            <v>0</v>
          </cell>
          <cell r="AQ2189">
            <v>0</v>
          </cell>
          <cell r="AR2189">
            <v>6</v>
          </cell>
          <cell r="BF2189">
            <v>24</v>
          </cell>
          <cell r="BG2189">
            <v>26.400000000000002</v>
          </cell>
          <cell r="BH2189">
            <v>26.400000000000002</v>
          </cell>
          <cell r="BI2189">
            <v>6</v>
          </cell>
          <cell r="BJ2189">
            <v>6</v>
          </cell>
        </row>
        <row r="2190">
          <cell r="D2190" t="str">
            <v>Trenčianska univerzita Alexandra Dubčeka v Trenčíne</v>
          </cell>
          <cell r="E2190">
            <v>0</v>
          </cell>
          <cell r="AN2190">
            <v>31</v>
          </cell>
          <cell r="AO2190">
            <v>34</v>
          </cell>
          <cell r="AP2190">
            <v>0</v>
          </cell>
          <cell r="AQ2190">
            <v>0</v>
          </cell>
          <cell r="AR2190">
            <v>31</v>
          </cell>
          <cell r="BF2190">
            <v>46.5</v>
          </cell>
          <cell r="BG2190">
            <v>46.5</v>
          </cell>
          <cell r="BH2190">
            <v>39.857142857142861</v>
          </cell>
          <cell r="BI2190">
            <v>34</v>
          </cell>
          <cell r="BJ2190">
            <v>0</v>
          </cell>
        </row>
        <row r="2191">
          <cell r="D2191" t="str">
            <v>Trenčianska univerzita Alexandra Dubčeka v Trenčíne</v>
          </cell>
          <cell r="E2191" t="str">
            <v>Fakulta sociálno-ekonomických vzťahov</v>
          </cell>
          <cell r="AN2191">
            <v>193</v>
          </cell>
          <cell r="AO2191">
            <v>204</v>
          </cell>
          <cell r="AP2191">
            <v>0</v>
          </cell>
          <cell r="AQ2191">
            <v>0</v>
          </cell>
          <cell r="AR2191">
            <v>193</v>
          </cell>
          <cell r="BF2191">
            <v>289.5</v>
          </cell>
          <cell r="BG2191">
            <v>301.08</v>
          </cell>
          <cell r="BH2191">
            <v>257.62515463917526</v>
          </cell>
          <cell r="BI2191">
            <v>204</v>
          </cell>
          <cell r="BJ2191">
            <v>0</v>
          </cell>
        </row>
        <row r="2192">
          <cell r="D2192" t="str">
            <v>Trenčianska univerzita Alexandra Dubčeka v Trenčíne</v>
          </cell>
          <cell r="E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BF2192">
            <v>0</v>
          </cell>
          <cell r="BG2192">
            <v>0</v>
          </cell>
          <cell r="BH2192">
            <v>0</v>
          </cell>
          <cell r="BI2192">
            <v>4</v>
          </cell>
          <cell r="BJ2192">
            <v>0</v>
          </cell>
        </row>
        <row r="2193">
          <cell r="D2193" t="str">
            <v>Trenčianska univerzita Alexandra Dubčeka v Trenčíne</v>
          </cell>
          <cell r="E2193" t="str">
            <v>Fakulta zdravotníctva</v>
          </cell>
          <cell r="AN2193">
            <v>54</v>
          </cell>
          <cell r="AO2193">
            <v>59</v>
          </cell>
          <cell r="AP2193">
            <v>0</v>
          </cell>
          <cell r="AQ2193">
            <v>0</v>
          </cell>
          <cell r="AR2193">
            <v>54</v>
          </cell>
          <cell r="BF2193">
            <v>46.2</v>
          </cell>
          <cell r="BG2193">
            <v>68.376000000000005</v>
          </cell>
          <cell r="BH2193">
            <v>61.538400000000003</v>
          </cell>
          <cell r="BI2193">
            <v>59</v>
          </cell>
          <cell r="BJ2193">
            <v>0</v>
          </cell>
        </row>
        <row r="2194">
          <cell r="D2194" t="str">
            <v>Trenčianska univerzita Alexandra Dubčeka v Trenčíne</v>
          </cell>
          <cell r="E2194" t="str">
            <v>Fakulta špeciálnej techniky</v>
          </cell>
          <cell r="AN2194">
            <v>83</v>
          </cell>
          <cell r="AO2194">
            <v>87</v>
          </cell>
          <cell r="AP2194">
            <v>87</v>
          </cell>
          <cell r="AQ2194">
            <v>83</v>
          </cell>
          <cell r="AR2194">
            <v>83</v>
          </cell>
          <cell r="BF2194">
            <v>69.8</v>
          </cell>
          <cell r="BG2194">
            <v>103.30399999999999</v>
          </cell>
          <cell r="BH2194">
            <v>103.30399999999999</v>
          </cell>
          <cell r="BI2194">
            <v>87</v>
          </cell>
          <cell r="BJ2194">
            <v>0</v>
          </cell>
        </row>
        <row r="2195">
          <cell r="D2195" t="str">
            <v>Trenčianska univerzita Alexandra Dubčeka v Trenčíne</v>
          </cell>
          <cell r="E2195" t="str">
            <v>Fakulta priemyselných technológií v Púchove</v>
          </cell>
          <cell r="AN2195">
            <v>17</v>
          </cell>
          <cell r="AO2195">
            <v>18</v>
          </cell>
          <cell r="AP2195">
            <v>18</v>
          </cell>
          <cell r="AQ2195">
            <v>17</v>
          </cell>
          <cell r="AR2195">
            <v>17</v>
          </cell>
          <cell r="BF2195">
            <v>14.3</v>
          </cell>
          <cell r="BG2195">
            <v>21.164000000000001</v>
          </cell>
          <cell r="BH2195">
            <v>21.164000000000001</v>
          </cell>
          <cell r="BI2195">
            <v>18</v>
          </cell>
          <cell r="BJ2195">
            <v>0</v>
          </cell>
        </row>
        <row r="2196">
          <cell r="D2196" t="str">
            <v>Trenčianska univerzita Alexandra Dubčeka v Trenčíne</v>
          </cell>
          <cell r="E2196" t="str">
            <v>Fakulta sociálno-ekonomických vzťahov</v>
          </cell>
          <cell r="AN2196">
            <v>2</v>
          </cell>
          <cell r="AO2196">
            <v>2</v>
          </cell>
          <cell r="AP2196">
            <v>0</v>
          </cell>
          <cell r="AQ2196">
            <v>0</v>
          </cell>
          <cell r="AR2196">
            <v>2</v>
          </cell>
          <cell r="BF2196">
            <v>2</v>
          </cell>
          <cell r="BG2196">
            <v>2.08</v>
          </cell>
          <cell r="BH2196">
            <v>1.9076923076923078</v>
          </cell>
          <cell r="BI2196">
            <v>2</v>
          </cell>
          <cell r="BJ2196">
            <v>0</v>
          </cell>
        </row>
        <row r="2197">
          <cell r="D2197" t="str">
            <v>Trenčianska univerzita Alexandra Dubčeka v Trenčíne</v>
          </cell>
          <cell r="E2197" t="str">
            <v>Fakulta priemyselných technológií v Púchove</v>
          </cell>
          <cell r="AN2197">
            <v>27</v>
          </cell>
          <cell r="AO2197">
            <v>28</v>
          </cell>
          <cell r="AP2197">
            <v>28</v>
          </cell>
          <cell r="AQ2197">
            <v>27</v>
          </cell>
          <cell r="AR2197">
            <v>27</v>
          </cell>
          <cell r="BF2197">
            <v>23.4</v>
          </cell>
          <cell r="BG2197">
            <v>34.631999999999998</v>
          </cell>
          <cell r="BH2197">
            <v>34.631999999999998</v>
          </cell>
          <cell r="BI2197">
            <v>28</v>
          </cell>
          <cell r="BJ2197">
            <v>0</v>
          </cell>
        </row>
        <row r="2198">
          <cell r="D2198" t="str">
            <v>Trenčianska univerzita Alexandra Dubčeka v Trenčíne</v>
          </cell>
          <cell r="E2198" t="str">
            <v>Fakulta zdravotníctva</v>
          </cell>
          <cell r="AN2198">
            <v>10</v>
          </cell>
          <cell r="AO2198">
            <v>10</v>
          </cell>
          <cell r="AP2198">
            <v>0</v>
          </cell>
          <cell r="AQ2198">
            <v>0</v>
          </cell>
          <cell r="AR2198">
            <v>10</v>
          </cell>
          <cell r="BF2198">
            <v>7.3</v>
          </cell>
          <cell r="BG2198">
            <v>10.804</v>
          </cell>
          <cell r="BH2198">
            <v>10.804</v>
          </cell>
          <cell r="BI2198">
            <v>10</v>
          </cell>
          <cell r="BJ2198">
            <v>0</v>
          </cell>
        </row>
        <row r="2199">
          <cell r="D2199" t="str">
            <v>Trenčianska univerzita Alexandra Dubčeka v Trenčíne</v>
          </cell>
          <cell r="E2199" t="str">
            <v>Fakulta priemyselných technológií v Púchove</v>
          </cell>
          <cell r="AN2199">
            <v>0</v>
          </cell>
          <cell r="AO2199">
            <v>0</v>
          </cell>
          <cell r="AP2199">
            <v>0</v>
          </cell>
          <cell r="AQ2199">
            <v>0</v>
          </cell>
          <cell r="AR2199">
            <v>0</v>
          </cell>
          <cell r="BF2199">
            <v>0</v>
          </cell>
          <cell r="BG2199">
            <v>0</v>
          </cell>
          <cell r="BH2199">
            <v>0</v>
          </cell>
          <cell r="BI2199">
            <v>16</v>
          </cell>
          <cell r="BJ2199">
            <v>0</v>
          </cell>
        </row>
        <row r="2200">
          <cell r="D2200" t="str">
            <v>Trenčianska univerzita Alexandra Dubčeka v Trenčíne</v>
          </cell>
          <cell r="E2200">
            <v>0</v>
          </cell>
          <cell r="AN2200">
            <v>0</v>
          </cell>
          <cell r="AO2200">
            <v>0</v>
          </cell>
          <cell r="AP2200">
            <v>0</v>
          </cell>
          <cell r="AQ2200">
            <v>0</v>
          </cell>
          <cell r="AR2200">
            <v>0</v>
          </cell>
          <cell r="BF2200">
            <v>0</v>
          </cell>
          <cell r="BG2200">
            <v>0</v>
          </cell>
          <cell r="BH2200">
            <v>0</v>
          </cell>
          <cell r="BI2200">
            <v>6</v>
          </cell>
          <cell r="BJ2200">
            <v>0</v>
          </cell>
        </row>
        <row r="2201">
          <cell r="D2201" t="str">
            <v>Trenčianska univerzita Alexandra Dubčeka v Trenčíne</v>
          </cell>
          <cell r="E2201" t="str">
            <v>Fakulta priemyselných technológií v Púchove</v>
          </cell>
          <cell r="AN2201">
            <v>0</v>
          </cell>
          <cell r="AO2201">
            <v>0</v>
          </cell>
          <cell r="AP2201">
            <v>0</v>
          </cell>
          <cell r="AQ2201">
            <v>0</v>
          </cell>
          <cell r="AR2201">
            <v>0</v>
          </cell>
          <cell r="BF2201">
            <v>0</v>
          </cell>
          <cell r="BG2201">
            <v>0</v>
          </cell>
          <cell r="BH2201">
            <v>0</v>
          </cell>
          <cell r="BI2201">
            <v>9</v>
          </cell>
          <cell r="BJ2201">
            <v>0</v>
          </cell>
        </row>
        <row r="2202">
          <cell r="D2202" t="str">
            <v>Univerzita Konštantína Filozofa v Nitre</v>
          </cell>
          <cell r="E2202" t="str">
            <v>Pedagogická fakulta</v>
          </cell>
          <cell r="AN2202">
            <v>29</v>
          </cell>
          <cell r="AO2202">
            <v>33</v>
          </cell>
          <cell r="AP2202">
            <v>0</v>
          </cell>
          <cell r="AQ2202">
            <v>0</v>
          </cell>
          <cell r="AR2202">
            <v>29</v>
          </cell>
          <cell r="BF2202">
            <v>43.5</v>
          </cell>
          <cell r="BG2202">
            <v>51.765000000000001</v>
          </cell>
          <cell r="BH2202">
            <v>51.765000000000001</v>
          </cell>
          <cell r="BI2202">
            <v>33</v>
          </cell>
          <cell r="BJ2202">
            <v>0</v>
          </cell>
        </row>
        <row r="2203">
          <cell r="D2203" t="str">
            <v>Univerzita Konštantína Filozofa v Nitre</v>
          </cell>
          <cell r="E2203" t="str">
            <v>Pedagogická fakulta</v>
          </cell>
          <cell r="AN2203">
            <v>0</v>
          </cell>
          <cell r="AO2203">
            <v>0</v>
          </cell>
          <cell r="AP2203">
            <v>0</v>
          </cell>
          <cell r="AQ2203">
            <v>0</v>
          </cell>
          <cell r="AR2203">
            <v>0</v>
          </cell>
          <cell r="BF2203">
            <v>0</v>
          </cell>
          <cell r="BG2203">
            <v>0</v>
          </cell>
          <cell r="BH2203">
            <v>0</v>
          </cell>
          <cell r="BI2203">
            <v>33</v>
          </cell>
          <cell r="BJ2203">
            <v>0</v>
          </cell>
        </row>
        <row r="2204">
          <cell r="D2204" t="str">
            <v>Univerzita Konštantína Filozofa v Nitre</v>
          </cell>
          <cell r="E2204" t="str">
            <v>Pedagogická fakulta</v>
          </cell>
          <cell r="AN2204">
            <v>0</v>
          </cell>
          <cell r="AO2204">
            <v>0</v>
          </cell>
          <cell r="AP2204">
            <v>0</v>
          </cell>
          <cell r="AQ2204">
            <v>0</v>
          </cell>
          <cell r="AR2204">
            <v>0</v>
          </cell>
          <cell r="BF2204">
            <v>0</v>
          </cell>
          <cell r="BG2204">
            <v>0</v>
          </cell>
          <cell r="BH2204">
            <v>0</v>
          </cell>
          <cell r="BI2204">
            <v>18</v>
          </cell>
          <cell r="BJ2204">
            <v>0</v>
          </cell>
        </row>
        <row r="2205">
          <cell r="D2205" t="str">
            <v>Univerzita Konštantína Filozofa v Nitre</v>
          </cell>
          <cell r="E2205" t="str">
            <v>Pedagogická fakulta</v>
          </cell>
          <cell r="AN2205">
            <v>19.5</v>
          </cell>
          <cell r="AO2205">
            <v>21.5</v>
          </cell>
          <cell r="AP2205">
            <v>0</v>
          </cell>
          <cell r="AQ2205">
            <v>0</v>
          </cell>
          <cell r="AR2205">
            <v>19.5</v>
          </cell>
          <cell r="BF2205">
            <v>29.25</v>
          </cell>
          <cell r="BG2205">
            <v>34.807499999999997</v>
          </cell>
          <cell r="BH2205">
            <v>30.939999999999998</v>
          </cell>
          <cell r="BI2205">
            <v>21.5</v>
          </cell>
          <cell r="BJ2205">
            <v>0</v>
          </cell>
        </row>
        <row r="2206">
          <cell r="D2206" t="str">
            <v>Univerzita Konštantína Filozofa v Nitre</v>
          </cell>
          <cell r="E2206" t="str">
            <v>Pedagogická fakulta</v>
          </cell>
          <cell r="AN2206">
            <v>5</v>
          </cell>
          <cell r="AO2206">
            <v>0</v>
          </cell>
          <cell r="AP2206">
            <v>0</v>
          </cell>
          <cell r="AQ2206">
            <v>0</v>
          </cell>
          <cell r="AR2206">
            <v>5</v>
          </cell>
          <cell r="BF2206">
            <v>20</v>
          </cell>
          <cell r="BG2206">
            <v>22</v>
          </cell>
          <cell r="BH2206">
            <v>22</v>
          </cell>
          <cell r="BI2206">
            <v>5</v>
          </cell>
          <cell r="BJ2206">
            <v>5</v>
          </cell>
        </row>
        <row r="2207">
          <cell r="D2207" t="str">
            <v>Univerzita Konštantína Filozofa v Nitre</v>
          </cell>
          <cell r="E2207" t="str">
            <v>Pedagogická fakulta</v>
          </cell>
          <cell r="AN2207">
            <v>3</v>
          </cell>
          <cell r="AO2207">
            <v>0</v>
          </cell>
          <cell r="AP2207">
            <v>0</v>
          </cell>
          <cell r="AQ2207">
            <v>0</v>
          </cell>
          <cell r="AR2207">
            <v>3</v>
          </cell>
          <cell r="BF2207">
            <v>12</v>
          </cell>
          <cell r="BG2207">
            <v>13.200000000000001</v>
          </cell>
          <cell r="BH2207">
            <v>13.200000000000001</v>
          </cell>
          <cell r="BI2207">
            <v>3</v>
          </cell>
          <cell r="BJ2207">
            <v>3</v>
          </cell>
        </row>
        <row r="2208">
          <cell r="D2208" t="str">
            <v>Univerzita Konštantína Filozofa v Nitre</v>
          </cell>
          <cell r="E2208" t="str">
            <v>Pedagogická fakulta</v>
          </cell>
          <cell r="AN2208">
            <v>3</v>
          </cell>
          <cell r="AO2208">
            <v>0</v>
          </cell>
          <cell r="AP2208">
            <v>0</v>
          </cell>
          <cell r="AQ2208">
            <v>0</v>
          </cell>
          <cell r="AR2208">
            <v>3</v>
          </cell>
          <cell r="BF2208">
            <v>12</v>
          </cell>
          <cell r="BG2208">
            <v>13.200000000000001</v>
          </cell>
          <cell r="BH2208">
            <v>13.200000000000001</v>
          </cell>
          <cell r="BI2208">
            <v>3</v>
          </cell>
          <cell r="BJ2208">
            <v>3</v>
          </cell>
        </row>
        <row r="2209">
          <cell r="D2209" t="str">
            <v>Univerzita Konštantína Filozofa v Nitre</v>
          </cell>
          <cell r="E2209" t="str">
            <v>Pedagogická fakulta</v>
          </cell>
          <cell r="AN2209">
            <v>3</v>
          </cell>
          <cell r="AO2209">
            <v>0</v>
          </cell>
          <cell r="AP2209">
            <v>0</v>
          </cell>
          <cell r="AQ2209">
            <v>0</v>
          </cell>
          <cell r="AR2209">
            <v>3</v>
          </cell>
          <cell r="BF2209">
            <v>12</v>
          </cell>
          <cell r="BG2209">
            <v>13.200000000000001</v>
          </cell>
          <cell r="BH2209">
            <v>11.000000000000002</v>
          </cell>
          <cell r="BI2209">
            <v>3</v>
          </cell>
          <cell r="BJ2209">
            <v>3</v>
          </cell>
        </row>
        <row r="2210">
          <cell r="D2210" t="str">
            <v>Univerzita Konštantína Filozofa v Nitre</v>
          </cell>
          <cell r="E2210" t="str">
            <v>Pedagogická fakulta</v>
          </cell>
          <cell r="AN2210">
            <v>24</v>
          </cell>
          <cell r="AO2210">
            <v>25</v>
          </cell>
          <cell r="AP2210">
            <v>0</v>
          </cell>
          <cell r="AQ2210">
            <v>0</v>
          </cell>
          <cell r="AR2210">
            <v>24</v>
          </cell>
          <cell r="BF2210">
            <v>36</v>
          </cell>
          <cell r="BG2210">
            <v>39.24</v>
          </cell>
          <cell r="BH2210">
            <v>39.24</v>
          </cell>
          <cell r="BI2210">
            <v>25</v>
          </cell>
          <cell r="BJ2210">
            <v>0</v>
          </cell>
        </row>
        <row r="2211">
          <cell r="D2211" t="str">
            <v>Univerzita Konštantína Filozofa v Nitre</v>
          </cell>
          <cell r="E2211" t="str">
            <v>Pedagogická fakulta</v>
          </cell>
          <cell r="AN2211">
            <v>8</v>
          </cell>
          <cell r="AO2211">
            <v>10</v>
          </cell>
          <cell r="AP2211">
            <v>0</v>
          </cell>
          <cell r="AQ2211">
            <v>0</v>
          </cell>
          <cell r="AR2211">
            <v>8</v>
          </cell>
          <cell r="BF2211">
            <v>12</v>
          </cell>
          <cell r="BG2211">
            <v>14.28</v>
          </cell>
          <cell r="BH2211">
            <v>14.28</v>
          </cell>
          <cell r="BI2211">
            <v>10</v>
          </cell>
          <cell r="BJ2211">
            <v>0</v>
          </cell>
        </row>
        <row r="2212">
          <cell r="D2212" t="str">
            <v>Univerzita Konštantína Filozofa v Nitre</v>
          </cell>
          <cell r="E2212" t="str">
            <v>Pedagogická fakulta</v>
          </cell>
          <cell r="AN2212">
            <v>39</v>
          </cell>
          <cell r="AO2212">
            <v>43</v>
          </cell>
          <cell r="AP2212">
            <v>0</v>
          </cell>
          <cell r="AQ2212">
            <v>0</v>
          </cell>
          <cell r="AR2212">
            <v>39</v>
          </cell>
          <cell r="BF2212">
            <v>58.5</v>
          </cell>
          <cell r="BG2212">
            <v>69.614999999999995</v>
          </cell>
          <cell r="BH2212">
            <v>63.813749999999992</v>
          </cell>
          <cell r="BI2212">
            <v>43</v>
          </cell>
          <cell r="BJ2212">
            <v>0</v>
          </cell>
        </row>
        <row r="2213">
          <cell r="D2213" t="str">
            <v>Univerzita Konštantína Filozofa v Nitre</v>
          </cell>
          <cell r="E2213" t="str">
            <v>Pedagogická fakulta</v>
          </cell>
          <cell r="AN2213">
            <v>3</v>
          </cell>
          <cell r="AO2213">
            <v>5</v>
          </cell>
          <cell r="AP2213">
            <v>0</v>
          </cell>
          <cell r="AQ2213">
            <v>0</v>
          </cell>
          <cell r="AR2213">
            <v>3</v>
          </cell>
          <cell r="BF2213">
            <v>4.5</v>
          </cell>
          <cell r="BG2213">
            <v>9.6749999999999989</v>
          </cell>
          <cell r="BH2213">
            <v>9.2079310344827583</v>
          </cell>
          <cell r="BI2213">
            <v>5</v>
          </cell>
          <cell r="BJ2213">
            <v>0</v>
          </cell>
        </row>
        <row r="2214">
          <cell r="D2214" t="str">
            <v>Univerzita Konštantína Filozofa v Nitre</v>
          </cell>
          <cell r="E2214" t="str">
            <v>Pedagogická fakulta</v>
          </cell>
          <cell r="AN2214">
            <v>116</v>
          </cell>
          <cell r="AO2214">
            <v>121</v>
          </cell>
          <cell r="AP2214">
            <v>0</v>
          </cell>
          <cell r="AQ2214">
            <v>0</v>
          </cell>
          <cell r="AR2214">
            <v>116</v>
          </cell>
          <cell r="BF2214">
            <v>174</v>
          </cell>
          <cell r="BG2214">
            <v>207.06</v>
          </cell>
          <cell r="BH2214">
            <v>198.94</v>
          </cell>
          <cell r="BI2214">
            <v>121</v>
          </cell>
          <cell r="BJ2214">
            <v>0</v>
          </cell>
        </row>
        <row r="2215">
          <cell r="D2215" t="str">
            <v>Univerzita Konštantína Filozofa v Nitre</v>
          </cell>
          <cell r="E2215" t="str">
            <v>Pedagogická fakulta</v>
          </cell>
          <cell r="AN2215">
            <v>0</v>
          </cell>
          <cell r="AO2215">
            <v>0</v>
          </cell>
          <cell r="AP2215">
            <v>0</v>
          </cell>
          <cell r="AQ2215">
            <v>0</v>
          </cell>
          <cell r="AR2215">
            <v>0</v>
          </cell>
          <cell r="BF2215">
            <v>0</v>
          </cell>
          <cell r="BG2215">
            <v>0</v>
          </cell>
          <cell r="BH2215">
            <v>0</v>
          </cell>
          <cell r="BI2215">
            <v>16</v>
          </cell>
          <cell r="BJ2215">
            <v>0</v>
          </cell>
        </row>
        <row r="2216">
          <cell r="D2216" t="str">
            <v>Univerzita Konštantína Filozofa v Nitre</v>
          </cell>
          <cell r="E2216" t="str">
            <v>Pedagogická fakulta</v>
          </cell>
          <cell r="AN2216">
            <v>17</v>
          </cell>
          <cell r="AO2216">
            <v>20</v>
          </cell>
          <cell r="AP2216">
            <v>0</v>
          </cell>
          <cell r="AQ2216">
            <v>0</v>
          </cell>
          <cell r="AR2216">
            <v>17</v>
          </cell>
          <cell r="BF2216">
            <v>25.5</v>
          </cell>
          <cell r="BG2216">
            <v>36.72</v>
          </cell>
          <cell r="BH2216">
            <v>36.72</v>
          </cell>
          <cell r="BI2216">
            <v>20</v>
          </cell>
          <cell r="BJ2216">
            <v>0</v>
          </cell>
        </row>
        <row r="2217">
          <cell r="D2217" t="str">
            <v>Univerzita Konštantína Filozofa v Nitre</v>
          </cell>
          <cell r="E2217" t="str">
            <v>Filozofická fakulta</v>
          </cell>
          <cell r="AN2217">
            <v>3.5</v>
          </cell>
          <cell r="AO2217">
            <v>5.5</v>
          </cell>
          <cell r="AP2217">
            <v>0</v>
          </cell>
          <cell r="AQ2217">
            <v>0</v>
          </cell>
          <cell r="AR2217">
            <v>3.5</v>
          </cell>
          <cell r="BF2217">
            <v>5.25</v>
          </cell>
          <cell r="BG2217">
            <v>5.7225000000000001</v>
          </cell>
          <cell r="BH2217">
            <v>4.5780000000000003</v>
          </cell>
          <cell r="BI2217">
            <v>5.5</v>
          </cell>
          <cell r="BJ2217">
            <v>0</v>
          </cell>
        </row>
        <row r="2218">
          <cell r="D2218" t="str">
            <v>Univerzita Konštantína Filozofa v Nitre</v>
          </cell>
          <cell r="E2218" t="str">
            <v>Pedagogická fakulta</v>
          </cell>
          <cell r="AN2218">
            <v>0</v>
          </cell>
          <cell r="AO2218">
            <v>0</v>
          </cell>
          <cell r="AP2218">
            <v>0</v>
          </cell>
          <cell r="AQ2218">
            <v>0</v>
          </cell>
          <cell r="AR2218">
            <v>0</v>
          </cell>
          <cell r="BF2218">
            <v>0</v>
          </cell>
          <cell r="BG2218">
            <v>0</v>
          </cell>
          <cell r="BH2218">
            <v>0</v>
          </cell>
          <cell r="BI2218">
            <v>1</v>
          </cell>
          <cell r="BJ2218">
            <v>0</v>
          </cell>
        </row>
        <row r="2219">
          <cell r="D2219" t="str">
            <v>Vysoká škola Danubius</v>
          </cell>
          <cell r="E2219" t="str">
            <v>Fakulta sociálnych štúdií</v>
          </cell>
          <cell r="AN2219">
            <v>190</v>
          </cell>
          <cell r="AO2219">
            <v>190</v>
          </cell>
          <cell r="AP2219">
            <v>0</v>
          </cell>
          <cell r="AQ2219">
            <v>0</v>
          </cell>
          <cell r="AR2219">
            <v>190</v>
          </cell>
          <cell r="BF2219">
            <v>285</v>
          </cell>
          <cell r="BG2219">
            <v>285</v>
          </cell>
          <cell r="BH2219">
            <v>275.5</v>
          </cell>
          <cell r="BI2219">
            <v>190</v>
          </cell>
          <cell r="BJ2219">
            <v>0</v>
          </cell>
        </row>
        <row r="2220">
          <cell r="D2220" t="str">
            <v>Vysoká škola Danubius</v>
          </cell>
          <cell r="E2220" t="str">
            <v>Fakulta verejnej politiky a verejnej správy</v>
          </cell>
          <cell r="AN2220">
            <v>64</v>
          </cell>
          <cell r="AO2220">
            <v>64</v>
          </cell>
          <cell r="AP2220">
            <v>0</v>
          </cell>
          <cell r="AQ2220">
            <v>0</v>
          </cell>
          <cell r="AR2220">
            <v>64</v>
          </cell>
          <cell r="BF2220">
            <v>96</v>
          </cell>
          <cell r="BG2220">
            <v>96</v>
          </cell>
          <cell r="BH2220">
            <v>89.142857142857139</v>
          </cell>
          <cell r="BI2220">
            <v>64</v>
          </cell>
          <cell r="BJ2220">
            <v>0</v>
          </cell>
        </row>
        <row r="2221">
          <cell r="D2221" t="str">
            <v>Vysoká škola Danubius</v>
          </cell>
          <cell r="E2221" t="str">
            <v>Fakulta sociálnych štúdií</v>
          </cell>
          <cell r="AN2221">
            <v>181</v>
          </cell>
          <cell r="AO2221">
            <v>181</v>
          </cell>
          <cell r="AP2221">
            <v>0</v>
          </cell>
          <cell r="AQ2221">
            <v>0</v>
          </cell>
          <cell r="AR2221">
            <v>181</v>
          </cell>
          <cell r="BF2221">
            <v>155.19999999999999</v>
          </cell>
          <cell r="BG2221">
            <v>155.19999999999999</v>
          </cell>
          <cell r="BH2221">
            <v>155.19999999999999</v>
          </cell>
          <cell r="BI2221">
            <v>181</v>
          </cell>
          <cell r="BJ2221">
            <v>0</v>
          </cell>
        </row>
        <row r="2222">
          <cell r="D2222" t="str">
            <v>Vysoká škola Danubius</v>
          </cell>
          <cell r="E2222" t="str">
            <v>Fakulta verejnej politiky a verejnej správy</v>
          </cell>
          <cell r="AN2222">
            <v>3</v>
          </cell>
          <cell r="AO2222">
            <v>3</v>
          </cell>
          <cell r="AP2222">
            <v>0</v>
          </cell>
          <cell r="AQ2222">
            <v>0</v>
          </cell>
          <cell r="AR2222">
            <v>3</v>
          </cell>
          <cell r="BF2222">
            <v>3</v>
          </cell>
          <cell r="BG2222">
            <v>3</v>
          </cell>
          <cell r="BH2222">
            <v>3</v>
          </cell>
          <cell r="BI2222">
            <v>3</v>
          </cell>
          <cell r="BJ2222">
            <v>0</v>
          </cell>
        </row>
        <row r="2223">
          <cell r="D2223" t="str">
            <v>Vysoká škola múzických umení v Bratislave</v>
          </cell>
          <cell r="E2223" t="str">
            <v>Filmová a televízna fakulta</v>
          </cell>
          <cell r="AN2223">
            <v>3</v>
          </cell>
          <cell r="AO2223">
            <v>0</v>
          </cell>
          <cell r="AP2223">
            <v>0</v>
          </cell>
          <cell r="AQ2223">
            <v>0</v>
          </cell>
          <cell r="AR2223">
            <v>3</v>
          </cell>
          <cell r="BF2223">
            <v>12</v>
          </cell>
          <cell r="BG2223">
            <v>13.200000000000001</v>
          </cell>
          <cell r="BH2223">
            <v>13.200000000000001</v>
          </cell>
          <cell r="BI2223">
            <v>3</v>
          </cell>
          <cell r="BJ2223">
            <v>3</v>
          </cell>
        </row>
        <row r="2224">
          <cell r="D2224" t="str">
            <v>Vysoká škola múzických umení v Bratislave</v>
          </cell>
          <cell r="E2224" t="str">
            <v>Divadelná fakulta</v>
          </cell>
          <cell r="AN2224">
            <v>2</v>
          </cell>
          <cell r="AO2224">
            <v>0</v>
          </cell>
          <cell r="AP2224">
            <v>0</v>
          </cell>
          <cell r="AQ2224">
            <v>0</v>
          </cell>
          <cell r="AR2224">
            <v>2</v>
          </cell>
          <cell r="BF2224">
            <v>8</v>
          </cell>
          <cell r="BG2224">
            <v>8.8000000000000007</v>
          </cell>
          <cell r="BH2224">
            <v>8.8000000000000007</v>
          </cell>
          <cell r="BI2224">
            <v>2</v>
          </cell>
          <cell r="BJ2224">
            <v>2</v>
          </cell>
        </row>
        <row r="2225">
          <cell r="D2225" t="str">
            <v>Vysoká škola múzických umení v Bratislave</v>
          </cell>
          <cell r="E2225" t="str">
            <v>Hudobná a tanečná fakulta</v>
          </cell>
          <cell r="AN2225">
            <v>3</v>
          </cell>
          <cell r="AO2225">
            <v>0</v>
          </cell>
          <cell r="AP2225">
            <v>0</v>
          </cell>
          <cell r="AQ2225">
            <v>0</v>
          </cell>
          <cell r="AR2225">
            <v>3</v>
          </cell>
          <cell r="BF2225">
            <v>12</v>
          </cell>
          <cell r="BG2225">
            <v>13.200000000000001</v>
          </cell>
          <cell r="BH2225">
            <v>13.200000000000001</v>
          </cell>
          <cell r="BI2225">
            <v>3</v>
          </cell>
          <cell r="BJ2225">
            <v>3</v>
          </cell>
        </row>
        <row r="2226">
          <cell r="D2226" t="str">
            <v>Vysoká škola múzických umení v Bratislave</v>
          </cell>
          <cell r="E2226" t="str">
            <v>Hudobná a tanečná fakulta</v>
          </cell>
          <cell r="AN2226">
            <v>0</v>
          </cell>
          <cell r="AO2226">
            <v>0</v>
          </cell>
          <cell r="AP2226">
            <v>0</v>
          </cell>
          <cell r="AQ2226">
            <v>0</v>
          </cell>
          <cell r="AR2226">
            <v>0</v>
          </cell>
          <cell r="BF2226">
            <v>0</v>
          </cell>
          <cell r="BG2226">
            <v>0</v>
          </cell>
          <cell r="BH2226">
            <v>0</v>
          </cell>
          <cell r="BI2226">
            <v>7</v>
          </cell>
          <cell r="BJ2226">
            <v>0</v>
          </cell>
        </row>
        <row r="2227">
          <cell r="D2227" t="str">
            <v>Vysoká škola múzických umení v Bratislave</v>
          </cell>
          <cell r="E2227" t="str">
            <v>Hudobná a tanečná fakulta</v>
          </cell>
          <cell r="AN2227">
            <v>0</v>
          </cell>
          <cell r="AO2227">
            <v>0</v>
          </cell>
          <cell r="AP2227">
            <v>0</v>
          </cell>
          <cell r="AQ2227">
            <v>0</v>
          </cell>
          <cell r="AR2227">
            <v>0</v>
          </cell>
          <cell r="BF2227">
            <v>0</v>
          </cell>
          <cell r="BG2227">
            <v>0</v>
          </cell>
          <cell r="BH2227">
            <v>0</v>
          </cell>
          <cell r="BI2227">
            <v>14</v>
          </cell>
          <cell r="BJ2227">
            <v>0</v>
          </cell>
        </row>
        <row r="2228">
          <cell r="D2228" t="str">
            <v>Vysoká škola múzických umení v Bratislave</v>
          </cell>
          <cell r="E2228" t="str">
            <v>Divadelná fakulta</v>
          </cell>
          <cell r="AN2228">
            <v>3</v>
          </cell>
          <cell r="AO2228">
            <v>0</v>
          </cell>
          <cell r="AP2228">
            <v>0</v>
          </cell>
          <cell r="AQ2228">
            <v>0</v>
          </cell>
          <cell r="AR2228">
            <v>3</v>
          </cell>
          <cell r="BF2228">
            <v>12</v>
          </cell>
          <cell r="BG2228">
            <v>13.200000000000001</v>
          </cell>
          <cell r="BH2228">
            <v>13.200000000000001</v>
          </cell>
          <cell r="BI2228">
            <v>3</v>
          </cell>
          <cell r="BJ2228">
            <v>3</v>
          </cell>
        </row>
        <row r="2229">
          <cell r="D2229" t="str">
            <v>Vysoká škola múzických umení v Bratislave</v>
          </cell>
          <cell r="E2229" t="str">
            <v>Filmová a televízna fakulta</v>
          </cell>
          <cell r="AN2229">
            <v>3</v>
          </cell>
          <cell r="AO2229">
            <v>0</v>
          </cell>
          <cell r="AP2229">
            <v>0</v>
          </cell>
          <cell r="AQ2229">
            <v>0</v>
          </cell>
          <cell r="AR2229">
            <v>3</v>
          </cell>
          <cell r="BF2229">
            <v>12</v>
          </cell>
          <cell r="BG2229">
            <v>13.200000000000001</v>
          </cell>
          <cell r="BH2229">
            <v>13.200000000000001</v>
          </cell>
          <cell r="BI2229">
            <v>3</v>
          </cell>
          <cell r="BJ2229">
            <v>3</v>
          </cell>
        </row>
        <row r="2230">
          <cell r="D2230" t="str">
            <v>Vysoká škola múzických umení v Bratislave</v>
          </cell>
          <cell r="E2230" t="str">
            <v>Divadelná fakulta</v>
          </cell>
          <cell r="AN2230">
            <v>4</v>
          </cell>
          <cell r="AO2230">
            <v>0</v>
          </cell>
          <cell r="AP2230">
            <v>0</v>
          </cell>
          <cell r="AQ2230">
            <v>0</v>
          </cell>
          <cell r="AR2230">
            <v>4</v>
          </cell>
          <cell r="BF2230">
            <v>16</v>
          </cell>
          <cell r="BG2230">
            <v>17.600000000000001</v>
          </cell>
          <cell r="BH2230">
            <v>17.600000000000001</v>
          </cell>
          <cell r="BI2230">
            <v>4</v>
          </cell>
          <cell r="BJ2230">
            <v>4</v>
          </cell>
        </row>
        <row r="2231">
          <cell r="D2231" t="str">
            <v>Vysoká škola múzických umení v Bratislave</v>
          </cell>
          <cell r="E2231" t="str">
            <v>Hudobná a tanečná fakulta</v>
          </cell>
          <cell r="AN2231">
            <v>1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BF2231">
            <v>0</v>
          </cell>
          <cell r="BG2231">
            <v>0</v>
          </cell>
          <cell r="BH2231">
            <v>0</v>
          </cell>
          <cell r="BI2231">
            <v>7</v>
          </cell>
          <cell r="BJ2231">
            <v>0</v>
          </cell>
        </row>
        <row r="2232">
          <cell r="D2232" t="str">
            <v>Vysoká škola múzických umení v Bratislave</v>
          </cell>
          <cell r="E2232" t="str">
            <v>Hudobná a tanečná fakulta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BF2232">
            <v>0</v>
          </cell>
          <cell r="BG2232">
            <v>0</v>
          </cell>
          <cell r="BH2232">
            <v>0</v>
          </cell>
          <cell r="BI2232">
            <v>2</v>
          </cell>
          <cell r="BJ2232">
            <v>0</v>
          </cell>
        </row>
        <row r="2233">
          <cell r="D2233" t="str">
            <v>Vysoká škola múzických umení v Bratislave</v>
          </cell>
          <cell r="E2233" t="str">
            <v>Hudobná a tanečná fakulta</v>
          </cell>
          <cell r="AN2233">
            <v>2</v>
          </cell>
          <cell r="AO2233">
            <v>0</v>
          </cell>
          <cell r="AP2233">
            <v>0</v>
          </cell>
          <cell r="AQ2233">
            <v>0</v>
          </cell>
          <cell r="AR2233">
            <v>2</v>
          </cell>
          <cell r="BF2233">
            <v>8</v>
          </cell>
          <cell r="BG2233">
            <v>8.8000000000000007</v>
          </cell>
          <cell r="BH2233">
            <v>8.8000000000000007</v>
          </cell>
          <cell r="BI2233">
            <v>2</v>
          </cell>
          <cell r="BJ2233">
            <v>2</v>
          </cell>
        </row>
        <row r="2234">
          <cell r="D2234" t="str">
            <v>Vysoká škola múzických umení v Bratislave</v>
          </cell>
          <cell r="E2234" t="str">
            <v>Filmová a televízna fakulta</v>
          </cell>
          <cell r="AN2234">
            <v>6</v>
          </cell>
          <cell r="AO2234">
            <v>7</v>
          </cell>
          <cell r="AP2234">
            <v>0</v>
          </cell>
          <cell r="AQ2234">
            <v>0</v>
          </cell>
          <cell r="AR2234">
            <v>6</v>
          </cell>
          <cell r="BF2234">
            <v>9</v>
          </cell>
          <cell r="BG2234">
            <v>29.07</v>
          </cell>
          <cell r="BH2234">
            <v>29.07</v>
          </cell>
          <cell r="BI2234">
            <v>7</v>
          </cell>
          <cell r="BJ2234">
            <v>0</v>
          </cell>
        </row>
        <row r="2235">
          <cell r="D2235" t="str">
            <v>Vysoká škola múzických umení v Bratislave</v>
          </cell>
          <cell r="E2235" t="str">
            <v>Divadelná fakulta</v>
          </cell>
          <cell r="AN2235">
            <v>26</v>
          </cell>
          <cell r="AO2235">
            <v>28</v>
          </cell>
          <cell r="AP2235">
            <v>0</v>
          </cell>
          <cell r="AQ2235">
            <v>0</v>
          </cell>
          <cell r="AR2235">
            <v>26</v>
          </cell>
          <cell r="BF2235">
            <v>39</v>
          </cell>
          <cell r="BG2235">
            <v>125.97</v>
          </cell>
          <cell r="BH2235">
            <v>125.97</v>
          </cell>
          <cell r="BI2235">
            <v>28</v>
          </cell>
          <cell r="BJ2235">
            <v>0</v>
          </cell>
        </row>
        <row r="2236">
          <cell r="D2236" t="str">
            <v>Vysoká škola múzických umení v Bratislave</v>
          </cell>
          <cell r="E2236" t="str">
            <v>Divadelná fakulta</v>
          </cell>
          <cell r="AN2236">
            <v>14</v>
          </cell>
          <cell r="AO2236">
            <v>15</v>
          </cell>
          <cell r="AP2236">
            <v>0</v>
          </cell>
          <cell r="AQ2236">
            <v>0</v>
          </cell>
          <cell r="AR2236">
            <v>14</v>
          </cell>
          <cell r="BF2236">
            <v>21</v>
          </cell>
          <cell r="BG2236">
            <v>67.83</v>
          </cell>
          <cell r="BH2236">
            <v>0</v>
          </cell>
          <cell r="BI2236">
            <v>15</v>
          </cell>
          <cell r="BJ2236">
            <v>0</v>
          </cell>
        </row>
        <row r="2237">
          <cell r="D2237" t="str">
            <v>Vysoká škola múzických umení v Bratislave</v>
          </cell>
          <cell r="E2237" t="str">
            <v>Hudobná a tanečná fakulta</v>
          </cell>
          <cell r="AN2237">
            <v>6</v>
          </cell>
          <cell r="AO2237">
            <v>8</v>
          </cell>
          <cell r="AP2237">
            <v>0</v>
          </cell>
          <cell r="AQ2237">
            <v>0</v>
          </cell>
          <cell r="AR2237">
            <v>6</v>
          </cell>
          <cell r="BF2237">
            <v>9</v>
          </cell>
          <cell r="BG2237">
            <v>29.07</v>
          </cell>
          <cell r="BH2237">
            <v>29.07</v>
          </cell>
          <cell r="BI2237">
            <v>8</v>
          </cell>
          <cell r="BJ2237">
            <v>0</v>
          </cell>
        </row>
        <row r="2238">
          <cell r="D2238" t="str">
            <v>Vysoká škola múzických umení v Bratislave</v>
          </cell>
          <cell r="E2238" t="str">
            <v>Divadelná fakulta</v>
          </cell>
          <cell r="AN2238">
            <v>21</v>
          </cell>
          <cell r="AO2238">
            <v>25</v>
          </cell>
          <cell r="AP2238">
            <v>0</v>
          </cell>
          <cell r="AQ2238">
            <v>0</v>
          </cell>
          <cell r="AR2238">
            <v>21</v>
          </cell>
          <cell r="BF2238">
            <v>17.7</v>
          </cell>
          <cell r="BG2238">
            <v>17.7</v>
          </cell>
          <cell r="BH2238">
            <v>17.7</v>
          </cell>
          <cell r="BI2238">
            <v>25</v>
          </cell>
          <cell r="BJ2238">
            <v>0</v>
          </cell>
        </row>
        <row r="2239">
          <cell r="D2239" t="str">
            <v>Vysoká škola múzických umení v Bratislave</v>
          </cell>
          <cell r="E2239" t="str">
            <v>Hudobná a tanečná fakulta</v>
          </cell>
          <cell r="AN2239">
            <v>39</v>
          </cell>
          <cell r="AO2239">
            <v>40</v>
          </cell>
          <cell r="AP2239">
            <v>0</v>
          </cell>
          <cell r="AQ2239">
            <v>0</v>
          </cell>
          <cell r="AR2239">
            <v>39</v>
          </cell>
          <cell r="BF2239">
            <v>58.5</v>
          </cell>
          <cell r="BG2239">
            <v>188.95500000000001</v>
          </cell>
          <cell r="BH2239">
            <v>188.95500000000001</v>
          </cell>
          <cell r="BI2239">
            <v>40</v>
          </cell>
          <cell r="BJ2239">
            <v>0</v>
          </cell>
        </row>
        <row r="2240">
          <cell r="D2240" t="str">
            <v>Vysoká škola múzických umení v Bratislave</v>
          </cell>
          <cell r="E2240" t="str">
            <v>Hudobná a tanečná fakulta</v>
          </cell>
          <cell r="AN2240">
            <v>12</v>
          </cell>
          <cell r="AO2240">
            <v>13</v>
          </cell>
          <cell r="AP2240">
            <v>0</v>
          </cell>
          <cell r="AQ2240">
            <v>0</v>
          </cell>
          <cell r="AR2240">
            <v>12</v>
          </cell>
          <cell r="BF2240">
            <v>18</v>
          </cell>
          <cell r="BG2240">
            <v>58.14</v>
          </cell>
          <cell r="BH2240">
            <v>58.14</v>
          </cell>
          <cell r="BI2240">
            <v>13</v>
          </cell>
          <cell r="BJ2240">
            <v>0</v>
          </cell>
        </row>
        <row r="2241">
          <cell r="D2241" t="str">
            <v>Vysoká škola múzických umení v Bratislave</v>
          </cell>
          <cell r="E2241" t="str">
            <v>Divadelná fakulta</v>
          </cell>
          <cell r="AN2241">
            <v>27</v>
          </cell>
          <cell r="AO2241">
            <v>30</v>
          </cell>
          <cell r="AP2241">
            <v>0</v>
          </cell>
          <cell r="AQ2241">
            <v>0</v>
          </cell>
          <cell r="AR2241">
            <v>27</v>
          </cell>
          <cell r="BF2241">
            <v>23.7</v>
          </cell>
          <cell r="BG2241">
            <v>76.551000000000002</v>
          </cell>
          <cell r="BH2241">
            <v>71.766562500000006</v>
          </cell>
          <cell r="BI2241">
            <v>30</v>
          </cell>
          <cell r="BJ2241">
            <v>0</v>
          </cell>
        </row>
        <row r="2242">
          <cell r="D2242" t="str">
            <v>Vysoká škola múzických umení v Bratislave</v>
          </cell>
          <cell r="E2242" t="str">
            <v>Filmová a televízna fakulta</v>
          </cell>
          <cell r="AN2242">
            <v>22</v>
          </cell>
          <cell r="AO2242">
            <v>28</v>
          </cell>
          <cell r="AP2242">
            <v>0</v>
          </cell>
          <cell r="AQ2242">
            <v>0</v>
          </cell>
          <cell r="AR2242">
            <v>22</v>
          </cell>
          <cell r="BF2242">
            <v>18.399999999999999</v>
          </cell>
          <cell r="BG2242">
            <v>59.431999999999995</v>
          </cell>
          <cell r="BH2242">
            <v>52.828444444444436</v>
          </cell>
          <cell r="BI2242">
            <v>28</v>
          </cell>
          <cell r="BJ2242">
            <v>0</v>
          </cell>
        </row>
        <row r="2243">
          <cell r="D2243" t="str">
            <v>Vysoká škola múzických umení v Bratislave</v>
          </cell>
          <cell r="E2243" t="str">
            <v>Filmová a televízna fakulta</v>
          </cell>
          <cell r="AN2243">
            <v>21</v>
          </cell>
          <cell r="AO2243">
            <v>24</v>
          </cell>
          <cell r="AP2243">
            <v>0</v>
          </cell>
          <cell r="AQ2243">
            <v>0</v>
          </cell>
          <cell r="AR2243">
            <v>21</v>
          </cell>
          <cell r="BF2243">
            <v>18.600000000000001</v>
          </cell>
          <cell r="BG2243">
            <v>60.078000000000003</v>
          </cell>
          <cell r="BH2243">
            <v>60.078000000000003</v>
          </cell>
          <cell r="BI2243">
            <v>24</v>
          </cell>
          <cell r="BJ2243">
            <v>0</v>
          </cell>
        </row>
        <row r="2244">
          <cell r="D2244" t="str">
            <v>Vysoká škola múzických umení v Bratislave</v>
          </cell>
          <cell r="E2244" t="str">
            <v>Hudobná a tanečná fakulta</v>
          </cell>
          <cell r="AN2244">
            <v>17</v>
          </cell>
          <cell r="AO2244">
            <v>18</v>
          </cell>
          <cell r="AP2244">
            <v>0</v>
          </cell>
          <cell r="AQ2244">
            <v>0</v>
          </cell>
          <cell r="AR2244">
            <v>17</v>
          </cell>
          <cell r="BF2244">
            <v>15.5</v>
          </cell>
          <cell r="BG2244">
            <v>50.064999999999998</v>
          </cell>
          <cell r="BH2244">
            <v>50.064999999999998</v>
          </cell>
          <cell r="BI2244">
            <v>18</v>
          </cell>
          <cell r="BJ2244">
            <v>0</v>
          </cell>
        </row>
        <row r="2245">
          <cell r="D2245" t="str">
            <v>Vysoká škola múzických umení v Bratislave</v>
          </cell>
          <cell r="E2245" t="str">
            <v>Hudobná a tanečná fakulta</v>
          </cell>
          <cell r="AN2245">
            <v>13</v>
          </cell>
          <cell r="AO2245">
            <v>19</v>
          </cell>
          <cell r="AP2245">
            <v>0</v>
          </cell>
          <cell r="AQ2245">
            <v>0</v>
          </cell>
          <cell r="AR2245">
            <v>13</v>
          </cell>
          <cell r="BF2245">
            <v>11.5</v>
          </cell>
          <cell r="BG2245">
            <v>37.145000000000003</v>
          </cell>
          <cell r="BH2245">
            <v>37.145000000000003</v>
          </cell>
          <cell r="BI2245">
            <v>19</v>
          </cell>
          <cell r="BJ2245">
            <v>0</v>
          </cell>
        </row>
        <row r="2246">
          <cell r="D2246" t="str">
            <v>Vysoká škola múzických umení v Bratislave</v>
          </cell>
          <cell r="E2246" t="str">
            <v>Hudobná a tanečná fakulta</v>
          </cell>
          <cell r="AN2246">
            <v>36</v>
          </cell>
          <cell r="AO2246">
            <v>36</v>
          </cell>
          <cell r="AP2246">
            <v>0</v>
          </cell>
          <cell r="AQ2246">
            <v>0</v>
          </cell>
          <cell r="AR2246">
            <v>36</v>
          </cell>
          <cell r="BF2246">
            <v>31.799999999999997</v>
          </cell>
          <cell r="BG2246">
            <v>102.71399999999998</v>
          </cell>
          <cell r="BH2246">
            <v>102.71399999999998</v>
          </cell>
          <cell r="BI2246">
            <v>36</v>
          </cell>
          <cell r="BJ2246">
            <v>0</v>
          </cell>
        </row>
        <row r="2247">
          <cell r="D2247" t="str">
            <v>Vysoká škola múzických umení v Bratislave</v>
          </cell>
          <cell r="E2247" t="str">
            <v>Hudobná a tanečná fakulta</v>
          </cell>
          <cell r="AN2247">
            <v>18</v>
          </cell>
          <cell r="AO2247">
            <v>20</v>
          </cell>
          <cell r="AP2247">
            <v>0</v>
          </cell>
          <cell r="AQ2247">
            <v>0</v>
          </cell>
          <cell r="AR2247">
            <v>18</v>
          </cell>
          <cell r="BF2247">
            <v>16.5</v>
          </cell>
          <cell r="BG2247">
            <v>16.5</v>
          </cell>
          <cell r="BH2247">
            <v>16.5</v>
          </cell>
          <cell r="BI2247">
            <v>20</v>
          </cell>
          <cell r="BJ2247">
            <v>0</v>
          </cell>
        </row>
        <row r="2248">
          <cell r="D2248" t="str">
            <v>Vysoká škola múzických umení v Bratislave</v>
          </cell>
          <cell r="E2248" t="str">
            <v>Divadelná fakulta</v>
          </cell>
          <cell r="AN2248">
            <v>14</v>
          </cell>
          <cell r="AO2248">
            <v>14</v>
          </cell>
          <cell r="AP2248">
            <v>0</v>
          </cell>
          <cell r="AQ2248">
            <v>0</v>
          </cell>
          <cell r="AR2248">
            <v>14</v>
          </cell>
          <cell r="BF2248">
            <v>12.8</v>
          </cell>
          <cell r="BG2248">
            <v>41.344000000000001</v>
          </cell>
          <cell r="BH2248">
            <v>41.344000000000001</v>
          </cell>
          <cell r="BI2248">
            <v>14</v>
          </cell>
          <cell r="BJ2248">
            <v>0</v>
          </cell>
        </row>
        <row r="2249">
          <cell r="D2249" t="str">
            <v>Vysoká škola múzických umení v Bratislave</v>
          </cell>
          <cell r="E2249" t="str">
            <v>Divadelná fakulta</v>
          </cell>
          <cell r="AN2249">
            <v>7</v>
          </cell>
          <cell r="AO2249">
            <v>9</v>
          </cell>
          <cell r="AP2249">
            <v>0</v>
          </cell>
          <cell r="AQ2249">
            <v>0</v>
          </cell>
          <cell r="AR2249">
            <v>7</v>
          </cell>
          <cell r="BF2249">
            <v>6.4</v>
          </cell>
          <cell r="BG2249">
            <v>20.672000000000001</v>
          </cell>
          <cell r="BH2249">
            <v>20.672000000000001</v>
          </cell>
          <cell r="BI2249">
            <v>9</v>
          </cell>
          <cell r="BJ2249">
            <v>0</v>
          </cell>
        </row>
        <row r="2250">
          <cell r="D2250" t="str">
            <v>Vysoká škola múzických umení v Bratislave</v>
          </cell>
          <cell r="E2250" t="str">
            <v>Divadelná fakulta</v>
          </cell>
          <cell r="AN2250">
            <v>12</v>
          </cell>
          <cell r="AO2250">
            <v>14</v>
          </cell>
          <cell r="AP2250">
            <v>0</v>
          </cell>
          <cell r="AQ2250">
            <v>0</v>
          </cell>
          <cell r="AR2250">
            <v>12</v>
          </cell>
          <cell r="BF2250">
            <v>10.8</v>
          </cell>
          <cell r="BG2250">
            <v>34.884</v>
          </cell>
          <cell r="BH2250">
            <v>34.884</v>
          </cell>
          <cell r="BI2250">
            <v>14</v>
          </cell>
          <cell r="BJ2250">
            <v>0</v>
          </cell>
        </row>
        <row r="2251">
          <cell r="D2251" t="str">
            <v>Vysoká škola múzických umení v Bratislave</v>
          </cell>
          <cell r="E2251" t="str">
            <v>Hudobná a tanečná fakulta</v>
          </cell>
          <cell r="AN2251">
            <v>4</v>
          </cell>
          <cell r="AO2251">
            <v>0</v>
          </cell>
          <cell r="AP2251">
            <v>0</v>
          </cell>
          <cell r="AQ2251">
            <v>0</v>
          </cell>
          <cell r="AR2251">
            <v>4</v>
          </cell>
          <cell r="BF2251">
            <v>16</v>
          </cell>
          <cell r="BG2251">
            <v>17.600000000000001</v>
          </cell>
          <cell r="BH2251">
            <v>17.600000000000001</v>
          </cell>
          <cell r="BI2251">
            <v>4</v>
          </cell>
          <cell r="BJ2251">
            <v>4</v>
          </cell>
        </row>
        <row r="2252">
          <cell r="D2252" t="str">
            <v>Katolícka univerzita v Ružomberku</v>
          </cell>
          <cell r="E2252" t="str">
            <v>Filozofická fakulta</v>
          </cell>
          <cell r="AN2252">
            <v>5</v>
          </cell>
          <cell r="AO2252">
            <v>0</v>
          </cell>
          <cell r="AP2252">
            <v>0</v>
          </cell>
          <cell r="AQ2252">
            <v>0</v>
          </cell>
          <cell r="AR2252">
            <v>5</v>
          </cell>
          <cell r="BF2252">
            <v>20</v>
          </cell>
          <cell r="BG2252">
            <v>22</v>
          </cell>
          <cell r="BH2252">
            <v>22</v>
          </cell>
          <cell r="BI2252">
            <v>5</v>
          </cell>
          <cell r="BJ2252">
            <v>5</v>
          </cell>
        </row>
        <row r="2253">
          <cell r="D2253" t="str">
            <v>Katolícka univerzita v Ružomberku</v>
          </cell>
          <cell r="E2253" t="str">
            <v>Filozofická fakulta</v>
          </cell>
          <cell r="AN2253">
            <v>28</v>
          </cell>
          <cell r="AO2253">
            <v>34</v>
          </cell>
          <cell r="AP2253">
            <v>0</v>
          </cell>
          <cell r="AQ2253">
            <v>0</v>
          </cell>
          <cell r="AR2253">
            <v>28</v>
          </cell>
          <cell r="BF2253">
            <v>42</v>
          </cell>
          <cell r="BG2253">
            <v>42</v>
          </cell>
          <cell r="BH2253">
            <v>33.6</v>
          </cell>
          <cell r="BI2253">
            <v>34</v>
          </cell>
          <cell r="BJ2253">
            <v>0</v>
          </cell>
        </row>
        <row r="2254">
          <cell r="D2254" t="str">
            <v>Katolícka univerzita v Ružomberku</v>
          </cell>
          <cell r="E2254" t="str">
            <v>Filozofická fakulta</v>
          </cell>
          <cell r="AN2254">
            <v>0</v>
          </cell>
          <cell r="AO2254">
            <v>1</v>
          </cell>
          <cell r="AP2254">
            <v>0</v>
          </cell>
          <cell r="AQ2254">
            <v>0</v>
          </cell>
          <cell r="AR2254">
            <v>0</v>
          </cell>
          <cell r="BF2254">
            <v>0</v>
          </cell>
          <cell r="BG2254">
            <v>0</v>
          </cell>
          <cell r="BH2254">
            <v>0</v>
          </cell>
          <cell r="BI2254">
            <v>1</v>
          </cell>
          <cell r="BJ2254">
            <v>0</v>
          </cell>
        </row>
        <row r="2255">
          <cell r="D2255" t="str">
            <v>Katolícka univerzita v Ružomberku</v>
          </cell>
          <cell r="E2255" t="str">
            <v>Filozofická fakulta</v>
          </cell>
          <cell r="AN2255">
            <v>6</v>
          </cell>
          <cell r="AO2255">
            <v>8</v>
          </cell>
          <cell r="AP2255">
            <v>0</v>
          </cell>
          <cell r="AQ2255">
            <v>0</v>
          </cell>
          <cell r="AR2255">
            <v>6</v>
          </cell>
          <cell r="BF2255">
            <v>4.8</v>
          </cell>
          <cell r="BG2255">
            <v>4.8</v>
          </cell>
          <cell r="BH2255">
            <v>4.8</v>
          </cell>
          <cell r="BI2255">
            <v>8</v>
          </cell>
          <cell r="BJ2255">
            <v>0</v>
          </cell>
        </row>
        <row r="2256">
          <cell r="D2256" t="str">
            <v>Katolícka univerzita v Ružomberku</v>
          </cell>
          <cell r="E2256" t="str">
            <v>Filozofická fakulta</v>
          </cell>
          <cell r="AN2256">
            <v>25</v>
          </cell>
          <cell r="AO2256">
            <v>35</v>
          </cell>
          <cell r="AP2256">
            <v>0</v>
          </cell>
          <cell r="AQ2256">
            <v>0</v>
          </cell>
          <cell r="AR2256">
            <v>25</v>
          </cell>
          <cell r="BF2256">
            <v>19</v>
          </cell>
          <cell r="BG2256">
            <v>19.760000000000002</v>
          </cell>
          <cell r="BH2256">
            <v>11.291428571428572</v>
          </cell>
          <cell r="BI2256">
            <v>35</v>
          </cell>
          <cell r="BJ2256">
            <v>0</v>
          </cell>
        </row>
        <row r="2257">
          <cell r="D2257" t="str">
            <v>Katolícka univerzita v Ružomberku</v>
          </cell>
          <cell r="E2257" t="str">
            <v>Filozofická fakulta</v>
          </cell>
          <cell r="AN2257">
            <v>9</v>
          </cell>
          <cell r="AO2257">
            <v>9</v>
          </cell>
          <cell r="AP2257">
            <v>0</v>
          </cell>
          <cell r="AQ2257">
            <v>0</v>
          </cell>
          <cell r="AR2257">
            <v>9</v>
          </cell>
          <cell r="BF2257">
            <v>7.5</v>
          </cell>
          <cell r="BG2257">
            <v>8.1750000000000007</v>
          </cell>
          <cell r="BH2257">
            <v>8.1750000000000007</v>
          </cell>
          <cell r="BI2257">
            <v>9</v>
          </cell>
          <cell r="BJ2257">
            <v>0</v>
          </cell>
        </row>
        <row r="2258">
          <cell r="D2258" t="str">
            <v>Katolícka univerzita v Ružomberku</v>
          </cell>
          <cell r="E2258" t="str">
            <v>Pedagogická fakulta</v>
          </cell>
          <cell r="AN2258">
            <v>0.5</v>
          </cell>
          <cell r="AO2258">
            <v>1.5</v>
          </cell>
          <cell r="AP2258">
            <v>0</v>
          </cell>
          <cell r="AQ2258">
            <v>0</v>
          </cell>
          <cell r="AR2258">
            <v>0.5</v>
          </cell>
          <cell r="BF2258">
            <v>0.75</v>
          </cell>
          <cell r="BG2258">
            <v>1.6124999999999998</v>
          </cell>
          <cell r="BH2258">
            <v>1.4732913669064747</v>
          </cell>
          <cell r="BI2258">
            <v>1.5</v>
          </cell>
          <cell r="BJ2258">
            <v>0</v>
          </cell>
        </row>
        <row r="2259">
          <cell r="D2259" t="str">
            <v>Slovenská poľnohospodárska univerzita v Nitre</v>
          </cell>
          <cell r="E2259" t="str">
            <v>Technická fakulta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R2259">
            <v>0</v>
          </cell>
          <cell r="BF2259">
            <v>0</v>
          </cell>
          <cell r="BG2259">
            <v>0</v>
          </cell>
          <cell r="BH2259">
            <v>0</v>
          </cell>
          <cell r="BI2259">
            <v>12</v>
          </cell>
          <cell r="BJ2259">
            <v>0</v>
          </cell>
        </row>
        <row r="2260">
          <cell r="D2260" t="str">
            <v>Slovenská poľnohospodárska univerzita v Nitre</v>
          </cell>
          <cell r="E2260" t="str">
            <v>Fakulta agrobiológie a potravinových zdrojov</v>
          </cell>
          <cell r="AN2260">
            <v>0</v>
          </cell>
          <cell r="AO2260">
            <v>0</v>
          </cell>
          <cell r="AP2260">
            <v>0</v>
          </cell>
          <cell r="AQ2260">
            <v>0</v>
          </cell>
          <cell r="AR2260">
            <v>0</v>
          </cell>
          <cell r="BF2260">
            <v>0</v>
          </cell>
          <cell r="BG2260">
            <v>0</v>
          </cell>
          <cell r="BH2260">
            <v>0</v>
          </cell>
          <cell r="BI2260">
            <v>29</v>
          </cell>
          <cell r="BJ2260">
            <v>0</v>
          </cell>
        </row>
        <row r="2261">
          <cell r="D2261" t="str">
            <v>Slovenská poľnohospodárska univerzita v Nitre</v>
          </cell>
          <cell r="E2261" t="str">
            <v>Fakulta biotechnológie a potravinárstva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BF2261">
            <v>0</v>
          </cell>
          <cell r="BG2261">
            <v>0</v>
          </cell>
          <cell r="BH2261">
            <v>0</v>
          </cell>
          <cell r="BI2261">
            <v>3</v>
          </cell>
          <cell r="BJ2261">
            <v>0</v>
          </cell>
        </row>
        <row r="2262">
          <cell r="D2262" t="str">
            <v>Slovenská poľnohospodárska univerzita v Nitre</v>
          </cell>
          <cell r="E2262" t="str">
            <v>Fakulta európskych štúdií a regionálneho rozvoja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BF2262">
            <v>0</v>
          </cell>
          <cell r="BG2262">
            <v>0</v>
          </cell>
          <cell r="BH2262">
            <v>0</v>
          </cell>
          <cell r="BI2262">
            <v>17</v>
          </cell>
          <cell r="BJ2262">
            <v>0</v>
          </cell>
        </row>
        <row r="2263">
          <cell r="D2263" t="str">
            <v>Slovenská poľnohospodárska univerzita v Nitre</v>
          </cell>
          <cell r="E2263" t="str">
            <v>Fakulta agrobiológie a potravinových zdrojov</v>
          </cell>
          <cell r="AN2263">
            <v>0</v>
          </cell>
          <cell r="AO2263">
            <v>0</v>
          </cell>
          <cell r="AP2263">
            <v>0</v>
          </cell>
          <cell r="AQ2263">
            <v>0</v>
          </cell>
          <cell r="AR2263">
            <v>0</v>
          </cell>
          <cell r="BF2263">
            <v>0</v>
          </cell>
          <cell r="BG2263">
            <v>0</v>
          </cell>
          <cell r="BH2263">
            <v>0</v>
          </cell>
          <cell r="BI2263">
            <v>5</v>
          </cell>
          <cell r="BJ2263">
            <v>0</v>
          </cell>
        </row>
        <row r="2264">
          <cell r="D2264" t="str">
            <v>Slovenská poľnohospodárska univerzita v Nitre</v>
          </cell>
          <cell r="E2264" t="str">
            <v>Fakulta agrobiológie a potravinových zdrojov</v>
          </cell>
          <cell r="AN2264">
            <v>0</v>
          </cell>
          <cell r="AO2264">
            <v>0</v>
          </cell>
          <cell r="AP2264">
            <v>0</v>
          </cell>
          <cell r="AQ2264">
            <v>0</v>
          </cell>
          <cell r="AR2264">
            <v>0</v>
          </cell>
          <cell r="BF2264">
            <v>0</v>
          </cell>
          <cell r="BG2264">
            <v>0</v>
          </cell>
          <cell r="BH2264">
            <v>0</v>
          </cell>
          <cell r="BI2264">
            <v>2</v>
          </cell>
          <cell r="BJ2264">
            <v>0</v>
          </cell>
        </row>
        <row r="2265">
          <cell r="D2265" t="str">
            <v>Slovenská poľnohospodárska univerzita v Nitre</v>
          </cell>
          <cell r="E2265" t="str">
            <v>Fakulta európskych štúdií a regionálneho rozvoja</v>
          </cell>
          <cell r="AN2265">
            <v>0</v>
          </cell>
          <cell r="AO2265">
            <v>0</v>
          </cell>
          <cell r="AP2265">
            <v>0</v>
          </cell>
          <cell r="AQ2265">
            <v>0</v>
          </cell>
          <cell r="AR2265">
            <v>0</v>
          </cell>
          <cell r="BF2265">
            <v>0</v>
          </cell>
          <cell r="BG2265">
            <v>0</v>
          </cell>
          <cell r="BH2265">
            <v>0</v>
          </cell>
          <cell r="BI2265">
            <v>15</v>
          </cell>
          <cell r="BJ2265">
            <v>0</v>
          </cell>
        </row>
        <row r="2266">
          <cell r="D2266" t="str">
            <v>Slovenská poľnohospodárska univerzita v Nitre</v>
          </cell>
          <cell r="E2266" t="str">
            <v>Fakulta agrobiológie a potravinových zdrojov</v>
          </cell>
          <cell r="AN2266">
            <v>4</v>
          </cell>
          <cell r="AO2266">
            <v>0</v>
          </cell>
          <cell r="AP2266">
            <v>0</v>
          </cell>
          <cell r="AQ2266">
            <v>0</v>
          </cell>
          <cell r="AR2266">
            <v>4</v>
          </cell>
          <cell r="BF2266">
            <v>16</v>
          </cell>
          <cell r="BG2266">
            <v>34.08</v>
          </cell>
          <cell r="BH2266">
            <v>27.883636363636359</v>
          </cell>
          <cell r="BI2266">
            <v>4</v>
          </cell>
          <cell r="BJ2266">
            <v>4</v>
          </cell>
        </row>
        <row r="2267">
          <cell r="D2267" t="str">
            <v>Slovenská poľnohospodárska univerzita v Nitre</v>
          </cell>
          <cell r="E2267" t="str">
            <v>Fakulta agrobiológie a potravinových zdrojov</v>
          </cell>
          <cell r="AN2267">
            <v>4</v>
          </cell>
          <cell r="AO2267">
            <v>0</v>
          </cell>
          <cell r="AP2267">
            <v>0</v>
          </cell>
          <cell r="AQ2267">
            <v>0</v>
          </cell>
          <cell r="AR2267">
            <v>4</v>
          </cell>
          <cell r="BF2267">
            <v>16</v>
          </cell>
          <cell r="BG2267">
            <v>34.08</v>
          </cell>
          <cell r="BH2267">
            <v>34.08</v>
          </cell>
          <cell r="BI2267">
            <v>4</v>
          </cell>
          <cell r="BJ2267">
            <v>4</v>
          </cell>
        </row>
        <row r="2268">
          <cell r="D2268" t="str">
            <v>Slovenská poľnohospodárska univerzita v Nitre</v>
          </cell>
          <cell r="E2268" t="str">
            <v>Fakulta ekonomiky a manažmentu</v>
          </cell>
          <cell r="AN2268">
            <v>0</v>
          </cell>
          <cell r="AO2268">
            <v>0</v>
          </cell>
          <cell r="AP2268">
            <v>0</v>
          </cell>
          <cell r="AQ2268">
            <v>0</v>
          </cell>
          <cell r="AR2268">
            <v>0</v>
          </cell>
          <cell r="BF2268">
            <v>0</v>
          </cell>
          <cell r="BG2268">
            <v>0</v>
          </cell>
          <cell r="BH2268">
            <v>0</v>
          </cell>
          <cell r="BI2268">
            <v>19</v>
          </cell>
          <cell r="BJ2268">
            <v>0</v>
          </cell>
        </row>
        <row r="2269">
          <cell r="D2269" t="str">
            <v>Slovenská poľnohospodárska univerzita v Nitre</v>
          </cell>
          <cell r="E2269" t="str">
            <v>Fakulta záhradníctva a krajinného inžinierstva</v>
          </cell>
          <cell r="AN2269">
            <v>5</v>
          </cell>
          <cell r="AO2269">
            <v>0</v>
          </cell>
          <cell r="AP2269">
            <v>0</v>
          </cell>
          <cell r="AQ2269">
            <v>0</v>
          </cell>
          <cell r="AR2269">
            <v>5</v>
          </cell>
          <cell r="BF2269">
            <v>20</v>
          </cell>
          <cell r="BG2269">
            <v>42.599999999999994</v>
          </cell>
          <cell r="BH2269">
            <v>34.854545454545445</v>
          </cell>
          <cell r="BI2269">
            <v>5</v>
          </cell>
          <cell r="BJ2269">
            <v>5</v>
          </cell>
        </row>
        <row r="2270">
          <cell r="D2270" t="str">
            <v>Slovenská poľnohospodárska univerzita v Nitre</v>
          </cell>
          <cell r="E2270" t="str">
            <v>Fakulta záhradníctva a krajinného inžinierstva</v>
          </cell>
          <cell r="AN2270">
            <v>5</v>
          </cell>
          <cell r="AO2270">
            <v>0</v>
          </cell>
          <cell r="AP2270">
            <v>0</v>
          </cell>
          <cell r="AQ2270">
            <v>0</v>
          </cell>
          <cell r="AR2270">
            <v>5</v>
          </cell>
          <cell r="BF2270">
            <v>20</v>
          </cell>
          <cell r="BG2270">
            <v>42.599999999999994</v>
          </cell>
          <cell r="BH2270">
            <v>42.599999999999994</v>
          </cell>
          <cell r="BI2270">
            <v>5</v>
          </cell>
          <cell r="BJ2270">
            <v>5</v>
          </cell>
        </row>
        <row r="2271">
          <cell r="D2271" t="str">
            <v>Slovenská poľnohospodárska univerzita v Nitre</v>
          </cell>
          <cell r="E2271" t="str">
            <v>Fakulta agrobiológie a potravinových zdrojov</v>
          </cell>
          <cell r="AN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BF2271">
            <v>0</v>
          </cell>
          <cell r="BG2271">
            <v>0</v>
          </cell>
          <cell r="BH2271">
            <v>0</v>
          </cell>
          <cell r="BI2271">
            <v>3</v>
          </cell>
          <cell r="BJ2271">
            <v>0</v>
          </cell>
        </row>
        <row r="2272">
          <cell r="D2272" t="str">
            <v>Slovenská poľnohospodárska univerzita v Nitre</v>
          </cell>
          <cell r="E2272" t="str">
            <v>Fakulta európskych štúdií a regionálneho rozvoja</v>
          </cell>
          <cell r="AN2272">
            <v>1</v>
          </cell>
          <cell r="AO2272">
            <v>0</v>
          </cell>
          <cell r="AP2272">
            <v>0</v>
          </cell>
          <cell r="AQ2272">
            <v>0</v>
          </cell>
          <cell r="AR2272">
            <v>1</v>
          </cell>
          <cell r="BF2272">
            <v>4</v>
          </cell>
          <cell r="BG2272">
            <v>8.52</v>
          </cell>
          <cell r="BH2272">
            <v>7.4975999999999994</v>
          </cell>
          <cell r="BI2272">
            <v>1</v>
          </cell>
          <cell r="BJ2272">
            <v>1</v>
          </cell>
        </row>
        <row r="2273">
          <cell r="D2273" t="str">
            <v>Slovenská poľnohospodárska univerzita v Nitre</v>
          </cell>
          <cell r="E2273" t="str">
            <v>Fakulta ekonomiky a manažmentu</v>
          </cell>
          <cell r="AN2273">
            <v>8</v>
          </cell>
          <cell r="AO2273">
            <v>0</v>
          </cell>
          <cell r="AP2273">
            <v>0</v>
          </cell>
          <cell r="AQ2273">
            <v>0</v>
          </cell>
          <cell r="AR2273">
            <v>8</v>
          </cell>
          <cell r="BF2273">
            <v>32</v>
          </cell>
          <cell r="BG2273">
            <v>35.200000000000003</v>
          </cell>
          <cell r="BH2273">
            <v>35.200000000000003</v>
          </cell>
          <cell r="BI2273">
            <v>8</v>
          </cell>
          <cell r="BJ2273">
            <v>8</v>
          </cell>
        </row>
        <row r="2274">
          <cell r="D2274" t="str">
            <v>Slovenská poľnohospodárska univerzita v Nitre</v>
          </cell>
          <cell r="E2274" t="str">
            <v>Fakulta ekonomiky a manažmentu</v>
          </cell>
          <cell r="AN2274">
            <v>10</v>
          </cell>
          <cell r="AO2274">
            <v>0</v>
          </cell>
          <cell r="AP2274">
            <v>0</v>
          </cell>
          <cell r="AQ2274">
            <v>0</v>
          </cell>
          <cell r="AR2274">
            <v>10</v>
          </cell>
          <cell r="BF2274">
            <v>40</v>
          </cell>
          <cell r="BG2274">
            <v>44</v>
          </cell>
          <cell r="BH2274">
            <v>44</v>
          </cell>
          <cell r="BI2274">
            <v>10</v>
          </cell>
          <cell r="BJ2274">
            <v>10</v>
          </cell>
        </row>
        <row r="2275">
          <cell r="D2275" t="str">
            <v>Slovenská poľnohospodárska univerzita v Nitre</v>
          </cell>
          <cell r="E2275" t="str">
            <v>Fakulta agrobiológie a potravinových zdrojov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BF2275">
            <v>0</v>
          </cell>
          <cell r="BG2275">
            <v>0</v>
          </cell>
          <cell r="BH2275">
            <v>0</v>
          </cell>
          <cell r="BI2275">
            <v>3</v>
          </cell>
          <cell r="BJ2275">
            <v>0</v>
          </cell>
        </row>
        <row r="2276">
          <cell r="D2276" t="str">
            <v>Slovenská poľnohospodárska univerzita v Nitre</v>
          </cell>
          <cell r="E2276" t="str">
            <v>Fakulta ekonomiky a manažmentu</v>
          </cell>
          <cell r="AN2276">
            <v>4</v>
          </cell>
          <cell r="AO2276">
            <v>0</v>
          </cell>
          <cell r="AP2276">
            <v>0</v>
          </cell>
          <cell r="AQ2276">
            <v>0</v>
          </cell>
          <cell r="AR2276">
            <v>4</v>
          </cell>
          <cell r="BF2276">
            <v>16</v>
          </cell>
          <cell r="BG2276">
            <v>17.600000000000001</v>
          </cell>
          <cell r="BH2276">
            <v>17.600000000000001</v>
          </cell>
          <cell r="BI2276">
            <v>4</v>
          </cell>
          <cell r="BJ2276">
            <v>4</v>
          </cell>
        </row>
        <row r="2277">
          <cell r="D2277" t="str">
            <v>Slovenská poľnohospodárska univerzita v Nitre</v>
          </cell>
          <cell r="E2277" t="str">
            <v>Technická fakulta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BF2277">
            <v>0</v>
          </cell>
          <cell r="BG2277">
            <v>0</v>
          </cell>
          <cell r="BH2277">
            <v>0</v>
          </cell>
          <cell r="BI2277">
            <v>29</v>
          </cell>
          <cell r="BJ2277">
            <v>0</v>
          </cell>
        </row>
        <row r="2278">
          <cell r="D2278" t="str">
            <v>Slovenská poľnohospodárska univerzita v Nitre</v>
          </cell>
          <cell r="E2278" t="str">
            <v>Fakulta agrobiológie a potravinových zdrojov</v>
          </cell>
          <cell r="AN2278">
            <v>2</v>
          </cell>
          <cell r="AO2278">
            <v>0</v>
          </cell>
          <cell r="AP2278">
            <v>0</v>
          </cell>
          <cell r="AQ2278">
            <v>0</v>
          </cell>
          <cell r="AR2278">
            <v>2</v>
          </cell>
          <cell r="BF2278">
            <v>8</v>
          </cell>
          <cell r="BG2278">
            <v>17.04</v>
          </cell>
          <cell r="BH2278">
            <v>13.94181818181818</v>
          </cell>
          <cell r="BI2278">
            <v>2</v>
          </cell>
          <cell r="BJ2278">
            <v>2</v>
          </cell>
        </row>
        <row r="2279">
          <cell r="D2279" t="str">
            <v>Slovenská poľnohospodárska univerzita v Nitre</v>
          </cell>
          <cell r="E2279" t="str">
            <v>Technická fakulta</v>
          </cell>
          <cell r="AN2279">
            <v>3</v>
          </cell>
          <cell r="AO2279">
            <v>0</v>
          </cell>
          <cell r="AP2279">
            <v>0</v>
          </cell>
          <cell r="AQ2279">
            <v>3</v>
          </cell>
          <cell r="AR2279">
            <v>3</v>
          </cell>
          <cell r="BF2279">
            <v>12</v>
          </cell>
          <cell r="BG2279">
            <v>25.56</v>
          </cell>
          <cell r="BH2279">
            <v>25.56</v>
          </cell>
          <cell r="BI2279">
            <v>3</v>
          </cell>
          <cell r="BJ2279">
            <v>3</v>
          </cell>
        </row>
        <row r="2280">
          <cell r="D2280" t="str">
            <v>Slovenská poľnohospodárska univerzita v Nitre</v>
          </cell>
          <cell r="E2280" t="str">
            <v>Fakulta agrobiológie a potravinových zdrojov</v>
          </cell>
          <cell r="AN2280">
            <v>5</v>
          </cell>
          <cell r="AO2280">
            <v>0</v>
          </cell>
          <cell r="AP2280">
            <v>0</v>
          </cell>
          <cell r="AQ2280">
            <v>0</v>
          </cell>
          <cell r="AR2280">
            <v>5</v>
          </cell>
          <cell r="BF2280">
            <v>20</v>
          </cell>
          <cell r="BG2280">
            <v>42.599999999999994</v>
          </cell>
          <cell r="BH2280">
            <v>42.599999999999994</v>
          </cell>
          <cell r="BI2280">
            <v>5</v>
          </cell>
          <cell r="BJ2280">
            <v>5</v>
          </cell>
        </row>
        <row r="2281">
          <cell r="D2281" t="str">
            <v>Slovenská poľnohospodárska univerzita v Nitre</v>
          </cell>
          <cell r="E2281" t="str">
            <v>Fakulta agrobiológie a potravinových zdrojov</v>
          </cell>
          <cell r="AN2281">
            <v>3</v>
          </cell>
          <cell r="AO2281">
            <v>0</v>
          </cell>
          <cell r="AP2281">
            <v>0</v>
          </cell>
          <cell r="AQ2281">
            <v>0</v>
          </cell>
          <cell r="AR2281">
            <v>3</v>
          </cell>
          <cell r="BF2281">
            <v>12</v>
          </cell>
          <cell r="BG2281">
            <v>25.56</v>
          </cell>
          <cell r="BH2281">
            <v>0</v>
          </cell>
          <cell r="BI2281">
            <v>3</v>
          </cell>
          <cell r="BJ2281">
            <v>3</v>
          </cell>
        </row>
        <row r="2282">
          <cell r="D2282" t="str">
            <v>Slovenská poľnohospodárska univerzita v Nitre</v>
          </cell>
          <cell r="E2282" t="str">
            <v>Fakulta agrobiológie a potravinových zdrojov</v>
          </cell>
          <cell r="AN2282">
            <v>5</v>
          </cell>
          <cell r="AO2282">
            <v>0</v>
          </cell>
          <cell r="AP2282">
            <v>0</v>
          </cell>
          <cell r="AQ2282">
            <v>0</v>
          </cell>
          <cell r="AR2282">
            <v>5</v>
          </cell>
          <cell r="BF2282">
            <v>20</v>
          </cell>
          <cell r="BG2282">
            <v>42.599999999999994</v>
          </cell>
          <cell r="BH2282">
            <v>31.949999999999996</v>
          </cell>
          <cell r="BI2282">
            <v>5</v>
          </cell>
          <cell r="BJ2282">
            <v>5</v>
          </cell>
        </row>
        <row r="2283">
          <cell r="D2283" t="str">
            <v>Slovenská poľnohospodárska univerzita v Nitre</v>
          </cell>
          <cell r="E2283" t="str">
            <v>Fakulta európskych štúdií a regionálneho rozvoja</v>
          </cell>
          <cell r="AN2283">
            <v>4</v>
          </cell>
          <cell r="AO2283">
            <v>0</v>
          </cell>
          <cell r="AP2283">
            <v>0</v>
          </cell>
          <cell r="AQ2283">
            <v>0</v>
          </cell>
          <cell r="AR2283">
            <v>4</v>
          </cell>
          <cell r="BF2283">
            <v>16</v>
          </cell>
          <cell r="BG2283">
            <v>17.600000000000001</v>
          </cell>
          <cell r="BH2283">
            <v>17.600000000000001</v>
          </cell>
          <cell r="BI2283">
            <v>4</v>
          </cell>
          <cell r="BJ2283">
            <v>4</v>
          </cell>
        </row>
        <row r="2284">
          <cell r="D2284" t="str">
            <v>Slovenská poľnohospodárska univerzita v Nitre</v>
          </cell>
          <cell r="E2284" t="str">
            <v>Technická fakulta</v>
          </cell>
          <cell r="AN2284">
            <v>5</v>
          </cell>
          <cell r="AO2284">
            <v>0</v>
          </cell>
          <cell r="AP2284">
            <v>0</v>
          </cell>
          <cell r="AQ2284">
            <v>0</v>
          </cell>
          <cell r="AR2284">
            <v>5</v>
          </cell>
          <cell r="BF2284">
            <v>20</v>
          </cell>
          <cell r="BG2284">
            <v>42.599999999999994</v>
          </cell>
          <cell r="BH2284">
            <v>21.299999999999997</v>
          </cell>
          <cell r="BI2284">
            <v>5</v>
          </cell>
          <cell r="BJ2284">
            <v>5</v>
          </cell>
        </row>
        <row r="2285">
          <cell r="D2285" t="str">
            <v>Slovenská poľnohospodárska univerzita v Nitre</v>
          </cell>
          <cell r="E2285" t="str">
            <v>Technická fakulta</v>
          </cell>
          <cell r="AN2285">
            <v>5</v>
          </cell>
          <cell r="AO2285">
            <v>0</v>
          </cell>
          <cell r="AP2285">
            <v>0</v>
          </cell>
          <cell r="AQ2285">
            <v>5</v>
          </cell>
          <cell r="AR2285">
            <v>5</v>
          </cell>
          <cell r="BF2285">
            <v>20</v>
          </cell>
          <cell r="BG2285">
            <v>42.599999999999994</v>
          </cell>
          <cell r="BH2285">
            <v>42.599999999999994</v>
          </cell>
          <cell r="BI2285">
            <v>5</v>
          </cell>
          <cell r="BJ2285">
            <v>5</v>
          </cell>
        </row>
        <row r="2286">
          <cell r="D2286" t="str">
            <v>Slovenská poľnohospodárska univerzita v Nitre</v>
          </cell>
          <cell r="E2286" t="str">
            <v>Fakulta biotechnológie a potravinárstva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26</v>
          </cell>
          <cell r="BJ2286">
            <v>0</v>
          </cell>
        </row>
        <row r="2287">
          <cell r="D2287" t="str">
            <v>Slovenská poľnohospodárska univerzita v Nitre</v>
          </cell>
          <cell r="E2287" t="str">
            <v>Fakulta záhradníctva a krajinného inžinierstva</v>
          </cell>
          <cell r="AN2287">
            <v>35</v>
          </cell>
          <cell r="AO2287">
            <v>36</v>
          </cell>
          <cell r="AP2287">
            <v>0</v>
          </cell>
          <cell r="AQ2287">
            <v>0</v>
          </cell>
          <cell r="AR2287">
            <v>35</v>
          </cell>
          <cell r="BF2287">
            <v>52.5</v>
          </cell>
          <cell r="BG2287">
            <v>83.475000000000009</v>
          </cell>
          <cell r="BH2287">
            <v>70.953749999999999</v>
          </cell>
          <cell r="BI2287">
            <v>36</v>
          </cell>
          <cell r="BJ2287">
            <v>0</v>
          </cell>
        </row>
        <row r="2288">
          <cell r="D2288" t="str">
            <v>Slovenská poľnohospodárska univerzita v Nitre</v>
          </cell>
          <cell r="E2288" t="str">
            <v>Fakulta agrobiológie a potravinových zdrojov</v>
          </cell>
          <cell r="AN2288">
            <v>39</v>
          </cell>
          <cell r="AO2288">
            <v>43</v>
          </cell>
          <cell r="AP2288">
            <v>0</v>
          </cell>
          <cell r="AQ2288">
            <v>0</v>
          </cell>
          <cell r="AR2288">
            <v>39</v>
          </cell>
          <cell r="BF2288">
            <v>33.6</v>
          </cell>
          <cell r="BG2288">
            <v>53.424000000000007</v>
          </cell>
          <cell r="BH2288">
            <v>53.424000000000007</v>
          </cell>
          <cell r="BI2288">
            <v>43</v>
          </cell>
          <cell r="BJ2288">
            <v>0</v>
          </cell>
        </row>
        <row r="2289">
          <cell r="D2289" t="str">
            <v>Slovenská poľnohospodárska univerzita v Nitre</v>
          </cell>
          <cell r="E2289" t="str">
            <v>Fakulta ekonomiky a manažmentu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39</v>
          </cell>
          <cell r="BJ2289">
            <v>0</v>
          </cell>
        </row>
        <row r="2290">
          <cell r="D2290" t="str">
            <v>Slovenská poľnohospodárska univerzita v Nitre</v>
          </cell>
          <cell r="E2290" t="str">
            <v>Fakulta záhradníctva a krajinného inžinierstva</v>
          </cell>
          <cell r="AN2290">
            <v>14</v>
          </cell>
          <cell r="AO2290">
            <v>15</v>
          </cell>
          <cell r="AP2290">
            <v>0</v>
          </cell>
          <cell r="AQ2290">
            <v>0</v>
          </cell>
          <cell r="AR2290">
            <v>14</v>
          </cell>
          <cell r="BF2290">
            <v>21</v>
          </cell>
          <cell r="BG2290">
            <v>33.39</v>
          </cell>
          <cell r="BH2290">
            <v>29.216250000000002</v>
          </cell>
          <cell r="BI2290">
            <v>15</v>
          </cell>
          <cell r="BJ2290">
            <v>0</v>
          </cell>
        </row>
        <row r="2291">
          <cell r="D2291" t="str">
            <v>Slovenská poľnohospodárska univerzita v Nitre</v>
          </cell>
          <cell r="E2291" t="str">
            <v>Fakulta záhradníctva a krajinného inžinierstva</v>
          </cell>
          <cell r="AN2291">
            <v>17</v>
          </cell>
          <cell r="AO2291">
            <v>20</v>
          </cell>
          <cell r="AP2291">
            <v>0</v>
          </cell>
          <cell r="AQ2291">
            <v>0</v>
          </cell>
          <cell r="AR2291">
            <v>17</v>
          </cell>
          <cell r="BF2291">
            <v>25.5</v>
          </cell>
          <cell r="BG2291">
            <v>40.545000000000002</v>
          </cell>
          <cell r="BH2291">
            <v>28.205217391304348</v>
          </cell>
          <cell r="BI2291">
            <v>20</v>
          </cell>
          <cell r="BJ2291">
            <v>0</v>
          </cell>
        </row>
        <row r="2292">
          <cell r="D2292" t="str">
            <v>Slovenská poľnohospodárska univerzita v Nitre</v>
          </cell>
          <cell r="E2292" t="str">
            <v>Fakulta európskych štúdií a regionálneho rozvoja</v>
          </cell>
          <cell r="AN2292">
            <v>23</v>
          </cell>
          <cell r="AO2292">
            <v>26</v>
          </cell>
          <cell r="AP2292">
            <v>0</v>
          </cell>
          <cell r="AQ2292">
            <v>0</v>
          </cell>
          <cell r="AR2292">
            <v>23</v>
          </cell>
          <cell r="BF2292">
            <v>34.5</v>
          </cell>
          <cell r="BG2292">
            <v>51.06</v>
          </cell>
          <cell r="BH2292">
            <v>44.677500000000002</v>
          </cell>
          <cell r="BI2292">
            <v>26</v>
          </cell>
          <cell r="BJ2292">
            <v>0</v>
          </cell>
        </row>
        <row r="2293">
          <cell r="D2293" t="str">
            <v>Slovenská poľnohospodárska univerzita v Nitre</v>
          </cell>
          <cell r="E2293" t="str">
            <v>Fakulta ekonomiky a manažmentu</v>
          </cell>
          <cell r="AN2293">
            <v>227</v>
          </cell>
          <cell r="AO2293">
            <v>231</v>
          </cell>
          <cell r="AP2293">
            <v>0</v>
          </cell>
          <cell r="AQ2293">
            <v>0</v>
          </cell>
          <cell r="AR2293">
            <v>227</v>
          </cell>
          <cell r="BF2293">
            <v>340.5</v>
          </cell>
          <cell r="BG2293">
            <v>354.12</v>
          </cell>
          <cell r="BH2293">
            <v>287.92934579439253</v>
          </cell>
          <cell r="BI2293">
            <v>231</v>
          </cell>
          <cell r="BJ2293">
            <v>0</v>
          </cell>
        </row>
        <row r="2294">
          <cell r="D2294" t="str">
            <v>Slovenská poľnohospodárska univerzita v Nitre</v>
          </cell>
          <cell r="E2294" t="str">
            <v>Fakulta európskych štúdií a regionálneho rozvoja</v>
          </cell>
          <cell r="AN2294">
            <v>36</v>
          </cell>
          <cell r="AO2294">
            <v>44</v>
          </cell>
          <cell r="AP2294">
            <v>0</v>
          </cell>
          <cell r="AQ2294">
            <v>0</v>
          </cell>
          <cell r="AR2294">
            <v>36</v>
          </cell>
          <cell r="BF2294">
            <v>54</v>
          </cell>
          <cell r="BG2294">
            <v>56.160000000000004</v>
          </cell>
          <cell r="BH2294">
            <v>51.480000000000004</v>
          </cell>
          <cell r="BI2294">
            <v>44</v>
          </cell>
          <cell r="BJ2294">
            <v>0</v>
          </cell>
        </row>
        <row r="2295">
          <cell r="D2295" t="str">
            <v>Slovenská poľnohospodárska univerzita v Nitre</v>
          </cell>
          <cell r="E2295" t="str">
            <v>Fakulta európskych štúdií a regionálneho rozvoja</v>
          </cell>
          <cell r="AN2295">
            <v>71</v>
          </cell>
          <cell r="AO2295">
            <v>78</v>
          </cell>
          <cell r="AP2295">
            <v>0</v>
          </cell>
          <cell r="AQ2295">
            <v>0</v>
          </cell>
          <cell r="AR2295">
            <v>71</v>
          </cell>
          <cell r="BF2295">
            <v>106.5</v>
          </cell>
          <cell r="BG2295">
            <v>110.76</v>
          </cell>
          <cell r="BH2295">
            <v>87.025714285714287</v>
          </cell>
          <cell r="BI2295">
            <v>78</v>
          </cell>
          <cell r="BJ2295">
            <v>0</v>
          </cell>
        </row>
        <row r="2296">
          <cell r="D2296" t="str">
            <v>Slovenská poľnohospodárska univerzita v Nitre</v>
          </cell>
          <cell r="E2296" t="str">
            <v>Fakulta európskych štúdií a regionálneho rozvoja</v>
          </cell>
          <cell r="AN2296">
            <v>21</v>
          </cell>
          <cell r="AO2296">
            <v>22</v>
          </cell>
          <cell r="AP2296">
            <v>0</v>
          </cell>
          <cell r="AQ2296">
            <v>0</v>
          </cell>
          <cell r="AR2296">
            <v>21</v>
          </cell>
          <cell r="BF2296">
            <v>31.5</v>
          </cell>
          <cell r="BG2296">
            <v>32.76</v>
          </cell>
          <cell r="BH2296">
            <v>16.38</v>
          </cell>
          <cell r="BI2296">
            <v>22</v>
          </cell>
          <cell r="BJ2296">
            <v>0</v>
          </cell>
        </row>
        <row r="2297">
          <cell r="D2297" t="str">
            <v>Slovenská poľnohospodárska univerzita v Nitre</v>
          </cell>
          <cell r="E2297" t="str">
            <v>Fakulta agrobiológie a potravinových zdrojov</v>
          </cell>
          <cell r="AN2297">
            <v>99</v>
          </cell>
          <cell r="AO2297">
            <v>106</v>
          </cell>
          <cell r="AP2297">
            <v>0</v>
          </cell>
          <cell r="AQ2297">
            <v>0</v>
          </cell>
          <cell r="AR2297">
            <v>99</v>
          </cell>
          <cell r="BF2297">
            <v>148.5</v>
          </cell>
          <cell r="BG2297">
            <v>236.11500000000001</v>
          </cell>
          <cell r="BH2297">
            <v>153.47475</v>
          </cell>
          <cell r="BI2297">
            <v>106</v>
          </cell>
          <cell r="BJ2297">
            <v>0</v>
          </cell>
        </row>
        <row r="2298">
          <cell r="D2298" t="str">
            <v>Slovenská poľnohospodárska univerzita v Nitre</v>
          </cell>
          <cell r="E2298" t="str">
            <v>Technická fakulta</v>
          </cell>
          <cell r="AN2298">
            <v>8</v>
          </cell>
          <cell r="AO2298">
            <v>9</v>
          </cell>
          <cell r="AP2298">
            <v>0</v>
          </cell>
          <cell r="AQ2298">
            <v>0</v>
          </cell>
          <cell r="AR2298">
            <v>8</v>
          </cell>
          <cell r="BF2298">
            <v>12</v>
          </cell>
          <cell r="BG2298">
            <v>17.759999999999998</v>
          </cell>
          <cell r="BH2298">
            <v>13.319999999999999</v>
          </cell>
          <cell r="BI2298">
            <v>9</v>
          </cell>
          <cell r="BJ2298">
            <v>0</v>
          </cell>
        </row>
        <row r="2299">
          <cell r="D2299" t="str">
            <v>Slovenská poľnohospodárska univerzita v Nitre</v>
          </cell>
          <cell r="E2299" t="str">
            <v>Fakulta záhradníctva a krajinného inžinierstva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1</v>
          </cell>
          <cell r="BJ2299">
            <v>0</v>
          </cell>
        </row>
        <row r="2300">
          <cell r="D2300" t="str">
            <v>Slovenská poľnohospodárska univerzita v Nitre</v>
          </cell>
          <cell r="E2300" t="str">
            <v>Fakulta agrobiológie a potravinových zdrojov</v>
          </cell>
          <cell r="AN2300">
            <v>39</v>
          </cell>
          <cell r="AO2300">
            <v>40</v>
          </cell>
          <cell r="AP2300">
            <v>0</v>
          </cell>
          <cell r="AQ2300">
            <v>0</v>
          </cell>
          <cell r="AR2300">
            <v>39</v>
          </cell>
          <cell r="BF2300">
            <v>58.5</v>
          </cell>
          <cell r="BG2300">
            <v>93.015000000000001</v>
          </cell>
          <cell r="BH2300">
            <v>62.010000000000005</v>
          </cell>
          <cell r="BI2300">
            <v>40</v>
          </cell>
          <cell r="BJ2300">
            <v>0</v>
          </cell>
        </row>
        <row r="2301">
          <cell r="D2301" t="str">
            <v>Slovenská poľnohospodárska univerzita v Nitre</v>
          </cell>
          <cell r="E2301" t="str">
            <v>Fakulta ekonomiky a manažmentu</v>
          </cell>
          <cell r="AN2301">
            <v>64</v>
          </cell>
          <cell r="AO2301">
            <v>66</v>
          </cell>
          <cell r="AP2301">
            <v>0</v>
          </cell>
          <cell r="AQ2301">
            <v>0</v>
          </cell>
          <cell r="AR2301">
            <v>64</v>
          </cell>
          <cell r="BF2301">
            <v>96</v>
          </cell>
          <cell r="BG2301">
            <v>99.84</v>
          </cell>
          <cell r="BH2301">
            <v>85.90883720930232</v>
          </cell>
          <cell r="BI2301">
            <v>66</v>
          </cell>
          <cell r="BJ2301">
            <v>0</v>
          </cell>
        </row>
        <row r="2302">
          <cell r="D2302" t="str">
            <v>Slovenská poľnohospodárska univerzita v Nitre</v>
          </cell>
          <cell r="E2302" t="str">
            <v>Fakulta ekonomiky a manažmentu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1</v>
          </cell>
          <cell r="BJ2302">
            <v>0</v>
          </cell>
        </row>
        <row r="2303">
          <cell r="D2303" t="str">
            <v>Slovenská poľnohospodárska univerzita v Nitre</v>
          </cell>
          <cell r="E2303" t="str">
            <v>Fakulta ekonomiky a manažmentu</v>
          </cell>
          <cell r="AN2303">
            <v>25</v>
          </cell>
          <cell r="AO2303">
            <v>27</v>
          </cell>
          <cell r="AP2303">
            <v>0</v>
          </cell>
          <cell r="AQ2303">
            <v>0</v>
          </cell>
          <cell r="AR2303">
            <v>25</v>
          </cell>
          <cell r="BF2303">
            <v>37.5</v>
          </cell>
          <cell r="BG2303">
            <v>39</v>
          </cell>
          <cell r="BH2303">
            <v>32.379629629629633</v>
          </cell>
          <cell r="BI2303">
            <v>27</v>
          </cell>
          <cell r="BJ2303">
            <v>0</v>
          </cell>
        </row>
        <row r="2304">
          <cell r="D2304" t="str">
            <v>Slovenská poľnohospodárska univerzita v Nitre</v>
          </cell>
          <cell r="E2304" t="str">
            <v>Technická fakulta</v>
          </cell>
          <cell r="AN2304">
            <v>178</v>
          </cell>
          <cell r="AO2304">
            <v>185</v>
          </cell>
          <cell r="AP2304">
            <v>0</v>
          </cell>
          <cell r="AQ2304">
            <v>0</v>
          </cell>
          <cell r="AR2304">
            <v>178</v>
          </cell>
          <cell r="BF2304">
            <v>267</v>
          </cell>
          <cell r="BG2304">
            <v>395.15999999999997</v>
          </cell>
          <cell r="BH2304">
            <v>327.02896551724137</v>
          </cell>
          <cell r="BI2304">
            <v>185</v>
          </cell>
          <cell r="BJ2304">
            <v>0</v>
          </cell>
        </row>
        <row r="2305">
          <cell r="D2305" t="str">
            <v>Slovenská poľnohospodárska univerzita v Nitre</v>
          </cell>
          <cell r="E2305" t="str">
            <v>Fakulta agrobiológie a potravinových zdrojov</v>
          </cell>
          <cell r="AN2305">
            <v>23</v>
          </cell>
          <cell r="AO2305">
            <v>25</v>
          </cell>
          <cell r="AP2305">
            <v>0</v>
          </cell>
          <cell r="AQ2305">
            <v>0</v>
          </cell>
          <cell r="AR2305">
            <v>23</v>
          </cell>
          <cell r="BF2305">
            <v>34.5</v>
          </cell>
          <cell r="BG2305">
            <v>54.855000000000004</v>
          </cell>
          <cell r="BH2305">
            <v>48.272400000000005</v>
          </cell>
          <cell r="BI2305">
            <v>25</v>
          </cell>
          <cell r="BJ2305">
            <v>0</v>
          </cell>
        </row>
        <row r="2306">
          <cell r="D2306" t="str">
            <v>Slovenská poľnohospodárska univerzita v Nitre</v>
          </cell>
          <cell r="E2306" t="str">
            <v>Fakulta ekonomiky a manažmentu</v>
          </cell>
          <cell r="AN2306">
            <v>115</v>
          </cell>
          <cell r="AO2306">
            <v>116</v>
          </cell>
          <cell r="AP2306">
            <v>0</v>
          </cell>
          <cell r="AQ2306">
            <v>0</v>
          </cell>
          <cell r="AR2306">
            <v>115</v>
          </cell>
          <cell r="BF2306">
            <v>172.5</v>
          </cell>
          <cell r="BG2306">
            <v>179.4</v>
          </cell>
          <cell r="BH2306">
            <v>152.49</v>
          </cell>
          <cell r="BI2306">
            <v>116</v>
          </cell>
          <cell r="BJ2306">
            <v>0</v>
          </cell>
        </row>
        <row r="2307">
          <cell r="D2307" t="str">
            <v>Slovenská poľnohospodárska univerzita v Nitre</v>
          </cell>
          <cell r="E2307" t="str">
            <v>Fakulta agrobiológie a potravinových zdrojov</v>
          </cell>
          <cell r="AN2307">
            <v>68</v>
          </cell>
          <cell r="AO2307">
            <v>69</v>
          </cell>
          <cell r="AP2307">
            <v>0</v>
          </cell>
          <cell r="AQ2307">
            <v>0</v>
          </cell>
          <cell r="AR2307">
            <v>68</v>
          </cell>
          <cell r="BF2307">
            <v>102</v>
          </cell>
          <cell r="BG2307">
            <v>162.18</v>
          </cell>
          <cell r="BH2307">
            <v>134.37771428571429</v>
          </cell>
          <cell r="BI2307">
            <v>69</v>
          </cell>
          <cell r="BJ2307">
            <v>0</v>
          </cell>
        </row>
        <row r="2308">
          <cell r="D2308" t="str">
            <v>Slovenská poľnohospodárska univerzita v Nitre</v>
          </cell>
          <cell r="E2308" t="str">
            <v>Fakulta ekonomiky a manažmentu</v>
          </cell>
          <cell r="AN2308">
            <v>33</v>
          </cell>
          <cell r="AO2308">
            <v>33</v>
          </cell>
          <cell r="AP2308">
            <v>0</v>
          </cell>
          <cell r="AQ2308">
            <v>0</v>
          </cell>
          <cell r="AR2308">
            <v>33</v>
          </cell>
          <cell r="BF2308">
            <v>49.5</v>
          </cell>
          <cell r="BG2308">
            <v>51.480000000000004</v>
          </cell>
          <cell r="BH2308">
            <v>46.800000000000004</v>
          </cell>
          <cell r="BI2308">
            <v>33</v>
          </cell>
          <cell r="BJ2308">
            <v>0</v>
          </cell>
        </row>
        <row r="2309">
          <cell r="D2309" t="str">
            <v>Slovenská poľnohospodárska univerzita v Nitre</v>
          </cell>
          <cell r="E2309" t="str">
            <v>Fakulta agrobiológie a potravinových zdrojov</v>
          </cell>
          <cell r="AN2309">
            <v>72</v>
          </cell>
          <cell r="AO2309">
            <v>84</v>
          </cell>
          <cell r="AP2309">
            <v>0</v>
          </cell>
          <cell r="AQ2309">
            <v>0</v>
          </cell>
          <cell r="AR2309">
            <v>72</v>
          </cell>
          <cell r="BF2309">
            <v>63.3</v>
          </cell>
          <cell r="BG2309">
            <v>100.64700000000001</v>
          </cell>
          <cell r="BH2309">
            <v>100.64700000000001</v>
          </cell>
          <cell r="BI2309">
            <v>84</v>
          </cell>
          <cell r="BJ2309">
            <v>0</v>
          </cell>
        </row>
        <row r="2310">
          <cell r="D2310" t="str">
            <v>Slovenská poľnohospodárska univerzita v Nitre</v>
          </cell>
          <cell r="E2310" t="str">
            <v>Technická fakulta</v>
          </cell>
          <cell r="AN2310">
            <v>156</v>
          </cell>
          <cell r="AO2310">
            <v>167</v>
          </cell>
          <cell r="AP2310">
            <v>0</v>
          </cell>
          <cell r="AQ2310">
            <v>0</v>
          </cell>
          <cell r="AR2310">
            <v>156</v>
          </cell>
          <cell r="BF2310">
            <v>133.80000000000001</v>
          </cell>
          <cell r="BG2310">
            <v>198.024</v>
          </cell>
          <cell r="BH2310">
            <v>183.48377622377623</v>
          </cell>
          <cell r="BI2310">
            <v>167</v>
          </cell>
          <cell r="BJ2310">
            <v>0</v>
          </cell>
        </row>
        <row r="2311">
          <cell r="D2311" t="str">
            <v>Slovenská poľnohospodárska univerzita v Nitre</v>
          </cell>
          <cell r="E2311" t="str">
            <v>Fakulta európskych štúdií a regionálneho rozvoja</v>
          </cell>
          <cell r="AN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BF2311">
            <v>0</v>
          </cell>
          <cell r="BG2311">
            <v>0</v>
          </cell>
          <cell r="BH2311">
            <v>0</v>
          </cell>
          <cell r="BI2311">
            <v>1</v>
          </cell>
          <cell r="BJ2311">
            <v>0</v>
          </cell>
        </row>
        <row r="2312">
          <cell r="D2312" t="str">
            <v>Slovenská poľnohospodárska univerzita v Nitre</v>
          </cell>
          <cell r="E2312" t="str">
            <v>Fakulta biotechnológie a potravinárstva</v>
          </cell>
          <cell r="AN2312">
            <v>15</v>
          </cell>
          <cell r="AO2312">
            <v>18</v>
          </cell>
          <cell r="AP2312">
            <v>0</v>
          </cell>
          <cell r="AQ2312">
            <v>0</v>
          </cell>
          <cell r="AR2312">
            <v>15</v>
          </cell>
          <cell r="BF2312">
            <v>12.899999999999999</v>
          </cell>
          <cell r="BG2312">
            <v>19.091999999999999</v>
          </cell>
          <cell r="BH2312">
            <v>17.527081967213114</v>
          </cell>
          <cell r="BI2312">
            <v>18</v>
          </cell>
          <cell r="BJ2312">
            <v>0</v>
          </cell>
        </row>
        <row r="2313">
          <cell r="D2313" t="str">
            <v>Slovenská poľnohospodárska univerzita v Nitre</v>
          </cell>
          <cell r="E2313" t="str">
            <v>Fakulta ekonomiky a manažmentu</v>
          </cell>
          <cell r="AN2313">
            <v>2</v>
          </cell>
          <cell r="AO2313">
            <v>2</v>
          </cell>
          <cell r="AP2313">
            <v>0</v>
          </cell>
          <cell r="AQ2313">
            <v>0</v>
          </cell>
          <cell r="AR2313">
            <v>2</v>
          </cell>
          <cell r="BF2313">
            <v>2</v>
          </cell>
          <cell r="BG2313">
            <v>2.08</v>
          </cell>
          <cell r="BH2313">
            <v>2.08</v>
          </cell>
          <cell r="BI2313">
            <v>2</v>
          </cell>
          <cell r="BJ2313">
            <v>0</v>
          </cell>
        </row>
        <row r="2314">
          <cell r="D2314" t="str">
            <v>Slovenská poľnohospodárska univerzita v Nitre</v>
          </cell>
          <cell r="E2314" t="str">
            <v>Fakulta ekonomiky a manažmentu</v>
          </cell>
          <cell r="AN2314">
            <v>23</v>
          </cell>
          <cell r="AO2314">
            <v>25</v>
          </cell>
          <cell r="AP2314">
            <v>0</v>
          </cell>
          <cell r="AQ2314">
            <v>0</v>
          </cell>
          <cell r="AR2314">
            <v>23</v>
          </cell>
          <cell r="BF2314">
            <v>20</v>
          </cell>
          <cell r="BG2314">
            <v>20.8</v>
          </cell>
          <cell r="BH2314">
            <v>20.8</v>
          </cell>
          <cell r="BI2314">
            <v>25</v>
          </cell>
          <cell r="BJ2314">
            <v>0</v>
          </cell>
        </row>
        <row r="2315">
          <cell r="D2315" t="str">
            <v>Slovenská poľnohospodárska univerzita v Nitre</v>
          </cell>
          <cell r="E2315" t="str">
            <v>Fakulta agrobiológie a potravinových zdrojov</v>
          </cell>
          <cell r="AN2315">
            <v>35</v>
          </cell>
          <cell r="AO2315">
            <v>42</v>
          </cell>
          <cell r="AP2315">
            <v>0</v>
          </cell>
          <cell r="AQ2315">
            <v>0</v>
          </cell>
          <cell r="AR2315">
            <v>35</v>
          </cell>
          <cell r="BF2315">
            <v>32</v>
          </cell>
          <cell r="BG2315">
            <v>50.88</v>
          </cell>
          <cell r="BH2315">
            <v>50.88</v>
          </cell>
          <cell r="BI2315">
            <v>42</v>
          </cell>
          <cell r="BJ2315">
            <v>0</v>
          </cell>
        </row>
        <row r="2316">
          <cell r="D2316" t="str">
            <v>Slovenská poľnohospodárska univerzita v Nitre</v>
          </cell>
          <cell r="E2316" t="str">
            <v>Fakulta ekonomiky a manažmentu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4</v>
          </cell>
          <cell r="BJ2316">
            <v>0</v>
          </cell>
        </row>
        <row r="2317">
          <cell r="D2317" t="str">
            <v>Slovenská poľnohospodárska univerzita v Nitre</v>
          </cell>
          <cell r="E2317" t="str">
            <v>Fakulta európskych štúdií a regionálneho rozvoja</v>
          </cell>
          <cell r="AN2317">
            <v>15</v>
          </cell>
          <cell r="AO2317">
            <v>22</v>
          </cell>
          <cell r="AP2317">
            <v>22</v>
          </cell>
          <cell r="AQ2317">
            <v>15</v>
          </cell>
          <cell r="AR2317">
            <v>15</v>
          </cell>
          <cell r="BF2317">
            <v>11.399999999999999</v>
          </cell>
          <cell r="BG2317">
            <v>16.871999999999996</v>
          </cell>
          <cell r="BH2317">
            <v>16.871999999999996</v>
          </cell>
          <cell r="BI2317">
            <v>22</v>
          </cell>
          <cell r="BJ2317">
            <v>0</v>
          </cell>
        </row>
        <row r="2318">
          <cell r="D2318" t="str">
            <v>Slovenská poľnohospodárska univerzita v Nitre</v>
          </cell>
          <cell r="E2318" t="str">
            <v>Fakulta záhradníctva a krajinného inžinierstva</v>
          </cell>
          <cell r="AN2318">
            <v>51</v>
          </cell>
          <cell r="AO2318">
            <v>59</v>
          </cell>
          <cell r="AP2318">
            <v>0</v>
          </cell>
          <cell r="AQ2318">
            <v>0</v>
          </cell>
          <cell r="AR2318">
            <v>51</v>
          </cell>
          <cell r="BF2318">
            <v>44.4</v>
          </cell>
          <cell r="BG2318">
            <v>70.596000000000004</v>
          </cell>
          <cell r="BH2318">
            <v>64.178181818181812</v>
          </cell>
          <cell r="BI2318">
            <v>59</v>
          </cell>
          <cell r="BJ2318">
            <v>0</v>
          </cell>
        </row>
        <row r="2319">
          <cell r="D2319" t="str">
            <v>Slovenská poľnohospodárska univerzita v Nitre</v>
          </cell>
          <cell r="E2319" t="str">
            <v>Fakulta európskych štúdií a regionálneho rozvoja</v>
          </cell>
          <cell r="AN2319">
            <v>9</v>
          </cell>
          <cell r="AO2319">
            <v>14</v>
          </cell>
          <cell r="AP2319">
            <v>0</v>
          </cell>
          <cell r="AQ2319">
            <v>0</v>
          </cell>
          <cell r="AR2319">
            <v>9</v>
          </cell>
          <cell r="BF2319">
            <v>7.5</v>
          </cell>
          <cell r="BG2319">
            <v>7.8000000000000007</v>
          </cell>
          <cell r="BH2319">
            <v>7.8000000000000007</v>
          </cell>
          <cell r="BI2319">
            <v>14</v>
          </cell>
          <cell r="BJ2319">
            <v>0</v>
          </cell>
        </row>
        <row r="2320">
          <cell r="D2320" t="str">
            <v>Slovenská poľnohospodárska univerzita v Nitre</v>
          </cell>
          <cell r="E2320" t="str">
            <v>Fakulta agrobiológie a potravinových zdrojov</v>
          </cell>
          <cell r="AN2320">
            <v>57</v>
          </cell>
          <cell r="AO2320">
            <v>60</v>
          </cell>
          <cell r="AP2320">
            <v>0</v>
          </cell>
          <cell r="AQ2320">
            <v>0</v>
          </cell>
          <cell r="AR2320">
            <v>57</v>
          </cell>
          <cell r="BF2320">
            <v>50.099999999999994</v>
          </cell>
          <cell r="BG2320">
            <v>79.658999999999992</v>
          </cell>
          <cell r="BH2320">
            <v>79.658999999999992</v>
          </cell>
          <cell r="BI2320">
            <v>60</v>
          </cell>
          <cell r="BJ2320">
            <v>0</v>
          </cell>
        </row>
        <row r="2321">
          <cell r="D2321" t="str">
            <v>Slovenská poľnohospodárska univerzita v Nitre</v>
          </cell>
          <cell r="E2321" t="str">
            <v>Fakulta ekonomiky a manažmentu</v>
          </cell>
          <cell r="AN2321">
            <v>76</v>
          </cell>
          <cell r="AO2321">
            <v>81</v>
          </cell>
          <cell r="AP2321">
            <v>0</v>
          </cell>
          <cell r="AQ2321">
            <v>0</v>
          </cell>
          <cell r="AR2321">
            <v>76</v>
          </cell>
          <cell r="BF2321">
            <v>66.099999999999994</v>
          </cell>
          <cell r="BG2321">
            <v>68.744</v>
          </cell>
          <cell r="BH2321">
            <v>68.744</v>
          </cell>
          <cell r="BI2321">
            <v>81</v>
          </cell>
          <cell r="BJ2321">
            <v>0</v>
          </cell>
        </row>
        <row r="2322">
          <cell r="D2322" t="str">
            <v>Slovenská poľnohospodárska univerzita v Nitre</v>
          </cell>
          <cell r="E2322" t="str">
            <v>Fakulta agrobiológie a potravinových zdrojov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BF2322">
            <v>0</v>
          </cell>
          <cell r="BG2322">
            <v>0</v>
          </cell>
          <cell r="BH2322">
            <v>0</v>
          </cell>
          <cell r="BI2322">
            <v>6</v>
          </cell>
          <cell r="BJ2322">
            <v>0</v>
          </cell>
        </row>
        <row r="2323">
          <cell r="D2323" t="str">
            <v>Slovenská poľnohospodárska univerzita v Nitre</v>
          </cell>
          <cell r="E2323" t="str">
            <v>Fakulta biotechnológie a potravinárstva</v>
          </cell>
          <cell r="AN2323">
            <v>141</v>
          </cell>
          <cell r="AO2323">
            <v>144</v>
          </cell>
          <cell r="AP2323">
            <v>0</v>
          </cell>
          <cell r="AQ2323">
            <v>0</v>
          </cell>
          <cell r="AR2323">
            <v>141</v>
          </cell>
          <cell r="BF2323">
            <v>211.5</v>
          </cell>
          <cell r="BG2323">
            <v>313.02</v>
          </cell>
          <cell r="BH2323">
            <v>267.65478260869565</v>
          </cell>
          <cell r="BI2323">
            <v>144</v>
          </cell>
          <cell r="BJ2323">
            <v>0</v>
          </cell>
        </row>
        <row r="2324">
          <cell r="D2324" t="str">
            <v>Slovenská poľnohospodárska univerzita v Nitre</v>
          </cell>
          <cell r="E2324" t="str">
            <v>Fakulta biotechnológie a potravinárstva</v>
          </cell>
          <cell r="AN2324">
            <v>41</v>
          </cell>
          <cell r="AO2324">
            <v>43</v>
          </cell>
          <cell r="AP2324">
            <v>0</v>
          </cell>
          <cell r="AQ2324">
            <v>0</v>
          </cell>
          <cell r="AR2324">
            <v>41</v>
          </cell>
          <cell r="BF2324">
            <v>61.5</v>
          </cell>
          <cell r="BG2324">
            <v>91.02</v>
          </cell>
          <cell r="BH2324">
            <v>70.793333333333337</v>
          </cell>
          <cell r="BI2324">
            <v>43</v>
          </cell>
          <cell r="BJ2324">
            <v>0</v>
          </cell>
        </row>
        <row r="2325">
          <cell r="D2325" t="str">
            <v>Slovenská poľnohospodárska univerzita v Nitre</v>
          </cell>
          <cell r="E2325" t="str">
            <v>Fakulta biotechnológie a potravinárstva</v>
          </cell>
          <cell r="AN2325">
            <v>31</v>
          </cell>
          <cell r="AO2325">
            <v>37</v>
          </cell>
          <cell r="AP2325">
            <v>0</v>
          </cell>
          <cell r="AQ2325">
            <v>0</v>
          </cell>
          <cell r="AR2325">
            <v>31</v>
          </cell>
          <cell r="BF2325">
            <v>27.7</v>
          </cell>
          <cell r="BG2325">
            <v>40.995999999999995</v>
          </cell>
          <cell r="BH2325">
            <v>37.635672131147537</v>
          </cell>
          <cell r="BI2325">
            <v>37</v>
          </cell>
          <cell r="BJ2325">
            <v>0</v>
          </cell>
        </row>
        <row r="2326">
          <cell r="D2326" t="str">
            <v>Ekonomická univerzita v Bratislave</v>
          </cell>
          <cell r="E2326" t="str">
            <v>Fakulta hospodárskej informatiky</v>
          </cell>
          <cell r="AN2326">
            <v>187</v>
          </cell>
          <cell r="AO2326">
            <v>207</v>
          </cell>
          <cell r="AP2326">
            <v>0</v>
          </cell>
          <cell r="AQ2326">
            <v>0</v>
          </cell>
          <cell r="AR2326">
            <v>187</v>
          </cell>
          <cell r="BF2326">
            <v>280.5</v>
          </cell>
          <cell r="BG2326">
            <v>291.72000000000003</v>
          </cell>
          <cell r="BH2326">
            <v>280.91555555555561</v>
          </cell>
          <cell r="BI2326">
            <v>207</v>
          </cell>
          <cell r="BJ2326">
            <v>0</v>
          </cell>
        </row>
        <row r="2327">
          <cell r="D2327" t="str">
            <v>Ekonomická univerzita v Bratislave</v>
          </cell>
          <cell r="E2327" t="str">
            <v>Národohospodárska fakulta</v>
          </cell>
          <cell r="AN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BF2327">
            <v>0</v>
          </cell>
          <cell r="BG2327">
            <v>0</v>
          </cell>
          <cell r="BH2327">
            <v>0</v>
          </cell>
          <cell r="BI2327">
            <v>27</v>
          </cell>
          <cell r="BJ2327">
            <v>0</v>
          </cell>
        </row>
        <row r="2328">
          <cell r="D2328" t="str">
            <v>Ekonomická univerzita v Bratislave</v>
          </cell>
          <cell r="E2328" t="str">
            <v>Národohospodárska fakulta</v>
          </cell>
          <cell r="AN2328">
            <v>11</v>
          </cell>
          <cell r="AO2328">
            <v>0</v>
          </cell>
          <cell r="AP2328">
            <v>0</v>
          </cell>
          <cell r="AQ2328">
            <v>0</v>
          </cell>
          <cell r="AR2328">
            <v>11</v>
          </cell>
          <cell r="BF2328">
            <v>44</v>
          </cell>
          <cell r="BG2328">
            <v>48.400000000000006</v>
          </cell>
          <cell r="BH2328">
            <v>48.400000000000006</v>
          </cell>
          <cell r="BI2328">
            <v>11</v>
          </cell>
          <cell r="BJ2328">
            <v>11</v>
          </cell>
        </row>
        <row r="2329">
          <cell r="D2329" t="str">
            <v>Ekonomická univerzita v Bratislave</v>
          </cell>
          <cell r="E2329" t="str">
            <v>Fakulta podnikového manažmentu</v>
          </cell>
          <cell r="AN2329">
            <v>102</v>
          </cell>
          <cell r="AO2329">
            <v>109</v>
          </cell>
          <cell r="AP2329">
            <v>0</v>
          </cell>
          <cell r="AQ2329">
            <v>0</v>
          </cell>
          <cell r="AR2329">
            <v>102</v>
          </cell>
          <cell r="BF2329">
            <v>153</v>
          </cell>
          <cell r="BG2329">
            <v>159.12</v>
          </cell>
          <cell r="BH2329">
            <v>151.35804878048779</v>
          </cell>
          <cell r="BI2329">
            <v>109</v>
          </cell>
          <cell r="BJ2329">
            <v>0</v>
          </cell>
        </row>
        <row r="2330">
          <cell r="D2330" t="str">
            <v>Ekonomická univerzita v Bratislave</v>
          </cell>
          <cell r="E2330" t="str">
            <v>Národohospodárska fakulta</v>
          </cell>
          <cell r="AN2330">
            <v>7</v>
          </cell>
          <cell r="AO2330">
            <v>0</v>
          </cell>
          <cell r="AP2330">
            <v>0</v>
          </cell>
          <cell r="AQ2330">
            <v>0</v>
          </cell>
          <cell r="AR2330">
            <v>7</v>
          </cell>
          <cell r="BF2330">
            <v>28</v>
          </cell>
          <cell r="BG2330">
            <v>30.800000000000004</v>
          </cell>
          <cell r="BH2330">
            <v>27.866666666666671</v>
          </cell>
          <cell r="BI2330">
            <v>7</v>
          </cell>
          <cell r="BJ2330">
            <v>7</v>
          </cell>
        </row>
        <row r="2331">
          <cell r="D2331" t="str">
            <v>Ekonomická univerzita v Bratislave</v>
          </cell>
          <cell r="E2331" t="str">
            <v>Fakulta podnikového manažmentu</v>
          </cell>
          <cell r="AN2331">
            <v>79</v>
          </cell>
          <cell r="AO2331">
            <v>82</v>
          </cell>
          <cell r="AP2331">
            <v>0</v>
          </cell>
          <cell r="AQ2331">
            <v>0</v>
          </cell>
          <cell r="AR2331">
            <v>79</v>
          </cell>
          <cell r="BF2331">
            <v>118.5</v>
          </cell>
          <cell r="BG2331">
            <v>123.24000000000001</v>
          </cell>
          <cell r="BH2331">
            <v>114.83727272727275</v>
          </cell>
          <cell r="BI2331">
            <v>82</v>
          </cell>
          <cell r="BJ2331">
            <v>0</v>
          </cell>
        </row>
        <row r="2332">
          <cell r="D2332" t="str">
            <v>Ekonomická univerzita v Bratislave</v>
          </cell>
          <cell r="E2332" t="str">
            <v>Fakulta hospodárskej informatiky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BF2332">
            <v>0</v>
          </cell>
          <cell r="BG2332">
            <v>0</v>
          </cell>
          <cell r="BH2332">
            <v>0</v>
          </cell>
          <cell r="BI2332">
            <v>46</v>
          </cell>
          <cell r="BJ2332">
            <v>0</v>
          </cell>
        </row>
        <row r="2333">
          <cell r="D2333" t="str">
            <v>Ekonomická univerzita v Bratislave</v>
          </cell>
          <cell r="E2333" t="str">
            <v>Národohospodárska fakulta</v>
          </cell>
          <cell r="AN2333">
            <v>7</v>
          </cell>
          <cell r="AO2333">
            <v>0</v>
          </cell>
          <cell r="AP2333">
            <v>0</v>
          </cell>
          <cell r="AQ2333">
            <v>0</v>
          </cell>
          <cell r="AR2333">
            <v>7</v>
          </cell>
          <cell r="BF2333">
            <v>28</v>
          </cell>
          <cell r="BG2333">
            <v>30.800000000000004</v>
          </cell>
          <cell r="BH2333">
            <v>30.800000000000004</v>
          </cell>
          <cell r="BI2333">
            <v>7</v>
          </cell>
          <cell r="BJ2333">
            <v>7</v>
          </cell>
        </row>
        <row r="2334">
          <cell r="D2334" t="str">
            <v>Ekonomická univerzita v Bratislave</v>
          </cell>
          <cell r="E2334" t="str">
            <v>Fakulta hospodárskej informatiky</v>
          </cell>
          <cell r="AN2334">
            <v>6</v>
          </cell>
          <cell r="AO2334">
            <v>0</v>
          </cell>
          <cell r="AP2334">
            <v>0</v>
          </cell>
          <cell r="AQ2334">
            <v>0</v>
          </cell>
          <cell r="AR2334">
            <v>6</v>
          </cell>
          <cell r="BF2334">
            <v>24</v>
          </cell>
          <cell r="BG2334">
            <v>26.400000000000002</v>
          </cell>
          <cell r="BH2334">
            <v>26.400000000000002</v>
          </cell>
          <cell r="BI2334">
            <v>7</v>
          </cell>
          <cell r="BJ2334">
            <v>6</v>
          </cell>
        </row>
        <row r="2335">
          <cell r="D2335" t="str">
            <v>Ekonomická univerzita v Bratislave</v>
          </cell>
          <cell r="E2335" t="str">
            <v>Fakulta podnikového manažmentu</v>
          </cell>
          <cell r="AN2335">
            <v>23</v>
          </cell>
          <cell r="AO2335">
            <v>0</v>
          </cell>
          <cell r="AP2335">
            <v>0</v>
          </cell>
          <cell r="AQ2335">
            <v>0</v>
          </cell>
          <cell r="AR2335">
            <v>23</v>
          </cell>
          <cell r="BF2335">
            <v>92</v>
          </cell>
          <cell r="BG2335">
            <v>101.2</v>
          </cell>
          <cell r="BH2335">
            <v>101.2</v>
          </cell>
          <cell r="BI2335">
            <v>23</v>
          </cell>
          <cell r="BJ2335">
            <v>23</v>
          </cell>
        </row>
        <row r="2336">
          <cell r="D2336" t="str">
            <v>Ekonomická univerzita v Bratislave</v>
          </cell>
          <cell r="E2336" t="str">
            <v>Obchodná fakulta</v>
          </cell>
          <cell r="AN2336">
            <v>100</v>
          </cell>
          <cell r="AO2336">
            <v>107</v>
          </cell>
          <cell r="AP2336">
            <v>0</v>
          </cell>
          <cell r="AQ2336">
            <v>0</v>
          </cell>
          <cell r="AR2336">
            <v>100</v>
          </cell>
          <cell r="BF2336">
            <v>150</v>
          </cell>
          <cell r="BG2336">
            <v>156</v>
          </cell>
          <cell r="BH2336">
            <v>146.95652173913044</v>
          </cell>
          <cell r="BI2336">
            <v>107</v>
          </cell>
          <cell r="BJ2336">
            <v>0</v>
          </cell>
        </row>
        <row r="2337">
          <cell r="D2337" t="str">
            <v>Ekonomická univerzita v Bratislave</v>
          </cell>
          <cell r="E2337" t="str">
            <v>Fakulta hospodárskej informatiky</v>
          </cell>
          <cell r="AN2337">
            <v>7</v>
          </cell>
          <cell r="AO2337">
            <v>0</v>
          </cell>
          <cell r="AP2337">
            <v>0</v>
          </cell>
          <cell r="AQ2337">
            <v>0</v>
          </cell>
          <cell r="AR2337">
            <v>7</v>
          </cell>
          <cell r="BF2337">
            <v>28</v>
          </cell>
          <cell r="BG2337">
            <v>30.800000000000004</v>
          </cell>
          <cell r="BH2337">
            <v>27.866666666666671</v>
          </cell>
          <cell r="BI2337">
            <v>7</v>
          </cell>
          <cell r="BJ2337">
            <v>7</v>
          </cell>
        </row>
        <row r="2338">
          <cell r="D2338" t="str">
            <v>Ekonomická univerzita v Bratislave</v>
          </cell>
          <cell r="E2338" t="str">
            <v>Podnikovohospodárska fakulta v Košiciach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BF2338">
            <v>0</v>
          </cell>
          <cell r="BG2338">
            <v>0</v>
          </cell>
          <cell r="BH2338">
            <v>0</v>
          </cell>
          <cell r="BI2338">
            <v>40</v>
          </cell>
          <cell r="BJ2338">
            <v>0</v>
          </cell>
        </row>
        <row r="2339">
          <cell r="D2339" t="str">
            <v>Ekonomická univerzita v Bratislave</v>
          </cell>
          <cell r="E2339" t="str">
            <v>Fakulta hospodárskej informatiky</v>
          </cell>
          <cell r="AN2339">
            <v>37</v>
          </cell>
          <cell r="AO2339">
            <v>44</v>
          </cell>
          <cell r="AP2339">
            <v>0</v>
          </cell>
          <cell r="AQ2339">
            <v>0</v>
          </cell>
          <cell r="AR2339">
            <v>37</v>
          </cell>
          <cell r="BF2339">
            <v>55.5</v>
          </cell>
          <cell r="BG2339">
            <v>57.72</v>
          </cell>
          <cell r="BH2339">
            <v>51.535714285714285</v>
          </cell>
          <cell r="BI2339">
            <v>44</v>
          </cell>
          <cell r="BJ2339">
            <v>0</v>
          </cell>
        </row>
        <row r="2340">
          <cell r="D2340" t="str">
            <v>Ekonomická univerzita v Bratislave</v>
          </cell>
          <cell r="E2340" t="str">
            <v>Fakulta aplikovaných jazykov</v>
          </cell>
          <cell r="AN2340">
            <v>39</v>
          </cell>
          <cell r="AO2340">
            <v>41</v>
          </cell>
          <cell r="AP2340">
            <v>0</v>
          </cell>
          <cell r="AQ2340">
            <v>0</v>
          </cell>
          <cell r="AR2340">
            <v>39</v>
          </cell>
          <cell r="BF2340">
            <v>58.5</v>
          </cell>
          <cell r="BG2340">
            <v>60.84</v>
          </cell>
          <cell r="BH2340">
            <v>55.549565217391311</v>
          </cell>
          <cell r="BI2340">
            <v>41</v>
          </cell>
          <cell r="BJ2340">
            <v>0</v>
          </cell>
        </row>
        <row r="2341">
          <cell r="D2341" t="str">
            <v>Ekonomická univerzita v Bratislave</v>
          </cell>
          <cell r="E2341" t="str">
            <v>Národohospodárska fakulta</v>
          </cell>
          <cell r="AN2341">
            <v>36</v>
          </cell>
          <cell r="AO2341">
            <v>38</v>
          </cell>
          <cell r="AP2341">
            <v>0</v>
          </cell>
          <cell r="AQ2341">
            <v>0</v>
          </cell>
          <cell r="AR2341">
            <v>36</v>
          </cell>
          <cell r="BF2341">
            <v>54</v>
          </cell>
          <cell r="BG2341">
            <v>56.160000000000004</v>
          </cell>
          <cell r="BH2341">
            <v>42.120000000000005</v>
          </cell>
          <cell r="BI2341">
            <v>38</v>
          </cell>
          <cell r="BJ2341">
            <v>0</v>
          </cell>
        </row>
        <row r="2342">
          <cell r="D2342" t="str">
            <v>Ekonomická univerzita v Bratislave</v>
          </cell>
          <cell r="E2342" t="str">
            <v>Fakulta hospodárskej informatiky</v>
          </cell>
          <cell r="AN2342">
            <v>36</v>
          </cell>
          <cell r="AO2342">
            <v>44</v>
          </cell>
          <cell r="AP2342">
            <v>0</v>
          </cell>
          <cell r="AQ2342">
            <v>0</v>
          </cell>
          <cell r="AR2342">
            <v>36</v>
          </cell>
          <cell r="BF2342">
            <v>54</v>
          </cell>
          <cell r="BG2342">
            <v>56.160000000000004</v>
          </cell>
          <cell r="BH2342">
            <v>54.080000000000005</v>
          </cell>
          <cell r="BI2342">
            <v>44</v>
          </cell>
          <cell r="BJ2342">
            <v>0</v>
          </cell>
        </row>
        <row r="2343">
          <cell r="D2343" t="str">
            <v>Ekonomická univerzita v Bratislave</v>
          </cell>
          <cell r="E2343" t="str">
            <v>Podnikovohospodárska fakulta v Košiciach</v>
          </cell>
          <cell r="AN2343">
            <v>42</v>
          </cell>
          <cell r="AO2343">
            <v>43</v>
          </cell>
          <cell r="AP2343">
            <v>0</v>
          </cell>
          <cell r="AQ2343">
            <v>0</v>
          </cell>
          <cell r="AR2343">
            <v>42</v>
          </cell>
          <cell r="BF2343">
            <v>63</v>
          </cell>
          <cell r="BG2343">
            <v>65.52</v>
          </cell>
          <cell r="BH2343">
            <v>30.832941176470587</v>
          </cell>
          <cell r="BI2343">
            <v>43</v>
          </cell>
          <cell r="BJ2343">
            <v>0</v>
          </cell>
        </row>
        <row r="2344">
          <cell r="D2344" t="str">
            <v>Ekonomická univerzita v Bratislave</v>
          </cell>
          <cell r="E2344" t="str">
            <v>Fakulta podnikového manažmentu</v>
          </cell>
          <cell r="AN2344">
            <v>50</v>
          </cell>
          <cell r="AO2344">
            <v>51</v>
          </cell>
          <cell r="AP2344">
            <v>0</v>
          </cell>
          <cell r="AQ2344">
            <v>0</v>
          </cell>
          <cell r="AR2344">
            <v>50</v>
          </cell>
          <cell r="BF2344">
            <v>75</v>
          </cell>
          <cell r="BG2344">
            <v>78</v>
          </cell>
          <cell r="BH2344">
            <v>75</v>
          </cell>
          <cell r="BI2344">
            <v>51</v>
          </cell>
          <cell r="BJ2344">
            <v>0</v>
          </cell>
        </row>
        <row r="2345">
          <cell r="D2345" t="str">
            <v>Ekonomická univerzita v Bratislave</v>
          </cell>
          <cell r="E2345" t="str">
            <v>Obchodná fakulta</v>
          </cell>
          <cell r="AN2345">
            <v>232</v>
          </cell>
          <cell r="AO2345">
            <v>240</v>
          </cell>
          <cell r="AP2345">
            <v>0</v>
          </cell>
          <cell r="AQ2345">
            <v>0</v>
          </cell>
          <cell r="AR2345">
            <v>232</v>
          </cell>
          <cell r="BF2345">
            <v>348</v>
          </cell>
          <cell r="BG2345">
            <v>361.92</v>
          </cell>
          <cell r="BH2345">
            <v>322.64186046511628</v>
          </cell>
          <cell r="BI2345">
            <v>240</v>
          </cell>
          <cell r="BJ2345">
            <v>0</v>
          </cell>
        </row>
        <row r="2346">
          <cell r="D2346" t="str">
            <v>Ekonomická univerzita v Bratislave</v>
          </cell>
          <cell r="E2346" t="str">
            <v>Národohospodárska fakulta</v>
          </cell>
          <cell r="AN2346">
            <v>39</v>
          </cell>
          <cell r="AO2346">
            <v>52</v>
          </cell>
          <cell r="AP2346">
            <v>0</v>
          </cell>
          <cell r="AQ2346">
            <v>0</v>
          </cell>
          <cell r="AR2346">
            <v>39</v>
          </cell>
          <cell r="BF2346">
            <v>58.5</v>
          </cell>
          <cell r="BG2346">
            <v>60.84</v>
          </cell>
          <cell r="BH2346">
            <v>54.08</v>
          </cell>
          <cell r="BI2346">
            <v>52</v>
          </cell>
          <cell r="BJ2346">
            <v>0</v>
          </cell>
        </row>
        <row r="2347">
          <cell r="D2347" t="str">
            <v>Ekonomická univerzita v Bratislave</v>
          </cell>
          <cell r="E2347" t="str">
            <v>Fakulta hospodárskej informatiky</v>
          </cell>
          <cell r="AN2347">
            <v>27</v>
          </cell>
          <cell r="AO2347">
            <v>28</v>
          </cell>
          <cell r="AP2347">
            <v>0</v>
          </cell>
          <cell r="AQ2347">
            <v>0</v>
          </cell>
          <cell r="AR2347">
            <v>27</v>
          </cell>
          <cell r="BF2347">
            <v>40.5</v>
          </cell>
          <cell r="BG2347">
            <v>42.120000000000005</v>
          </cell>
          <cell r="BH2347">
            <v>42.120000000000005</v>
          </cell>
          <cell r="BI2347">
            <v>28</v>
          </cell>
          <cell r="BJ2347">
            <v>0</v>
          </cell>
        </row>
        <row r="2348">
          <cell r="D2348" t="str">
            <v>Ekonomická univerzita v Bratislave</v>
          </cell>
          <cell r="E2348" t="str">
            <v>Národohospodárska fakulta</v>
          </cell>
          <cell r="AN2348">
            <v>0</v>
          </cell>
          <cell r="AO2348">
            <v>19</v>
          </cell>
          <cell r="AP2348">
            <v>0</v>
          </cell>
          <cell r="AQ2348">
            <v>0</v>
          </cell>
          <cell r="AR2348">
            <v>0</v>
          </cell>
          <cell r="BF2348">
            <v>0</v>
          </cell>
          <cell r="BG2348">
            <v>0</v>
          </cell>
          <cell r="BH2348">
            <v>0</v>
          </cell>
          <cell r="BI2348">
            <v>19</v>
          </cell>
          <cell r="BJ2348">
            <v>0</v>
          </cell>
        </row>
        <row r="2349">
          <cell r="D2349" t="str">
            <v>Ekonomická univerzita v Bratislave</v>
          </cell>
          <cell r="E2349" t="str">
            <v>Národohospodárska fakulta</v>
          </cell>
          <cell r="AN2349">
            <v>28</v>
          </cell>
          <cell r="AO2349">
            <v>33</v>
          </cell>
          <cell r="AP2349">
            <v>0</v>
          </cell>
          <cell r="AQ2349">
            <v>0</v>
          </cell>
          <cell r="AR2349">
            <v>28</v>
          </cell>
          <cell r="BF2349">
            <v>42</v>
          </cell>
          <cell r="BG2349">
            <v>43.68</v>
          </cell>
          <cell r="BH2349">
            <v>39.585000000000001</v>
          </cell>
          <cell r="BI2349">
            <v>33</v>
          </cell>
          <cell r="BJ2349">
            <v>0</v>
          </cell>
        </row>
        <row r="2350">
          <cell r="D2350" t="str">
            <v>Ekonomická univerzita v Bratislave</v>
          </cell>
          <cell r="E2350" t="str">
            <v>Fakulta hospodárskej informatiky</v>
          </cell>
          <cell r="AN2350">
            <v>24</v>
          </cell>
          <cell r="AO2350">
            <v>26</v>
          </cell>
          <cell r="AP2350">
            <v>0</v>
          </cell>
          <cell r="AQ2350">
            <v>0</v>
          </cell>
          <cell r="AR2350">
            <v>24</v>
          </cell>
          <cell r="BF2350">
            <v>36</v>
          </cell>
          <cell r="BG2350">
            <v>37.44</v>
          </cell>
          <cell r="BH2350">
            <v>37.44</v>
          </cell>
          <cell r="BI2350">
            <v>26</v>
          </cell>
          <cell r="BJ2350">
            <v>0</v>
          </cell>
        </row>
        <row r="2351">
          <cell r="D2351" t="str">
            <v>Ekonomická univerzita v Bratislave</v>
          </cell>
          <cell r="E2351" t="str">
            <v>Obchodná fakulta</v>
          </cell>
          <cell r="AN2351">
            <v>234</v>
          </cell>
          <cell r="AO2351">
            <v>255</v>
          </cell>
          <cell r="AP2351">
            <v>0</v>
          </cell>
          <cell r="AQ2351">
            <v>0</v>
          </cell>
          <cell r="AR2351">
            <v>234</v>
          </cell>
          <cell r="BF2351">
            <v>197.1</v>
          </cell>
          <cell r="BG2351">
            <v>204.98400000000001</v>
          </cell>
          <cell r="BH2351">
            <v>204.98400000000001</v>
          </cell>
          <cell r="BI2351">
            <v>255</v>
          </cell>
          <cell r="BJ2351">
            <v>0</v>
          </cell>
        </row>
        <row r="2352">
          <cell r="D2352" t="str">
            <v>Ekonomická univerzita v Bratislave</v>
          </cell>
          <cell r="E2352" t="str">
            <v>Fakulta podnikového manažmentu</v>
          </cell>
          <cell r="AN2352">
            <v>29</v>
          </cell>
          <cell r="AO2352">
            <v>35</v>
          </cell>
          <cell r="AP2352">
            <v>0</v>
          </cell>
          <cell r="AQ2352">
            <v>0</v>
          </cell>
          <cell r="AR2352">
            <v>29</v>
          </cell>
          <cell r="BF2352">
            <v>43.5</v>
          </cell>
          <cell r="BG2352">
            <v>45.24</v>
          </cell>
          <cell r="BH2352">
            <v>43.135813953488373</v>
          </cell>
          <cell r="BI2352">
            <v>35</v>
          </cell>
          <cell r="BJ2352">
            <v>0</v>
          </cell>
        </row>
        <row r="2353">
          <cell r="D2353" t="str">
            <v>Ekonomická univerzita v Bratislave</v>
          </cell>
          <cell r="E2353" t="str">
            <v>Fakulta podnikového manažmentu</v>
          </cell>
          <cell r="AN2353">
            <v>48</v>
          </cell>
          <cell r="AO2353">
            <v>54</v>
          </cell>
          <cell r="AP2353">
            <v>0</v>
          </cell>
          <cell r="AQ2353">
            <v>0</v>
          </cell>
          <cell r="AR2353">
            <v>48</v>
          </cell>
          <cell r="BF2353">
            <v>41.099999999999994</v>
          </cell>
          <cell r="BG2353">
            <v>42.743999999999993</v>
          </cell>
          <cell r="BH2353">
            <v>42.743999999999993</v>
          </cell>
          <cell r="BI2353">
            <v>54</v>
          </cell>
          <cell r="BJ2353">
            <v>0</v>
          </cell>
        </row>
        <row r="2354">
          <cell r="D2354" t="str">
            <v>Ekonomická univerzita v Bratislave</v>
          </cell>
          <cell r="E2354" t="str">
            <v>Fakulta podnikového manažmentu</v>
          </cell>
          <cell r="AN2354">
            <v>0</v>
          </cell>
          <cell r="AO2354">
            <v>26</v>
          </cell>
          <cell r="AP2354">
            <v>0</v>
          </cell>
          <cell r="AQ2354">
            <v>0</v>
          </cell>
          <cell r="AR2354">
            <v>0</v>
          </cell>
          <cell r="BF2354">
            <v>0</v>
          </cell>
          <cell r="BG2354">
            <v>0</v>
          </cell>
          <cell r="BH2354">
            <v>0</v>
          </cell>
          <cell r="BI2354">
            <v>26</v>
          </cell>
          <cell r="BJ2354">
            <v>0</v>
          </cell>
        </row>
        <row r="2355">
          <cell r="D2355" t="str">
            <v>Ekonomická univerzita v Bratislave</v>
          </cell>
          <cell r="E2355" t="str">
            <v>Fakulta aplikovaných jazykov</v>
          </cell>
          <cell r="AN2355">
            <v>25</v>
          </cell>
          <cell r="AO2355">
            <v>26</v>
          </cell>
          <cell r="AP2355">
            <v>0</v>
          </cell>
          <cell r="AQ2355">
            <v>0</v>
          </cell>
          <cell r="AR2355">
            <v>25</v>
          </cell>
          <cell r="BF2355">
            <v>20.799999999999997</v>
          </cell>
          <cell r="BG2355">
            <v>21.631999999999998</v>
          </cell>
          <cell r="BH2355">
            <v>21.631999999999998</v>
          </cell>
          <cell r="BI2355">
            <v>26</v>
          </cell>
          <cell r="BJ2355">
            <v>0</v>
          </cell>
        </row>
        <row r="2356">
          <cell r="D2356" t="str">
            <v>Ekonomická univerzita v Bratislave</v>
          </cell>
          <cell r="E2356" t="str">
            <v>Národohospodárska fakulta</v>
          </cell>
          <cell r="AN2356">
            <v>34</v>
          </cell>
          <cell r="AO2356">
            <v>34</v>
          </cell>
          <cell r="AP2356">
            <v>0</v>
          </cell>
          <cell r="AQ2356">
            <v>0</v>
          </cell>
          <cell r="AR2356">
            <v>34</v>
          </cell>
          <cell r="BF2356">
            <v>30.1</v>
          </cell>
          <cell r="BG2356">
            <v>31.304000000000002</v>
          </cell>
          <cell r="BH2356">
            <v>29.516128764278299</v>
          </cell>
          <cell r="BI2356">
            <v>34</v>
          </cell>
          <cell r="BJ2356">
            <v>0</v>
          </cell>
        </row>
        <row r="2357">
          <cell r="D2357" t="str">
            <v>Ekonomická univerzita v Bratislave</v>
          </cell>
          <cell r="E2357" t="str">
            <v>Národohospodárska fakulta</v>
          </cell>
          <cell r="AN2357">
            <v>13</v>
          </cell>
          <cell r="AO2357">
            <v>13</v>
          </cell>
          <cell r="AP2357">
            <v>0</v>
          </cell>
          <cell r="AQ2357">
            <v>0</v>
          </cell>
          <cell r="AR2357">
            <v>13</v>
          </cell>
          <cell r="BF2357">
            <v>10</v>
          </cell>
          <cell r="BG2357">
            <v>10.4</v>
          </cell>
          <cell r="BH2357">
            <v>10.4</v>
          </cell>
          <cell r="BI2357">
            <v>13</v>
          </cell>
          <cell r="BJ2357">
            <v>0</v>
          </cell>
        </row>
        <row r="2358">
          <cell r="D2358" t="str">
            <v>Ekonomická univerzita v Bratislave</v>
          </cell>
          <cell r="E2358" t="str">
            <v>Obchodná fakulta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R2358">
            <v>0</v>
          </cell>
          <cell r="BF2358">
            <v>0</v>
          </cell>
          <cell r="BG2358">
            <v>0</v>
          </cell>
          <cell r="BH2358">
            <v>0</v>
          </cell>
          <cell r="BI2358">
            <v>4</v>
          </cell>
          <cell r="BJ2358">
            <v>0</v>
          </cell>
        </row>
        <row r="2359">
          <cell r="D2359" t="str">
            <v>Ekonomická univerzita v Bratislave</v>
          </cell>
          <cell r="E2359" t="str">
            <v>Obchodná fakulta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R2359">
            <v>0</v>
          </cell>
          <cell r="BF2359">
            <v>0</v>
          </cell>
          <cell r="BG2359">
            <v>0</v>
          </cell>
          <cell r="BH2359">
            <v>0</v>
          </cell>
          <cell r="BI2359">
            <v>8</v>
          </cell>
          <cell r="BJ2359">
            <v>0</v>
          </cell>
        </row>
        <row r="2360">
          <cell r="D2360" t="str">
            <v>Univerzita Konštantína Filozofa v Nitre</v>
          </cell>
          <cell r="E2360" t="str">
            <v>Fakulta stredoeurópskych štúdií</v>
          </cell>
          <cell r="AN2360">
            <v>12</v>
          </cell>
          <cell r="AO2360">
            <v>14</v>
          </cell>
          <cell r="AP2360">
            <v>0</v>
          </cell>
          <cell r="AQ2360">
            <v>0</v>
          </cell>
          <cell r="AR2360">
            <v>12</v>
          </cell>
          <cell r="BF2360">
            <v>18</v>
          </cell>
          <cell r="BG2360">
            <v>18.72</v>
          </cell>
          <cell r="BH2360">
            <v>18.72</v>
          </cell>
          <cell r="BI2360">
            <v>14</v>
          </cell>
          <cell r="BJ2360">
            <v>0</v>
          </cell>
        </row>
        <row r="2361">
          <cell r="D2361" t="str">
            <v>Univerzita Konštantína Filozofa v Nitre</v>
          </cell>
          <cell r="E2361" t="str">
            <v>Fakulta stredoeurópskych štúdií</v>
          </cell>
          <cell r="AN2361">
            <v>17</v>
          </cell>
          <cell r="AO2361">
            <v>18</v>
          </cell>
          <cell r="AP2361">
            <v>0</v>
          </cell>
          <cell r="AQ2361">
            <v>0</v>
          </cell>
          <cell r="AR2361">
            <v>17</v>
          </cell>
          <cell r="BF2361">
            <v>14.6</v>
          </cell>
          <cell r="BG2361">
            <v>15.183999999999999</v>
          </cell>
          <cell r="BH2361">
            <v>15.183999999999999</v>
          </cell>
          <cell r="BI2361">
            <v>18</v>
          </cell>
          <cell r="BJ2361">
            <v>0</v>
          </cell>
        </row>
        <row r="2362">
          <cell r="D2362" t="str">
            <v>Univerzita Konštantína Filozofa v Nitre</v>
          </cell>
          <cell r="E2362" t="str">
            <v>Fakulta stredoeurópskych štúdií</v>
          </cell>
          <cell r="AN2362">
            <v>12.5</v>
          </cell>
          <cell r="AO2362">
            <v>13.5</v>
          </cell>
          <cell r="AP2362">
            <v>0</v>
          </cell>
          <cell r="AQ2362">
            <v>0</v>
          </cell>
          <cell r="AR2362">
            <v>12.5</v>
          </cell>
          <cell r="BF2362">
            <v>18.75</v>
          </cell>
          <cell r="BG2362">
            <v>20.4375</v>
          </cell>
          <cell r="BH2362">
            <v>20.4375</v>
          </cell>
          <cell r="BI2362">
            <v>13.5</v>
          </cell>
          <cell r="BJ2362">
            <v>0</v>
          </cell>
        </row>
        <row r="2363">
          <cell r="D2363" t="str">
            <v>Univerzita Konštantína Filozofa v Nitre</v>
          </cell>
          <cell r="E2363" t="str">
            <v>Fakulta stredoeurópskych štúdií</v>
          </cell>
          <cell r="AN2363">
            <v>26</v>
          </cell>
          <cell r="AO2363">
            <v>27</v>
          </cell>
          <cell r="AP2363">
            <v>0</v>
          </cell>
          <cell r="AQ2363">
            <v>0</v>
          </cell>
          <cell r="AR2363">
            <v>26</v>
          </cell>
          <cell r="BF2363">
            <v>39</v>
          </cell>
          <cell r="BG2363">
            <v>46.41</v>
          </cell>
          <cell r="BH2363">
            <v>46.41</v>
          </cell>
          <cell r="BI2363">
            <v>27</v>
          </cell>
          <cell r="BJ2363">
            <v>0</v>
          </cell>
        </row>
        <row r="2364">
          <cell r="D2364" t="str">
            <v>Univerzita Konštantína Filozofa v Nitre</v>
          </cell>
          <cell r="E2364" t="str">
            <v>Fakulta stredoeurópskych štúdií</v>
          </cell>
          <cell r="AN2364">
            <v>57</v>
          </cell>
          <cell r="AO2364">
            <v>60</v>
          </cell>
          <cell r="AP2364">
            <v>0</v>
          </cell>
          <cell r="AQ2364">
            <v>0</v>
          </cell>
          <cell r="AR2364">
            <v>57</v>
          </cell>
          <cell r="BF2364">
            <v>52.8</v>
          </cell>
          <cell r="BG2364">
            <v>62.831999999999994</v>
          </cell>
          <cell r="BH2364">
            <v>62.831999999999994</v>
          </cell>
          <cell r="BI2364">
            <v>60</v>
          </cell>
          <cell r="BJ2364">
            <v>0</v>
          </cell>
        </row>
        <row r="2365">
          <cell r="D2365" t="str">
            <v>Univerzita Konštantína Filozofa v Nitre</v>
          </cell>
          <cell r="E2365" t="str">
            <v>Fakulta sociálnych vied a zdravotníctva</v>
          </cell>
          <cell r="AN2365">
            <v>0</v>
          </cell>
          <cell r="AO2365">
            <v>0</v>
          </cell>
          <cell r="AP2365">
            <v>0</v>
          </cell>
          <cell r="AQ2365">
            <v>0</v>
          </cell>
          <cell r="AR2365">
            <v>0</v>
          </cell>
          <cell r="BF2365">
            <v>0</v>
          </cell>
          <cell r="BG2365">
            <v>0</v>
          </cell>
          <cell r="BH2365">
            <v>0</v>
          </cell>
          <cell r="BI2365">
            <v>39</v>
          </cell>
          <cell r="BJ2365">
            <v>0</v>
          </cell>
        </row>
        <row r="2366">
          <cell r="D2366" t="str">
            <v>Univerzita Konštantína Filozofa v Nitre</v>
          </cell>
          <cell r="E2366" t="str">
            <v>Fakulta sociálnych vied a zdravotníctva</v>
          </cell>
          <cell r="AN2366">
            <v>3</v>
          </cell>
          <cell r="AO2366">
            <v>0</v>
          </cell>
          <cell r="AP2366">
            <v>0</v>
          </cell>
          <cell r="AQ2366">
            <v>0</v>
          </cell>
          <cell r="AR2366">
            <v>3</v>
          </cell>
          <cell r="BF2366">
            <v>12</v>
          </cell>
          <cell r="BG2366">
            <v>13.200000000000001</v>
          </cell>
          <cell r="BH2366">
            <v>13.200000000000001</v>
          </cell>
          <cell r="BI2366">
            <v>3</v>
          </cell>
          <cell r="BJ2366">
            <v>3</v>
          </cell>
        </row>
        <row r="2367">
          <cell r="D2367" t="str">
            <v>Univerzita Konštantína Filozofa v Nitre</v>
          </cell>
          <cell r="E2367" t="str">
            <v>Fakulta sociálnych vied a zdravotníctva</v>
          </cell>
          <cell r="AN2367">
            <v>5</v>
          </cell>
          <cell r="AO2367">
            <v>0</v>
          </cell>
          <cell r="AP2367">
            <v>0</v>
          </cell>
          <cell r="AQ2367">
            <v>0</v>
          </cell>
          <cell r="AR2367">
            <v>5</v>
          </cell>
          <cell r="BF2367">
            <v>20</v>
          </cell>
          <cell r="BG2367">
            <v>22</v>
          </cell>
          <cell r="BH2367">
            <v>22</v>
          </cell>
          <cell r="BI2367">
            <v>5</v>
          </cell>
          <cell r="BJ2367">
            <v>5</v>
          </cell>
        </row>
        <row r="2368">
          <cell r="D2368" t="str">
            <v>Univerzita Konštantína Filozofa v Nitre</v>
          </cell>
          <cell r="E2368" t="str">
            <v>Fakulta sociálnych vied a zdravotníctva</v>
          </cell>
          <cell r="AN2368">
            <v>50</v>
          </cell>
          <cell r="AO2368">
            <v>51</v>
          </cell>
          <cell r="AP2368">
            <v>0</v>
          </cell>
          <cell r="AQ2368">
            <v>0</v>
          </cell>
          <cell r="AR2368">
            <v>50</v>
          </cell>
          <cell r="BF2368">
            <v>75</v>
          </cell>
          <cell r="BG2368">
            <v>75</v>
          </cell>
          <cell r="BH2368">
            <v>57.954545454545453</v>
          </cell>
          <cell r="BI2368">
            <v>51</v>
          </cell>
          <cell r="BJ2368">
            <v>0</v>
          </cell>
        </row>
        <row r="2369">
          <cell r="D2369" t="str">
            <v>Univerzita Konštantína Filozofa v Nitre</v>
          </cell>
          <cell r="E2369" t="str">
            <v>Filozofická fakulta</v>
          </cell>
          <cell r="AN2369">
            <v>11</v>
          </cell>
          <cell r="AO2369">
            <v>11</v>
          </cell>
          <cell r="AP2369">
            <v>0</v>
          </cell>
          <cell r="AQ2369">
            <v>0</v>
          </cell>
          <cell r="AR2369">
            <v>11</v>
          </cell>
          <cell r="BF2369">
            <v>9.1999999999999993</v>
          </cell>
          <cell r="BG2369">
            <v>9.1999999999999993</v>
          </cell>
          <cell r="BH2369">
            <v>9.1999999999999993</v>
          </cell>
          <cell r="BI2369">
            <v>11</v>
          </cell>
          <cell r="BJ2369">
            <v>0</v>
          </cell>
        </row>
        <row r="2370">
          <cell r="D2370" t="str">
            <v>Univerzita Komenského v Bratislave</v>
          </cell>
          <cell r="E2370" t="str">
            <v>Fakulta matematiky, fyziky a informatiky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R2370">
            <v>0</v>
          </cell>
          <cell r="BF2370">
            <v>0</v>
          </cell>
          <cell r="BG2370">
            <v>0</v>
          </cell>
          <cell r="BH2370">
            <v>0</v>
          </cell>
          <cell r="BI2370">
            <v>4</v>
          </cell>
          <cell r="BJ2370">
            <v>0</v>
          </cell>
        </row>
        <row r="2371">
          <cell r="D2371" t="str">
            <v>Univerzita Komenského v Bratislave</v>
          </cell>
          <cell r="E2371" t="str">
            <v>Fakulta matematiky, fyziky a informatiky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BF2371">
            <v>0</v>
          </cell>
          <cell r="BG2371">
            <v>0</v>
          </cell>
          <cell r="BH2371">
            <v>0</v>
          </cell>
          <cell r="BI2371">
            <v>2</v>
          </cell>
          <cell r="BJ2371">
            <v>0</v>
          </cell>
        </row>
        <row r="2372">
          <cell r="D2372" t="str">
            <v>Univerzita Komenského v Bratislave</v>
          </cell>
          <cell r="E2372" t="str">
            <v>Fakulta matematiky, fyziky a informatiky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BF2372">
            <v>0</v>
          </cell>
          <cell r="BG2372">
            <v>0</v>
          </cell>
          <cell r="BH2372">
            <v>0</v>
          </cell>
          <cell r="BI2372">
            <v>2</v>
          </cell>
          <cell r="BJ2372">
            <v>0</v>
          </cell>
        </row>
        <row r="2373">
          <cell r="D2373" t="str">
            <v>Univerzita Komenského v Bratislave</v>
          </cell>
          <cell r="E2373" t="str">
            <v>Fakulta matematiky, fyziky a informatiky</v>
          </cell>
          <cell r="AN2373">
            <v>6</v>
          </cell>
          <cell r="AO2373">
            <v>7</v>
          </cell>
          <cell r="AP2373">
            <v>7</v>
          </cell>
          <cell r="AQ2373">
            <v>6</v>
          </cell>
          <cell r="AR2373">
            <v>6</v>
          </cell>
          <cell r="BF2373">
            <v>9</v>
          </cell>
          <cell r="BG2373">
            <v>13.32</v>
          </cell>
          <cell r="BH2373">
            <v>13.32</v>
          </cell>
          <cell r="BI2373">
            <v>7</v>
          </cell>
          <cell r="BJ2373">
            <v>0</v>
          </cell>
        </row>
        <row r="2374">
          <cell r="D2374" t="str">
            <v>Univerzita Komenského v Bratislave</v>
          </cell>
          <cell r="E2374" t="str">
            <v>Fakulta matematiky, fyziky a informatiky</v>
          </cell>
          <cell r="AN2374">
            <v>11</v>
          </cell>
          <cell r="AO2374">
            <v>12</v>
          </cell>
          <cell r="AP2374">
            <v>12</v>
          </cell>
          <cell r="AQ2374">
            <v>11</v>
          </cell>
          <cell r="AR2374">
            <v>11</v>
          </cell>
          <cell r="BF2374">
            <v>16.5</v>
          </cell>
          <cell r="BG2374">
            <v>24.419999999999998</v>
          </cell>
          <cell r="BH2374">
            <v>24.419999999999998</v>
          </cell>
          <cell r="BI2374">
            <v>12</v>
          </cell>
          <cell r="BJ2374">
            <v>0</v>
          </cell>
        </row>
        <row r="2375">
          <cell r="D2375" t="str">
            <v>Univerzita Komenského v Bratislave</v>
          </cell>
          <cell r="E2375" t="str">
            <v>Fakulta matematiky, fyziky a informatiky</v>
          </cell>
          <cell r="AN2375">
            <v>8</v>
          </cell>
          <cell r="AO2375">
            <v>0</v>
          </cell>
          <cell r="AP2375">
            <v>0</v>
          </cell>
          <cell r="AQ2375">
            <v>8</v>
          </cell>
          <cell r="AR2375">
            <v>8</v>
          </cell>
          <cell r="BF2375">
            <v>24</v>
          </cell>
          <cell r="BG2375">
            <v>51.12</v>
          </cell>
          <cell r="BH2375">
            <v>51.12</v>
          </cell>
          <cell r="BI2375">
            <v>8</v>
          </cell>
          <cell r="BJ2375">
            <v>8</v>
          </cell>
        </row>
        <row r="2376">
          <cell r="D2376" t="str">
            <v>Univerzita Komenského v Bratislave</v>
          </cell>
          <cell r="E2376" t="str">
            <v>Fakulta matematiky, fyziky a informatiky</v>
          </cell>
          <cell r="AN2376">
            <v>3</v>
          </cell>
          <cell r="AO2376">
            <v>0</v>
          </cell>
          <cell r="AP2376">
            <v>0</v>
          </cell>
          <cell r="AQ2376">
            <v>3</v>
          </cell>
          <cell r="AR2376">
            <v>3</v>
          </cell>
          <cell r="BF2376">
            <v>9</v>
          </cell>
          <cell r="BG2376">
            <v>19.169999999999998</v>
          </cell>
          <cell r="BH2376">
            <v>19.169999999999998</v>
          </cell>
          <cell r="BI2376">
            <v>3</v>
          </cell>
          <cell r="BJ2376">
            <v>3</v>
          </cell>
        </row>
        <row r="2377">
          <cell r="D2377" t="str">
            <v>Univerzita Komenského v Bratislave</v>
          </cell>
          <cell r="E2377" t="str">
            <v>Fakulta matematiky, fyziky a informatiky</v>
          </cell>
          <cell r="AN2377">
            <v>1</v>
          </cell>
          <cell r="AO2377">
            <v>0</v>
          </cell>
          <cell r="AP2377">
            <v>0</v>
          </cell>
          <cell r="AQ2377">
            <v>1</v>
          </cell>
          <cell r="AR2377">
            <v>1</v>
          </cell>
          <cell r="BF2377">
            <v>3</v>
          </cell>
          <cell r="BG2377">
            <v>6.39</v>
          </cell>
          <cell r="BH2377">
            <v>6.39</v>
          </cell>
          <cell r="BI2377">
            <v>1</v>
          </cell>
          <cell r="BJ2377">
            <v>1</v>
          </cell>
        </row>
        <row r="2378">
          <cell r="D2378" t="str">
            <v>Univerzita Komenského v Bratislave</v>
          </cell>
          <cell r="E2378" t="str">
            <v>Fakulta matematiky, fyziky a informatiky</v>
          </cell>
          <cell r="AN2378">
            <v>14</v>
          </cell>
          <cell r="AO2378">
            <v>15</v>
          </cell>
          <cell r="AP2378">
            <v>0</v>
          </cell>
          <cell r="AQ2378">
            <v>0</v>
          </cell>
          <cell r="AR2378">
            <v>14</v>
          </cell>
          <cell r="BF2378">
            <v>21</v>
          </cell>
          <cell r="BG2378">
            <v>24.99</v>
          </cell>
          <cell r="BH2378">
            <v>23.323999999999998</v>
          </cell>
          <cell r="BI2378">
            <v>15</v>
          </cell>
          <cell r="BJ2378">
            <v>0</v>
          </cell>
        </row>
        <row r="2379">
          <cell r="D2379" t="str">
            <v>Univerzita Komenského v Bratislave</v>
          </cell>
          <cell r="E2379" t="str">
            <v>Fakulta matematiky, fyziky a informatiky</v>
          </cell>
          <cell r="AN2379">
            <v>6.5</v>
          </cell>
          <cell r="AO2379">
            <v>7.5</v>
          </cell>
          <cell r="AP2379">
            <v>0</v>
          </cell>
          <cell r="AQ2379">
            <v>0</v>
          </cell>
          <cell r="AR2379">
            <v>6.5</v>
          </cell>
          <cell r="BF2379">
            <v>9.75</v>
          </cell>
          <cell r="BG2379">
            <v>14.04</v>
          </cell>
          <cell r="BH2379">
            <v>12.034285714285714</v>
          </cell>
          <cell r="BI2379">
            <v>7.5</v>
          </cell>
          <cell r="BJ2379">
            <v>0</v>
          </cell>
        </row>
        <row r="2380">
          <cell r="D2380" t="str">
            <v>Univerzita Komenského v Bratislave</v>
          </cell>
          <cell r="E2380" t="str">
            <v>Fakulta matematiky, fyziky a informatiky</v>
          </cell>
          <cell r="AN2380">
            <v>12</v>
          </cell>
          <cell r="AO2380">
            <v>13</v>
          </cell>
          <cell r="AP2380">
            <v>13</v>
          </cell>
          <cell r="AQ2380">
            <v>12</v>
          </cell>
          <cell r="AR2380">
            <v>12</v>
          </cell>
          <cell r="BF2380">
            <v>18</v>
          </cell>
          <cell r="BG2380">
            <v>23.76</v>
          </cell>
          <cell r="BH2380">
            <v>23.76</v>
          </cell>
          <cell r="BI2380">
            <v>13</v>
          </cell>
          <cell r="BJ2380">
            <v>0</v>
          </cell>
        </row>
        <row r="2381">
          <cell r="D2381" t="str">
            <v>Univerzita Komenského v Bratislave</v>
          </cell>
          <cell r="E2381" t="str">
            <v>Fakulta matematiky, fyziky a informatiky</v>
          </cell>
          <cell r="AN2381">
            <v>3</v>
          </cell>
          <cell r="AO2381">
            <v>4</v>
          </cell>
          <cell r="AP2381">
            <v>4</v>
          </cell>
          <cell r="AQ2381">
            <v>3</v>
          </cell>
          <cell r="AR2381">
            <v>3</v>
          </cell>
          <cell r="BF2381">
            <v>4.5</v>
          </cell>
          <cell r="BG2381">
            <v>6.66</v>
          </cell>
          <cell r="BH2381">
            <v>6.66</v>
          </cell>
          <cell r="BI2381">
            <v>4</v>
          </cell>
          <cell r="BJ2381">
            <v>0</v>
          </cell>
        </row>
        <row r="2382">
          <cell r="D2382" t="str">
            <v>Univerzita Komenského v Bratislave</v>
          </cell>
          <cell r="E2382" t="str">
            <v>Fakulta matematiky, fyziky a informatiky</v>
          </cell>
          <cell r="AN2382">
            <v>11</v>
          </cell>
          <cell r="AO2382">
            <v>13.5</v>
          </cell>
          <cell r="AP2382">
            <v>13.5</v>
          </cell>
          <cell r="AQ2382">
            <v>11</v>
          </cell>
          <cell r="AR2382">
            <v>11</v>
          </cell>
          <cell r="BF2382">
            <v>9.35</v>
          </cell>
          <cell r="BG2382">
            <v>13.463999999999999</v>
          </cell>
          <cell r="BH2382">
            <v>13.463999999999999</v>
          </cell>
          <cell r="BI2382">
            <v>13.5</v>
          </cell>
          <cell r="BJ2382">
            <v>0</v>
          </cell>
        </row>
        <row r="2383">
          <cell r="D2383" t="str">
            <v>Univerzita Komenského v Bratislave</v>
          </cell>
          <cell r="E2383" t="str">
            <v>Fakulta matematiky, fyziky a informatiky</v>
          </cell>
          <cell r="AN2383">
            <v>7</v>
          </cell>
          <cell r="AO2383">
            <v>9.5</v>
          </cell>
          <cell r="AP2383">
            <v>9.5</v>
          </cell>
          <cell r="AQ2383">
            <v>7</v>
          </cell>
          <cell r="AR2383">
            <v>7</v>
          </cell>
          <cell r="BF2383">
            <v>6.4</v>
          </cell>
          <cell r="BG2383">
            <v>7.6159999999999997</v>
          </cell>
          <cell r="BH2383">
            <v>7.6159999999999997</v>
          </cell>
          <cell r="BI2383">
            <v>9.5</v>
          </cell>
          <cell r="BJ2383">
            <v>0</v>
          </cell>
        </row>
        <row r="2384">
          <cell r="D2384" t="str">
            <v>Univerzita Komenského v Bratislave</v>
          </cell>
          <cell r="E2384" t="str">
            <v>Fakulta matematiky, fyziky a informatiky</v>
          </cell>
          <cell r="AN2384">
            <v>25</v>
          </cell>
          <cell r="AO2384">
            <v>26</v>
          </cell>
          <cell r="AP2384">
            <v>26</v>
          </cell>
          <cell r="AQ2384">
            <v>25</v>
          </cell>
          <cell r="AR2384">
            <v>25</v>
          </cell>
          <cell r="BF2384">
            <v>19.299999999999997</v>
          </cell>
          <cell r="BG2384">
            <v>28.563999999999997</v>
          </cell>
          <cell r="BH2384">
            <v>28.563999999999997</v>
          </cell>
          <cell r="BI2384">
            <v>26</v>
          </cell>
          <cell r="BJ2384">
            <v>0</v>
          </cell>
        </row>
        <row r="2385">
          <cell r="D2385" t="str">
            <v>Univerzita Komenského v Bratislave</v>
          </cell>
          <cell r="E2385" t="str">
            <v>Fakulta matematiky, fyziky a informatiky</v>
          </cell>
          <cell r="AN2385">
            <v>0.5</v>
          </cell>
          <cell r="AO2385">
            <v>1</v>
          </cell>
          <cell r="AP2385">
            <v>1</v>
          </cell>
          <cell r="AQ2385">
            <v>0.5</v>
          </cell>
          <cell r="AR2385">
            <v>0.5</v>
          </cell>
          <cell r="BF2385">
            <v>0.75</v>
          </cell>
          <cell r="BG2385">
            <v>1.08</v>
          </cell>
          <cell r="BH2385">
            <v>1.08</v>
          </cell>
          <cell r="BI2385">
            <v>1</v>
          </cell>
          <cell r="BJ2385">
            <v>0</v>
          </cell>
        </row>
        <row r="2386">
          <cell r="D2386" t="str">
            <v>Univerzita Konštantína Filozofa v Nitre</v>
          </cell>
          <cell r="E2386" t="str">
            <v>Fakulta prírodných vied</v>
          </cell>
          <cell r="AN2386">
            <v>0</v>
          </cell>
          <cell r="AO2386">
            <v>0</v>
          </cell>
          <cell r="AP2386">
            <v>0</v>
          </cell>
          <cell r="AQ2386">
            <v>0</v>
          </cell>
          <cell r="AR2386">
            <v>0</v>
          </cell>
          <cell r="BF2386">
            <v>0</v>
          </cell>
          <cell r="BG2386">
            <v>0</v>
          </cell>
          <cell r="BH2386">
            <v>0</v>
          </cell>
          <cell r="BI2386">
            <v>12</v>
          </cell>
          <cell r="BJ2386">
            <v>0</v>
          </cell>
        </row>
        <row r="2387">
          <cell r="D2387" t="str">
            <v>Univerzita Konštantína Filozofa v Nitre</v>
          </cell>
          <cell r="E2387" t="str">
            <v>Fakulta prírodných vied</v>
          </cell>
          <cell r="AN2387">
            <v>11</v>
          </cell>
          <cell r="AO2387">
            <v>11.5</v>
          </cell>
          <cell r="AP2387">
            <v>0</v>
          </cell>
          <cell r="AQ2387">
            <v>0</v>
          </cell>
          <cell r="AR2387">
            <v>11</v>
          </cell>
          <cell r="BF2387">
            <v>16.5</v>
          </cell>
          <cell r="BG2387">
            <v>17.985000000000003</v>
          </cell>
          <cell r="BH2387">
            <v>14.987500000000002</v>
          </cell>
          <cell r="BI2387">
            <v>11.5</v>
          </cell>
          <cell r="BJ2387">
            <v>0</v>
          </cell>
        </row>
        <row r="2388">
          <cell r="D2388" t="str">
            <v>Univerzita Konštantína Filozofa v Nitre</v>
          </cell>
          <cell r="E2388" t="str">
            <v>Fakulta prírodných vied</v>
          </cell>
          <cell r="AN2388">
            <v>41</v>
          </cell>
          <cell r="AO2388">
            <v>42.5</v>
          </cell>
          <cell r="AP2388">
            <v>0</v>
          </cell>
          <cell r="AQ2388">
            <v>0</v>
          </cell>
          <cell r="AR2388">
            <v>41</v>
          </cell>
          <cell r="BF2388">
            <v>61.5</v>
          </cell>
          <cell r="BG2388">
            <v>88.56</v>
          </cell>
          <cell r="BH2388">
            <v>79.989677419354834</v>
          </cell>
          <cell r="BI2388">
            <v>42.5</v>
          </cell>
          <cell r="BJ2388">
            <v>0</v>
          </cell>
        </row>
        <row r="2389">
          <cell r="D2389" t="str">
            <v>Univerzita Konštantína Filozofa v Nitre</v>
          </cell>
          <cell r="E2389" t="str">
            <v>Fakulta prírodných vied</v>
          </cell>
          <cell r="AN2389">
            <v>0</v>
          </cell>
          <cell r="AO2389">
            <v>0</v>
          </cell>
          <cell r="AP2389">
            <v>0</v>
          </cell>
          <cell r="AQ2389">
            <v>0</v>
          </cell>
          <cell r="AR2389">
            <v>0</v>
          </cell>
          <cell r="BF2389">
            <v>0</v>
          </cell>
          <cell r="BG2389">
            <v>0</v>
          </cell>
          <cell r="BH2389">
            <v>0</v>
          </cell>
          <cell r="BI2389">
            <v>1</v>
          </cell>
          <cell r="BJ2389">
            <v>0</v>
          </cell>
        </row>
        <row r="2390">
          <cell r="D2390" t="str">
            <v>Univerzita Konštantína Filozofa v Nitre</v>
          </cell>
          <cell r="E2390" t="str">
            <v>Fakulta prírodných vied</v>
          </cell>
          <cell r="AN2390">
            <v>11</v>
          </cell>
          <cell r="AO2390">
            <v>13</v>
          </cell>
          <cell r="AP2390">
            <v>0</v>
          </cell>
          <cell r="AQ2390">
            <v>0</v>
          </cell>
          <cell r="AR2390">
            <v>11</v>
          </cell>
          <cell r="BF2390">
            <v>16.5</v>
          </cell>
          <cell r="BG2390">
            <v>24.419999999999998</v>
          </cell>
          <cell r="BH2390">
            <v>13.149230769230767</v>
          </cell>
          <cell r="BI2390">
            <v>13</v>
          </cell>
          <cell r="BJ2390">
            <v>0</v>
          </cell>
        </row>
        <row r="2391">
          <cell r="D2391" t="str">
            <v>Univerzita Konštantína Filozofa v Nitre</v>
          </cell>
          <cell r="E2391" t="str">
            <v>Fakulta prírodných vied</v>
          </cell>
          <cell r="AN2391">
            <v>2</v>
          </cell>
          <cell r="AO2391">
            <v>0</v>
          </cell>
          <cell r="AP2391">
            <v>0</v>
          </cell>
          <cell r="AQ2391">
            <v>2</v>
          </cell>
          <cell r="AR2391">
            <v>2</v>
          </cell>
          <cell r="BF2391">
            <v>6</v>
          </cell>
          <cell r="BG2391">
            <v>12.78</v>
          </cell>
          <cell r="BH2391">
            <v>12.78</v>
          </cell>
          <cell r="BI2391">
            <v>2</v>
          </cell>
          <cell r="BJ2391">
            <v>2</v>
          </cell>
        </row>
        <row r="2392">
          <cell r="D2392" t="str">
            <v>Univerzita Konštantína Filozofa v Nitre</v>
          </cell>
          <cell r="E2392" t="str">
            <v>Fakulta prírodných vied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R2392">
            <v>0</v>
          </cell>
          <cell r="BF2392">
            <v>0</v>
          </cell>
          <cell r="BG2392">
            <v>0</v>
          </cell>
          <cell r="BH2392">
            <v>0</v>
          </cell>
          <cell r="BI2392">
            <v>27</v>
          </cell>
          <cell r="BJ2392">
            <v>0</v>
          </cell>
        </row>
        <row r="2393">
          <cell r="D2393" t="str">
            <v>Univerzita Konštantína Filozofa v Nitre</v>
          </cell>
          <cell r="E2393" t="str">
            <v>Fakulta prírodných vied</v>
          </cell>
          <cell r="AN2393">
            <v>21.5</v>
          </cell>
          <cell r="AO2393">
            <v>22.5</v>
          </cell>
          <cell r="AP2393">
            <v>22.5</v>
          </cell>
          <cell r="AQ2393">
            <v>21.5</v>
          </cell>
          <cell r="AR2393">
            <v>21.5</v>
          </cell>
          <cell r="BF2393">
            <v>32.25</v>
          </cell>
          <cell r="BG2393">
            <v>46.44</v>
          </cell>
          <cell r="BH2393">
            <v>43.995789473684212</v>
          </cell>
          <cell r="BI2393">
            <v>22.5</v>
          </cell>
          <cell r="BJ2393">
            <v>0</v>
          </cell>
        </row>
        <row r="2394">
          <cell r="D2394" t="str">
            <v>Univerzita Konštantína Filozofa v Nitre</v>
          </cell>
          <cell r="E2394" t="str">
            <v>Fakulta prírodných vied</v>
          </cell>
          <cell r="AN2394">
            <v>8.5</v>
          </cell>
          <cell r="AO2394">
            <v>9</v>
          </cell>
          <cell r="AP2394">
            <v>9</v>
          </cell>
          <cell r="AQ2394">
            <v>8.5</v>
          </cell>
          <cell r="AR2394">
            <v>8.5</v>
          </cell>
          <cell r="BF2394">
            <v>12.75</v>
          </cell>
          <cell r="BG2394">
            <v>15.172499999999999</v>
          </cell>
          <cell r="BH2394">
            <v>15.172499999999999</v>
          </cell>
          <cell r="BI2394">
            <v>9</v>
          </cell>
          <cell r="BJ2394">
            <v>0</v>
          </cell>
        </row>
        <row r="2395">
          <cell r="D2395" t="str">
            <v>Univerzita Konštantína Filozofa v Nitre</v>
          </cell>
          <cell r="E2395" t="str">
            <v>Fakulta prírodných vied</v>
          </cell>
          <cell r="AN2395">
            <v>11.5</v>
          </cell>
          <cell r="AO2395">
            <v>16</v>
          </cell>
          <cell r="AP2395">
            <v>16</v>
          </cell>
          <cell r="AQ2395">
            <v>11.5</v>
          </cell>
          <cell r="AR2395">
            <v>11.5</v>
          </cell>
          <cell r="BF2395">
            <v>9.1</v>
          </cell>
          <cell r="BG2395">
            <v>10.828999999999999</v>
          </cell>
          <cell r="BH2395">
            <v>10.828999999999999</v>
          </cell>
          <cell r="BI2395">
            <v>16</v>
          </cell>
          <cell r="BJ2395">
            <v>0</v>
          </cell>
        </row>
        <row r="2396">
          <cell r="D2396" t="str">
            <v>Univerzita Konštantína Filozofa v Nitre</v>
          </cell>
          <cell r="E2396" t="str">
            <v>Fakulta prírodných vied</v>
          </cell>
          <cell r="AN2396">
            <v>63</v>
          </cell>
          <cell r="AO2396">
            <v>68</v>
          </cell>
          <cell r="AP2396">
            <v>0</v>
          </cell>
          <cell r="AQ2396">
            <v>0</v>
          </cell>
          <cell r="AR2396">
            <v>63</v>
          </cell>
          <cell r="BF2396">
            <v>94.5</v>
          </cell>
          <cell r="BG2396">
            <v>139.85999999999999</v>
          </cell>
          <cell r="BH2396">
            <v>116.55</v>
          </cell>
          <cell r="BI2396">
            <v>68</v>
          </cell>
          <cell r="BJ2396">
            <v>0</v>
          </cell>
        </row>
        <row r="2397">
          <cell r="D2397" t="str">
            <v>Univerzita Konštantína Filozofa v Nitre</v>
          </cell>
          <cell r="E2397" t="str">
            <v>Pedagogická fakulta</v>
          </cell>
          <cell r="AN2397">
            <v>0</v>
          </cell>
          <cell r="AO2397">
            <v>0.5</v>
          </cell>
          <cell r="AP2397">
            <v>0</v>
          </cell>
          <cell r="AQ2397">
            <v>0</v>
          </cell>
          <cell r="AR2397">
            <v>0</v>
          </cell>
          <cell r="BF2397">
            <v>0</v>
          </cell>
          <cell r="BG2397">
            <v>0</v>
          </cell>
          <cell r="BH2397">
            <v>0</v>
          </cell>
          <cell r="BI2397">
            <v>0.5</v>
          </cell>
          <cell r="BJ2397">
            <v>0</v>
          </cell>
        </row>
        <row r="2398">
          <cell r="D2398" t="str">
            <v>Univerzita Konštantína Filozofa v Nitre</v>
          </cell>
          <cell r="E2398" t="str">
            <v>Fakulta prírodných vied</v>
          </cell>
          <cell r="AN2398">
            <v>3</v>
          </cell>
          <cell r="AO2398">
            <v>4</v>
          </cell>
          <cell r="AP2398">
            <v>4</v>
          </cell>
          <cell r="AQ2398">
            <v>3</v>
          </cell>
          <cell r="AR2398">
            <v>3</v>
          </cell>
          <cell r="BF2398">
            <v>2.4</v>
          </cell>
          <cell r="BG2398">
            <v>3.552</v>
          </cell>
          <cell r="BH2398">
            <v>3.552</v>
          </cell>
          <cell r="BI2398">
            <v>4</v>
          </cell>
          <cell r="BJ2398">
            <v>0</v>
          </cell>
        </row>
        <row r="2399">
          <cell r="D2399" t="str">
            <v>Univerzita Konštantína Filozofa v Nitre</v>
          </cell>
          <cell r="E2399" t="str">
            <v>Fakulta prírodných vied</v>
          </cell>
          <cell r="AN2399">
            <v>5</v>
          </cell>
          <cell r="AO2399">
            <v>8</v>
          </cell>
          <cell r="AP2399">
            <v>8</v>
          </cell>
          <cell r="AQ2399">
            <v>5</v>
          </cell>
          <cell r="AR2399">
            <v>5</v>
          </cell>
          <cell r="BF2399">
            <v>5</v>
          </cell>
          <cell r="BG2399">
            <v>7.4</v>
          </cell>
          <cell r="BH2399">
            <v>7.4</v>
          </cell>
          <cell r="BI2399">
            <v>8</v>
          </cell>
          <cell r="BJ2399">
            <v>0</v>
          </cell>
        </row>
        <row r="2400">
          <cell r="D2400" t="str">
            <v>Univerzita Konštantína Filozofa v Nitre</v>
          </cell>
          <cell r="E2400" t="str">
            <v>Fakulta prírodných vied</v>
          </cell>
          <cell r="AN2400">
            <v>5</v>
          </cell>
          <cell r="AO2400">
            <v>5</v>
          </cell>
          <cell r="AP2400">
            <v>5</v>
          </cell>
          <cell r="AQ2400">
            <v>5</v>
          </cell>
          <cell r="AR2400">
            <v>5</v>
          </cell>
          <cell r="BF2400">
            <v>5</v>
          </cell>
          <cell r="BG2400">
            <v>7.4</v>
          </cell>
          <cell r="BH2400">
            <v>7.4</v>
          </cell>
          <cell r="BI2400">
            <v>5</v>
          </cell>
          <cell r="BJ2400">
            <v>0</v>
          </cell>
        </row>
        <row r="2401">
          <cell r="D2401" t="str">
            <v>Univerzita Konštantína Filozofa v Nitre</v>
          </cell>
          <cell r="E2401" t="str">
            <v>Fakulta prírodných vied</v>
          </cell>
          <cell r="AN2401">
            <v>5.5</v>
          </cell>
          <cell r="AO2401">
            <v>6</v>
          </cell>
          <cell r="AP2401">
            <v>6</v>
          </cell>
          <cell r="AQ2401">
            <v>5.5</v>
          </cell>
          <cell r="AR2401">
            <v>5.5</v>
          </cell>
          <cell r="BF2401">
            <v>4.9000000000000004</v>
          </cell>
          <cell r="BG2401">
            <v>7.056</v>
          </cell>
          <cell r="BH2401">
            <v>7.056</v>
          </cell>
          <cell r="BI2401">
            <v>6</v>
          </cell>
          <cell r="BJ2401">
            <v>0</v>
          </cell>
        </row>
        <row r="2402">
          <cell r="D2402" t="str">
            <v>Univerzita Konštantína Filozofa v Nitre</v>
          </cell>
          <cell r="E2402" t="str">
            <v>Fakulta prírodných vied</v>
          </cell>
          <cell r="AN2402">
            <v>0</v>
          </cell>
          <cell r="AO2402">
            <v>0</v>
          </cell>
          <cell r="AP2402">
            <v>0</v>
          </cell>
          <cell r="AQ2402">
            <v>0</v>
          </cell>
          <cell r="AR2402">
            <v>0</v>
          </cell>
          <cell r="BF2402">
            <v>0</v>
          </cell>
          <cell r="BG2402">
            <v>0</v>
          </cell>
          <cell r="BH2402">
            <v>0</v>
          </cell>
          <cell r="BI2402">
            <v>3</v>
          </cell>
          <cell r="BJ2402">
            <v>0</v>
          </cell>
        </row>
        <row r="2403">
          <cell r="D2403" t="str">
            <v>Univerzita Konštantína Filozofa v Nitre</v>
          </cell>
          <cell r="E2403" t="str">
            <v>Fakulta prírodných vied</v>
          </cell>
          <cell r="AN2403">
            <v>4</v>
          </cell>
          <cell r="AO2403">
            <v>5</v>
          </cell>
          <cell r="AP2403">
            <v>0</v>
          </cell>
          <cell r="AQ2403">
            <v>0</v>
          </cell>
          <cell r="AR2403">
            <v>4</v>
          </cell>
          <cell r="BF2403">
            <v>6</v>
          </cell>
          <cell r="BG2403">
            <v>7.92</v>
          </cell>
          <cell r="BH2403">
            <v>5.28</v>
          </cell>
          <cell r="BI2403">
            <v>5</v>
          </cell>
          <cell r="BJ2403">
            <v>0</v>
          </cell>
        </row>
        <row r="2404">
          <cell r="D2404" t="str">
            <v>Slovenská technická univerzita v Bratislave</v>
          </cell>
          <cell r="E2404" t="str">
            <v>Strojnícka fakulta</v>
          </cell>
          <cell r="AN2404">
            <v>36</v>
          </cell>
          <cell r="AO2404">
            <v>41</v>
          </cell>
          <cell r="AP2404">
            <v>41</v>
          </cell>
          <cell r="AQ2404">
            <v>36</v>
          </cell>
          <cell r="AR2404">
            <v>36</v>
          </cell>
          <cell r="BF2404">
            <v>54</v>
          </cell>
          <cell r="BG2404">
            <v>79.92</v>
          </cell>
          <cell r="BH2404">
            <v>79.92</v>
          </cell>
          <cell r="BI2404">
            <v>41</v>
          </cell>
          <cell r="BJ2404">
            <v>0</v>
          </cell>
        </row>
        <row r="2405">
          <cell r="D2405" t="str">
            <v>Slovenská technická univerzita v Bratislave</v>
          </cell>
          <cell r="E2405" t="str">
            <v>Fakulta elektrotechniky a informatiky</v>
          </cell>
          <cell r="AN2405">
            <v>0</v>
          </cell>
          <cell r="AO2405">
            <v>0</v>
          </cell>
          <cell r="AP2405">
            <v>0</v>
          </cell>
          <cell r="AQ2405">
            <v>0</v>
          </cell>
          <cell r="AR2405">
            <v>0</v>
          </cell>
          <cell r="BF2405">
            <v>0</v>
          </cell>
          <cell r="BG2405">
            <v>0</v>
          </cell>
          <cell r="BH2405">
            <v>0</v>
          </cell>
          <cell r="BI2405">
            <v>2</v>
          </cell>
          <cell r="BJ2405">
            <v>0</v>
          </cell>
        </row>
        <row r="2406">
          <cell r="D2406" t="str">
            <v>Slovenská technická univerzita v Bratislave</v>
          </cell>
          <cell r="E2406" t="str">
            <v>Fakulta chemickej a potravinárskej technológie</v>
          </cell>
          <cell r="AN2406">
            <v>0</v>
          </cell>
          <cell r="AO2406">
            <v>0</v>
          </cell>
          <cell r="AP2406">
            <v>0</v>
          </cell>
          <cell r="AQ2406">
            <v>0</v>
          </cell>
          <cell r="AR2406">
            <v>0</v>
          </cell>
          <cell r="BF2406">
            <v>0</v>
          </cell>
          <cell r="BG2406">
            <v>0</v>
          </cell>
          <cell r="BH2406">
            <v>0</v>
          </cell>
          <cell r="BI2406">
            <v>4</v>
          </cell>
          <cell r="BJ2406">
            <v>0</v>
          </cell>
        </row>
        <row r="2407">
          <cell r="D2407" t="str">
            <v>Slovenská technická univerzita v Bratislave</v>
          </cell>
          <cell r="E2407" t="str">
            <v>Materiálovotechnologická fakulta so sídlom v Trnave</v>
          </cell>
          <cell r="AN2407">
            <v>46</v>
          </cell>
          <cell r="AO2407">
            <v>51</v>
          </cell>
          <cell r="AP2407">
            <v>51</v>
          </cell>
          <cell r="AQ2407">
            <v>46</v>
          </cell>
          <cell r="AR2407">
            <v>46</v>
          </cell>
          <cell r="BF2407">
            <v>35.799999999999997</v>
          </cell>
          <cell r="BG2407">
            <v>52.983999999999995</v>
          </cell>
          <cell r="BH2407">
            <v>52.983999999999995</v>
          </cell>
          <cell r="BI2407">
            <v>51</v>
          </cell>
          <cell r="BJ2407">
            <v>0</v>
          </cell>
        </row>
        <row r="2408">
          <cell r="D2408" t="str">
            <v>Slovenská technická univerzita v Bratislave</v>
          </cell>
          <cell r="E2408" t="str">
            <v>Fakulta architektúry a dizajnu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R2408">
            <v>0</v>
          </cell>
          <cell r="BF2408">
            <v>0</v>
          </cell>
          <cell r="BG2408">
            <v>0</v>
          </cell>
          <cell r="BH2408">
            <v>0</v>
          </cell>
          <cell r="BI2408">
            <v>5</v>
          </cell>
          <cell r="BJ2408">
            <v>0</v>
          </cell>
        </row>
        <row r="2409">
          <cell r="D2409" t="str">
            <v>Slovenská technická univerzita v Bratislave</v>
          </cell>
          <cell r="E2409" t="str">
            <v>Fakulta chemickej a potravinárskej technológie</v>
          </cell>
          <cell r="AN2409">
            <v>0</v>
          </cell>
          <cell r="AO2409">
            <v>0</v>
          </cell>
          <cell r="AP2409">
            <v>0</v>
          </cell>
          <cell r="AQ2409">
            <v>0</v>
          </cell>
          <cell r="AR2409">
            <v>0</v>
          </cell>
          <cell r="BF2409">
            <v>0</v>
          </cell>
          <cell r="BG2409">
            <v>0</v>
          </cell>
          <cell r="BH2409">
            <v>0</v>
          </cell>
          <cell r="BI2409">
            <v>1</v>
          </cell>
          <cell r="BJ2409">
            <v>0</v>
          </cell>
        </row>
        <row r="2410">
          <cell r="D2410" t="str">
            <v>Slovenská technická univerzita v Bratislave</v>
          </cell>
          <cell r="E2410" t="str">
            <v>Materiálovotechnologická fakulta so sídlom v Trnave</v>
          </cell>
          <cell r="AN2410">
            <v>39</v>
          </cell>
          <cell r="AO2410">
            <v>51</v>
          </cell>
          <cell r="AP2410">
            <v>0</v>
          </cell>
          <cell r="AQ2410">
            <v>0</v>
          </cell>
          <cell r="AR2410">
            <v>39</v>
          </cell>
          <cell r="BF2410">
            <v>58.5</v>
          </cell>
          <cell r="BG2410">
            <v>86.58</v>
          </cell>
          <cell r="BH2410">
            <v>75.757499999999993</v>
          </cell>
          <cell r="BI2410">
            <v>51</v>
          </cell>
          <cell r="BJ2410">
            <v>0</v>
          </cell>
        </row>
        <row r="2411">
          <cell r="D2411" t="str">
            <v>Slovenská technická univerzita v Bratislave</v>
          </cell>
          <cell r="E2411" t="str">
            <v>Strojnícka fakulta</v>
          </cell>
          <cell r="AN2411">
            <v>0</v>
          </cell>
          <cell r="AO2411">
            <v>0</v>
          </cell>
          <cell r="AP2411">
            <v>0</v>
          </cell>
          <cell r="AQ2411">
            <v>0</v>
          </cell>
          <cell r="AR2411">
            <v>0</v>
          </cell>
          <cell r="BF2411">
            <v>0</v>
          </cell>
          <cell r="BG2411">
            <v>0</v>
          </cell>
          <cell r="BH2411">
            <v>0</v>
          </cell>
          <cell r="BI2411">
            <v>3</v>
          </cell>
          <cell r="BJ2411">
            <v>0</v>
          </cell>
        </row>
        <row r="2412">
          <cell r="D2412" t="str">
            <v>Slovenská technická univerzita v Bratislave</v>
          </cell>
          <cell r="E2412" t="str">
            <v>Fakulta architektúry a dizajnu</v>
          </cell>
          <cell r="AN2412">
            <v>197</v>
          </cell>
          <cell r="AO2412">
            <v>206</v>
          </cell>
          <cell r="AP2412">
            <v>0</v>
          </cell>
          <cell r="AQ2412">
            <v>0</v>
          </cell>
          <cell r="AR2412">
            <v>197</v>
          </cell>
          <cell r="BF2412">
            <v>295.5</v>
          </cell>
          <cell r="BG2412">
            <v>443.25</v>
          </cell>
          <cell r="BH2412">
            <v>351.08910891089113</v>
          </cell>
          <cell r="BI2412">
            <v>206</v>
          </cell>
          <cell r="BJ2412">
            <v>0</v>
          </cell>
        </row>
        <row r="2413">
          <cell r="D2413" t="str">
            <v>Slovenská technická univerzita v Bratislave</v>
          </cell>
          <cell r="E2413" t="str">
            <v>Strojnícka fakulta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R2413">
            <v>0</v>
          </cell>
          <cell r="BF2413">
            <v>0</v>
          </cell>
          <cell r="BG2413">
            <v>0</v>
          </cell>
          <cell r="BH2413">
            <v>0</v>
          </cell>
          <cell r="BI2413">
            <v>2</v>
          </cell>
          <cell r="BJ2413">
            <v>0</v>
          </cell>
        </row>
        <row r="2414">
          <cell r="D2414" t="str">
            <v>Slovenská technická univerzita v Bratislave</v>
          </cell>
          <cell r="E2414" t="str">
            <v>Fakulta chemickej a potravinárskej technológie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BF2414">
            <v>0</v>
          </cell>
          <cell r="BG2414">
            <v>0</v>
          </cell>
          <cell r="BH2414">
            <v>0</v>
          </cell>
          <cell r="BI2414">
            <v>4</v>
          </cell>
          <cell r="BJ2414">
            <v>0</v>
          </cell>
        </row>
        <row r="2415">
          <cell r="D2415" t="str">
            <v>Slovenská technická univerzita v Bratislave</v>
          </cell>
          <cell r="E2415" t="str">
            <v>Fakulta chemickej a potravinárskej technológie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R2415">
            <v>0</v>
          </cell>
          <cell r="BF2415">
            <v>0</v>
          </cell>
          <cell r="BG2415">
            <v>0</v>
          </cell>
          <cell r="BH2415">
            <v>0</v>
          </cell>
          <cell r="BI2415">
            <v>4</v>
          </cell>
          <cell r="BJ2415">
            <v>0</v>
          </cell>
        </row>
        <row r="2416">
          <cell r="D2416" t="str">
            <v>Slovenská technická univerzita v Bratislave</v>
          </cell>
          <cell r="E2416" t="str">
            <v>Fakulta elektrotechniky a informatiky</v>
          </cell>
          <cell r="AN2416">
            <v>65</v>
          </cell>
          <cell r="AO2416">
            <v>70</v>
          </cell>
          <cell r="AP2416">
            <v>70</v>
          </cell>
          <cell r="AQ2416">
            <v>65</v>
          </cell>
          <cell r="AR2416">
            <v>65</v>
          </cell>
          <cell r="BF2416">
            <v>97.5</v>
          </cell>
          <cell r="BG2416">
            <v>144.30000000000001</v>
          </cell>
          <cell r="BH2416">
            <v>141.09333333333333</v>
          </cell>
          <cell r="BI2416">
            <v>70</v>
          </cell>
          <cell r="BJ2416">
            <v>0</v>
          </cell>
        </row>
        <row r="2417">
          <cell r="D2417" t="str">
            <v>Slovenská technická univerzita v Bratislave</v>
          </cell>
          <cell r="E2417" t="str">
            <v>Stavebná fakulta</v>
          </cell>
          <cell r="AN2417">
            <v>80</v>
          </cell>
          <cell r="AO2417">
            <v>89</v>
          </cell>
          <cell r="AP2417">
            <v>0</v>
          </cell>
          <cell r="AQ2417">
            <v>0</v>
          </cell>
          <cell r="AR2417">
            <v>80</v>
          </cell>
          <cell r="BF2417">
            <v>120</v>
          </cell>
          <cell r="BG2417">
            <v>177.6</v>
          </cell>
          <cell r="BH2417">
            <v>165.76</v>
          </cell>
          <cell r="BI2417">
            <v>89</v>
          </cell>
          <cell r="BJ2417">
            <v>0</v>
          </cell>
        </row>
        <row r="2418">
          <cell r="D2418" t="str">
            <v>Slovenská technická univerzita v Bratislave</v>
          </cell>
          <cell r="E2418" t="str">
            <v>Fakulta chemickej a potravinárskej technológie</v>
          </cell>
          <cell r="AN2418">
            <v>27</v>
          </cell>
          <cell r="AO2418">
            <v>29</v>
          </cell>
          <cell r="AP2418">
            <v>29</v>
          </cell>
          <cell r="AQ2418">
            <v>27</v>
          </cell>
          <cell r="AR2418">
            <v>27</v>
          </cell>
          <cell r="BF2418">
            <v>40.5</v>
          </cell>
          <cell r="BG2418">
            <v>59.94</v>
          </cell>
          <cell r="BH2418">
            <v>59.94</v>
          </cell>
          <cell r="BI2418">
            <v>29</v>
          </cell>
          <cell r="BJ2418">
            <v>0</v>
          </cell>
        </row>
        <row r="2419">
          <cell r="D2419" t="str">
            <v>Slovenská technická univerzita v Bratislave</v>
          </cell>
          <cell r="E2419" t="str">
            <v>Fakulta chemickej a potravinárskej technológie</v>
          </cell>
          <cell r="AN2419">
            <v>7</v>
          </cell>
          <cell r="AO2419">
            <v>0</v>
          </cell>
          <cell r="AP2419">
            <v>0</v>
          </cell>
          <cell r="AQ2419">
            <v>7</v>
          </cell>
          <cell r="AR2419">
            <v>7</v>
          </cell>
          <cell r="BF2419">
            <v>21</v>
          </cell>
          <cell r="BG2419">
            <v>44.73</v>
          </cell>
          <cell r="BH2419">
            <v>44.73</v>
          </cell>
          <cell r="BI2419">
            <v>7</v>
          </cell>
          <cell r="BJ2419">
            <v>7</v>
          </cell>
        </row>
        <row r="2420">
          <cell r="D2420" t="str">
            <v>Slovenská technická univerzita v Bratislave</v>
          </cell>
          <cell r="E2420" t="str">
            <v>Fakulta chemickej a potravinárskej technológie</v>
          </cell>
          <cell r="AN2420">
            <v>0</v>
          </cell>
          <cell r="AO2420">
            <v>0</v>
          </cell>
          <cell r="AP2420">
            <v>0</v>
          </cell>
          <cell r="AQ2420">
            <v>0</v>
          </cell>
          <cell r="AR2420">
            <v>0</v>
          </cell>
          <cell r="BF2420">
            <v>0</v>
          </cell>
          <cell r="BG2420">
            <v>0</v>
          </cell>
          <cell r="BH2420">
            <v>0</v>
          </cell>
          <cell r="BI2420">
            <v>1</v>
          </cell>
          <cell r="BJ2420">
            <v>0</v>
          </cell>
        </row>
        <row r="2421">
          <cell r="D2421" t="str">
            <v>Slovenská technická univerzita v Bratislave</v>
          </cell>
          <cell r="E2421" t="str">
            <v>Fakulta architektúry a dizajnu</v>
          </cell>
          <cell r="AN2421">
            <v>14</v>
          </cell>
          <cell r="AO2421">
            <v>15</v>
          </cell>
          <cell r="AP2421">
            <v>0</v>
          </cell>
          <cell r="AQ2421">
            <v>0</v>
          </cell>
          <cell r="AR2421">
            <v>14</v>
          </cell>
          <cell r="BF2421">
            <v>21</v>
          </cell>
          <cell r="BG2421">
            <v>31.5</v>
          </cell>
          <cell r="BH2421">
            <v>25.200000000000003</v>
          </cell>
          <cell r="BI2421">
            <v>15</v>
          </cell>
          <cell r="BJ2421">
            <v>0</v>
          </cell>
        </row>
        <row r="2422">
          <cell r="D2422" t="str">
            <v>Slovenská technická univerzita v Bratislave</v>
          </cell>
          <cell r="E2422" t="str">
            <v>Fakulta elektrotechniky a informatiky</v>
          </cell>
          <cell r="AN2422">
            <v>6</v>
          </cell>
          <cell r="AO2422">
            <v>0</v>
          </cell>
          <cell r="AP2422">
            <v>0</v>
          </cell>
          <cell r="AQ2422">
            <v>6</v>
          </cell>
          <cell r="AR2422">
            <v>6</v>
          </cell>
          <cell r="BF2422">
            <v>24</v>
          </cell>
          <cell r="BG2422">
            <v>51.12</v>
          </cell>
          <cell r="BH2422">
            <v>51.12</v>
          </cell>
          <cell r="BI2422">
            <v>6</v>
          </cell>
          <cell r="BJ2422">
            <v>6</v>
          </cell>
        </row>
        <row r="2423">
          <cell r="D2423" t="str">
            <v>Slovenská technická univerzita v Bratislave</v>
          </cell>
          <cell r="E2423" t="str">
            <v>Stavebná fakulta</v>
          </cell>
          <cell r="AN2423">
            <v>16</v>
          </cell>
          <cell r="AO2423">
            <v>18</v>
          </cell>
          <cell r="AP2423">
            <v>0</v>
          </cell>
          <cell r="AQ2423">
            <v>0</v>
          </cell>
          <cell r="AR2423">
            <v>16</v>
          </cell>
          <cell r="BF2423">
            <v>24</v>
          </cell>
          <cell r="BG2423">
            <v>38.160000000000004</v>
          </cell>
          <cell r="BH2423">
            <v>38.160000000000004</v>
          </cell>
          <cell r="BI2423">
            <v>18</v>
          </cell>
          <cell r="BJ2423">
            <v>0</v>
          </cell>
        </row>
        <row r="2424">
          <cell r="D2424" t="str">
            <v>Slovenská technická univerzita v Bratislave</v>
          </cell>
          <cell r="E2424" t="str">
            <v>Fakulta chemickej a potravinárskej technológie</v>
          </cell>
          <cell r="AN2424">
            <v>8</v>
          </cell>
          <cell r="AO2424">
            <v>0</v>
          </cell>
          <cell r="AP2424">
            <v>0</v>
          </cell>
          <cell r="AQ2424">
            <v>8</v>
          </cell>
          <cell r="AR2424">
            <v>8</v>
          </cell>
          <cell r="BF2424">
            <v>24</v>
          </cell>
          <cell r="BG2424">
            <v>51.12</v>
          </cell>
          <cell r="BH2424">
            <v>51.12</v>
          </cell>
          <cell r="BI2424">
            <v>8</v>
          </cell>
          <cell r="BJ2424">
            <v>8</v>
          </cell>
        </row>
        <row r="2425">
          <cell r="D2425" t="str">
            <v>Slovenská technická univerzita v Bratislave</v>
          </cell>
          <cell r="E2425" t="str">
            <v>Fakulta informatiky a informačných technológií</v>
          </cell>
          <cell r="AN2425">
            <v>1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BF2425">
            <v>0</v>
          </cell>
          <cell r="BG2425">
            <v>0</v>
          </cell>
          <cell r="BH2425">
            <v>0</v>
          </cell>
          <cell r="BI2425">
            <v>4</v>
          </cell>
          <cell r="BJ2425">
            <v>0</v>
          </cell>
        </row>
        <row r="2426">
          <cell r="D2426" t="str">
            <v>Slovenská technická univerzita v Bratislave</v>
          </cell>
          <cell r="E2426" t="str">
            <v>Fakulta informatiky a informačných technológií</v>
          </cell>
          <cell r="AN2426">
            <v>241</v>
          </cell>
          <cell r="AO2426">
            <v>275</v>
          </cell>
          <cell r="AP2426">
            <v>275</v>
          </cell>
          <cell r="AQ2426">
            <v>241</v>
          </cell>
          <cell r="AR2426">
            <v>241</v>
          </cell>
          <cell r="BF2426">
            <v>361.5</v>
          </cell>
          <cell r="BG2426">
            <v>535.02</v>
          </cell>
          <cell r="BH2426">
            <v>529.44687499999998</v>
          </cell>
          <cell r="BI2426">
            <v>275</v>
          </cell>
          <cell r="BJ2426">
            <v>0</v>
          </cell>
        </row>
        <row r="2427">
          <cell r="D2427" t="str">
            <v>Slovenská technická univerzita v Bratislave</v>
          </cell>
          <cell r="E2427" t="str">
            <v>Fakulta chemickej a potravinárskej technológie</v>
          </cell>
          <cell r="AN2427">
            <v>4</v>
          </cell>
          <cell r="AO2427">
            <v>0</v>
          </cell>
          <cell r="AP2427">
            <v>0</v>
          </cell>
          <cell r="AQ2427">
            <v>4</v>
          </cell>
          <cell r="AR2427">
            <v>4</v>
          </cell>
          <cell r="BF2427">
            <v>12</v>
          </cell>
          <cell r="BG2427">
            <v>25.56</v>
          </cell>
          <cell r="BH2427">
            <v>25.56</v>
          </cell>
          <cell r="BI2427">
            <v>4</v>
          </cell>
          <cell r="BJ2427">
            <v>4</v>
          </cell>
        </row>
        <row r="2428">
          <cell r="D2428" t="str">
            <v>Slovenská technická univerzita v Bratislave</v>
          </cell>
          <cell r="E2428" t="str">
            <v>Strojnícka fakulta</v>
          </cell>
          <cell r="AN2428">
            <v>3</v>
          </cell>
          <cell r="AO2428">
            <v>0</v>
          </cell>
          <cell r="AP2428">
            <v>0</v>
          </cell>
          <cell r="AQ2428">
            <v>3</v>
          </cell>
          <cell r="AR2428">
            <v>3</v>
          </cell>
          <cell r="BF2428">
            <v>12</v>
          </cell>
          <cell r="BG2428">
            <v>25.56</v>
          </cell>
          <cell r="BH2428">
            <v>25.56</v>
          </cell>
          <cell r="BI2428">
            <v>3</v>
          </cell>
          <cell r="BJ2428">
            <v>3</v>
          </cell>
        </row>
        <row r="2429">
          <cell r="D2429" t="str">
            <v>Slovenská technická univerzita v Bratislave</v>
          </cell>
          <cell r="E2429" t="str">
            <v>Stavebná fakulta</v>
          </cell>
          <cell r="AN2429">
            <v>87</v>
          </cell>
          <cell r="AO2429">
            <v>92</v>
          </cell>
          <cell r="AP2429">
            <v>0</v>
          </cell>
          <cell r="AQ2429">
            <v>0</v>
          </cell>
          <cell r="AR2429">
            <v>87</v>
          </cell>
          <cell r="BF2429">
            <v>130.5</v>
          </cell>
          <cell r="BG2429">
            <v>193.14</v>
          </cell>
          <cell r="BH2429">
            <v>173.43183673469386</v>
          </cell>
          <cell r="BI2429">
            <v>92</v>
          </cell>
          <cell r="BJ2429">
            <v>0</v>
          </cell>
        </row>
        <row r="2430">
          <cell r="D2430" t="str">
            <v>Slovenská technická univerzita v Bratislave</v>
          </cell>
          <cell r="E2430" t="str">
            <v>Materiálovotechnologická fakulta so sídlom v Trnave</v>
          </cell>
          <cell r="AN2430">
            <v>42</v>
          </cell>
          <cell r="AO2430">
            <v>49</v>
          </cell>
          <cell r="AP2430">
            <v>49</v>
          </cell>
          <cell r="AQ2430">
            <v>42</v>
          </cell>
          <cell r="AR2430">
            <v>42</v>
          </cell>
          <cell r="BF2430">
            <v>63</v>
          </cell>
          <cell r="BG2430">
            <v>93.24</v>
          </cell>
          <cell r="BH2430">
            <v>93.24</v>
          </cell>
          <cell r="BI2430">
            <v>49</v>
          </cell>
          <cell r="BJ2430">
            <v>0</v>
          </cell>
        </row>
        <row r="2431">
          <cell r="D2431" t="str">
            <v>Slovenská technická univerzita v Bratislave</v>
          </cell>
          <cell r="E2431" t="str">
            <v>Stavebná fakulta</v>
          </cell>
          <cell r="AN2431">
            <v>56</v>
          </cell>
          <cell r="AO2431">
            <v>57</v>
          </cell>
          <cell r="AP2431">
            <v>0</v>
          </cell>
          <cell r="AQ2431">
            <v>0</v>
          </cell>
          <cell r="AR2431">
            <v>56</v>
          </cell>
          <cell r="BF2431">
            <v>84</v>
          </cell>
          <cell r="BG2431">
            <v>125.16</v>
          </cell>
          <cell r="BH2431">
            <v>104.97290322580645</v>
          </cell>
          <cell r="BI2431">
            <v>57</v>
          </cell>
          <cell r="BJ2431">
            <v>0</v>
          </cell>
        </row>
        <row r="2432">
          <cell r="D2432" t="str">
            <v>Slovenská technická univerzita v Bratislave</v>
          </cell>
          <cell r="E2432" t="str">
            <v>Fakulta chemickej a potravinárskej technológie</v>
          </cell>
          <cell r="AN2432">
            <v>4</v>
          </cell>
          <cell r="AO2432">
            <v>0</v>
          </cell>
          <cell r="AP2432">
            <v>0</v>
          </cell>
          <cell r="AQ2432">
            <v>0</v>
          </cell>
          <cell r="AR2432">
            <v>4</v>
          </cell>
          <cell r="BF2432">
            <v>12</v>
          </cell>
          <cell r="BG2432">
            <v>25.56</v>
          </cell>
          <cell r="BH2432">
            <v>23.236363636363635</v>
          </cell>
          <cell r="BI2432">
            <v>4</v>
          </cell>
          <cell r="BJ2432">
            <v>4</v>
          </cell>
        </row>
        <row r="2433">
          <cell r="D2433" t="str">
            <v>Slovenská technická univerzita v Bratislave</v>
          </cell>
          <cell r="E2433" t="str">
            <v>Stavebná fakulta</v>
          </cell>
          <cell r="AN2433">
            <v>29</v>
          </cell>
          <cell r="AO2433">
            <v>33</v>
          </cell>
          <cell r="AP2433">
            <v>0</v>
          </cell>
          <cell r="AQ2433">
            <v>0</v>
          </cell>
          <cell r="AR2433">
            <v>29</v>
          </cell>
          <cell r="BF2433">
            <v>23.9</v>
          </cell>
          <cell r="BG2433">
            <v>38.000999999999998</v>
          </cell>
          <cell r="BH2433">
            <v>32.764641732283465</v>
          </cell>
          <cell r="BI2433">
            <v>33</v>
          </cell>
          <cell r="BJ2433">
            <v>0</v>
          </cell>
        </row>
        <row r="2434">
          <cell r="D2434" t="str">
            <v>Slovenská technická univerzita v Bratislave</v>
          </cell>
          <cell r="E2434" t="str">
            <v>Strojnícka fakulta</v>
          </cell>
          <cell r="AN2434">
            <v>5</v>
          </cell>
          <cell r="AO2434">
            <v>0</v>
          </cell>
          <cell r="AP2434">
            <v>0</v>
          </cell>
          <cell r="AQ2434">
            <v>5</v>
          </cell>
          <cell r="AR2434">
            <v>5</v>
          </cell>
          <cell r="BF2434">
            <v>20</v>
          </cell>
          <cell r="BG2434">
            <v>42.599999999999994</v>
          </cell>
          <cell r="BH2434">
            <v>42.599999999999994</v>
          </cell>
          <cell r="BI2434">
            <v>5</v>
          </cell>
          <cell r="BJ2434">
            <v>5</v>
          </cell>
        </row>
        <row r="2435">
          <cell r="D2435" t="str">
            <v>Slovenská technická univerzita v Bratislave</v>
          </cell>
          <cell r="E2435" t="str">
            <v>Fakulta informatiky a informačných technológií</v>
          </cell>
          <cell r="AN2435">
            <v>50</v>
          </cell>
          <cell r="AO2435">
            <v>58</v>
          </cell>
          <cell r="AP2435">
            <v>58</v>
          </cell>
          <cell r="AQ2435">
            <v>50</v>
          </cell>
          <cell r="AR2435">
            <v>50</v>
          </cell>
          <cell r="BF2435">
            <v>75</v>
          </cell>
          <cell r="BG2435">
            <v>111</v>
          </cell>
          <cell r="BH2435">
            <v>111</v>
          </cell>
          <cell r="BI2435">
            <v>58</v>
          </cell>
          <cell r="BJ2435">
            <v>0</v>
          </cell>
        </row>
        <row r="2436">
          <cell r="D2436" t="str">
            <v>Slovenská technická univerzita v Bratislave</v>
          </cell>
          <cell r="E2436" t="str">
            <v>Stavebná fakulta</v>
          </cell>
          <cell r="AN2436">
            <v>89</v>
          </cell>
          <cell r="AO2436">
            <v>97</v>
          </cell>
          <cell r="AP2436">
            <v>97</v>
          </cell>
          <cell r="AQ2436">
            <v>89</v>
          </cell>
          <cell r="AR2436">
            <v>89</v>
          </cell>
          <cell r="BF2436">
            <v>133.5</v>
          </cell>
          <cell r="BG2436">
            <v>197.57999999999998</v>
          </cell>
          <cell r="BH2436">
            <v>186.39622641509433</v>
          </cell>
          <cell r="BI2436">
            <v>97</v>
          </cell>
          <cell r="BJ2436">
            <v>0</v>
          </cell>
        </row>
        <row r="2437">
          <cell r="D2437" t="str">
            <v>Slovenská technická univerzita v Bratislave</v>
          </cell>
          <cell r="E2437" t="str">
            <v>Strojnícka fakulta</v>
          </cell>
          <cell r="AN2437">
            <v>25</v>
          </cell>
          <cell r="AO2437">
            <v>28</v>
          </cell>
          <cell r="AP2437">
            <v>0</v>
          </cell>
          <cell r="AQ2437">
            <v>0</v>
          </cell>
          <cell r="AR2437">
            <v>25</v>
          </cell>
          <cell r="BF2437">
            <v>37.5</v>
          </cell>
          <cell r="BG2437">
            <v>55.5</v>
          </cell>
          <cell r="BH2437">
            <v>49.333333333333329</v>
          </cell>
          <cell r="BI2437">
            <v>28</v>
          </cell>
          <cell r="BJ2437">
            <v>0</v>
          </cell>
        </row>
        <row r="2438">
          <cell r="D2438" t="str">
            <v>Slovenská technická univerzita v Bratislave</v>
          </cell>
          <cell r="E2438" t="str">
            <v>Fakulta architektúry a dizajnu</v>
          </cell>
          <cell r="AN2438">
            <v>47</v>
          </cell>
          <cell r="AO2438">
            <v>53</v>
          </cell>
          <cell r="AP2438">
            <v>0</v>
          </cell>
          <cell r="AQ2438">
            <v>0</v>
          </cell>
          <cell r="AR2438">
            <v>47</v>
          </cell>
          <cell r="BF2438">
            <v>70.5</v>
          </cell>
          <cell r="BG2438">
            <v>227.715</v>
          </cell>
          <cell r="BH2438">
            <v>143.82</v>
          </cell>
          <cell r="BI2438">
            <v>53</v>
          </cell>
          <cell r="BJ2438">
            <v>0</v>
          </cell>
        </row>
        <row r="2439">
          <cell r="D2439" t="str">
            <v>Slovenská technická univerzita v Bratislave</v>
          </cell>
          <cell r="E2439" t="str">
            <v>Materiálovotechnologická fakulta so sídlom v Trnave</v>
          </cell>
          <cell r="AN2439">
            <v>34</v>
          </cell>
          <cell r="AO2439">
            <v>43</v>
          </cell>
          <cell r="AP2439">
            <v>43</v>
          </cell>
          <cell r="AQ2439">
            <v>34</v>
          </cell>
          <cell r="AR2439">
            <v>34</v>
          </cell>
          <cell r="BF2439">
            <v>29.2</v>
          </cell>
          <cell r="BG2439">
            <v>43.216000000000001</v>
          </cell>
          <cell r="BH2439">
            <v>43.216000000000001</v>
          </cell>
          <cell r="BI2439">
            <v>43</v>
          </cell>
          <cell r="BJ2439">
            <v>0</v>
          </cell>
        </row>
        <row r="2440">
          <cell r="D2440" t="str">
            <v>Slovenská technická univerzita v Bratislave</v>
          </cell>
          <cell r="E2440" t="str">
            <v>Materiálovotechnologická fakulta so sídlom v Trnave</v>
          </cell>
          <cell r="AN2440">
            <v>127</v>
          </cell>
          <cell r="AO2440">
            <v>152</v>
          </cell>
          <cell r="AP2440">
            <v>0</v>
          </cell>
          <cell r="AQ2440">
            <v>0</v>
          </cell>
          <cell r="AR2440">
            <v>127</v>
          </cell>
          <cell r="BF2440">
            <v>190.5</v>
          </cell>
          <cell r="BG2440">
            <v>281.94</v>
          </cell>
          <cell r="BH2440">
            <v>249.71828571428571</v>
          </cell>
          <cell r="BI2440">
            <v>152</v>
          </cell>
          <cell r="BJ2440">
            <v>0</v>
          </cell>
        </row>
        <row r="2441">
          <cell r="D2441" t="str">
            <v>Slovenská technická univerzita v Bratislave</v>
          </cell>
          <cell r="E2441" t="str">
            <v>Fakulta elektrotechniky a informatiky</v>
          </cell>
          <cell r="AN2441">
            <v>18</v>
          </cell>
          <cell r="AO2441">
            <v>19</v>
          </cell>
          <cell r="AP2441">
            <v>19</v>
          </cell>
          <cell r="AQ2441">
            <v>18</v>
          </cell>
          <cell r="AR2441">
            <v>18</v>
          </cell>
          <cell r="BF2441">
            <v>27</v>
          </cell>
          <cell r="BG2441">
            <v>39.96</v>
          </cell>
          <cell r="BH2441">
            <v>39.96</v>
          </cell>
          <cell r="BI2441">
            <v>19</v>
          </cell>
          <cell r="BJ2441">
            <v>0</v>
          </cell>
        </row>
        <row r="2442">
          <cell r="D2442" t="str">
            <v>Slovenská technická univerzita v Bratislave</v>
          </cell>
          <cell r="E2442" t="str">
            <v>Fakulta elektrotechniky a informatiky</v>
          </cell>
          <cell r="AN2442">
            <v>47</v>
          </cell>
          <cell r="AO2442">
            <v>49</v>
          </cell>
          <cell r="AP2442">
            <v>0</v>
          </cell>
          <cell r="AQ2442">
            <v>0</v>
          </cell>
          <cell r="AR2442">
            <v>47</v>
          </cell>
          <cell r="BF2442">
            <v>70.5</v>
          </cell>
          <cell r="BG2442">
            <v>104.34</v>
          </cell>
          <cell r="BH2442">
            <v>95.644999999999996</v>
          </cell>
          <cell r="BI2442">
            <v>49</v>
          </cell>
          <cell r="BJ2442">
            <v>0</v>
          </cell>
        </row>
        <row r="2443">
          <cell r="D2443" t="str">
            <v>Slovenská technická univerzita v Bratislave</v>
          </cell>
          <cell r="E2443" t="str">
            <v>Fakulta elektrotechniky a informatiky</v>
          </cell>
          <cell r="AN2443">
            <v>18</v>
          </cell>
          <cell r="AO2443">
            <v>18</v>
          </cell>
          <cell r="AP2443">
            <v>18</v>
          </cell>
          <cell r="AQ2443">
            <v>18</v>
          </cell>
          <cell r="AR2443">
            <v>18</v>
          </cell>
          <cell r="BF2443">
            <v>27</v>
          </cell>
          <cell r="BG2443">
            <v>39.96</v>
          </cell>
          <cell r="BH2443">
            <v>39.96</v>
          </cell>
          <cell r="BI2443">
            <v>18</v>
          </cell>
          <cell r="BJ2443">
            <v>0</v>
          </cell>
        </row>
        <row r="2444">
          <cell r="D2444" t="str">
            <v>Slovenská technická univerzita v Bratislave</v>
          </cell>
          <cell r="E2444" t="str">
            <v>Strojnícka fakulta</v>
          </cell>
          <cell r="AN2444">
            <v>42</v>
          </cell>
          <cell r="AO2444">
            <v>53</v>
          </cell>
          <cell r="AP2444">
            <v>53</v>
          </cell>
          <cell r="AQ2444">
            <v>42</v>
          </cell>
          <cell r="AR2444">
            <v>42</v>
          </cell>
          <cell r="BF2444">
            <v>32.4</v>
          </cell>
          <cell r="BG2444">
            <v>47.951999999999998</v>
          </cell>
          <cell r="BH2444">
            <v>47.951999999999998</v>
          </cell>
          <cell r="BI2444">
            <v>53</v>
          </cell>
          <cell r="BJ2444">
            <v>0</v>
          </cell>
        </row>
        <row r="2445">
          <cell r="D2445" t="str">
            <v>Slovenská technická univerzita v Bratislave</v>
          </cell>
          <cell r="E2445" t="str">
            <v>Fakulta chemickej a potravinárskej technológie</v>
          </cell>
          <cell r="AN2445">
            <v>47</v>
          </cell>
          <cell r="AO2445">
            <v>47</v>
          </cell>
          <cell r="AP2445">
            <v>0</v>
          </cell>
          <cell r="AQ2445">
            <v>0</v>
          </cell>
          <cell r="AR2445">
            <v>47</v>
          </cell>
          <cell r="BF2445">
            <v>70.5</v>
          </cell>
          <cell r="BG2445">
            <v>104.34</v>
          </cell>
          <cell r="BH2445">
            <v>71.390526315789472</v>
          </cell>
          <cell r="BI2445">
            <v>47</v>
          </cell>
          <cell r="BJ2445">
            <v>0</v>
          </cell>
        </row>
        <row r="2446">
          <cell r="D2446" t="str">
            <v>Slovenská technická univerzita v Bratislave</v>
          </cell>
          <cell r="E2446" t="str">
            <v>Strojnícka fakulta</v>
          </cell>
          <cell r="AN2446">
            <v>21</v>
          </cell>
          <cell r="AO2446">
            <v>25</v>
          </cell>
          <cell r="AP2446">
            <v>0</v>
          </cell>
          <cell r="AQ2446">
            <v>0</v>
          </cell>
          <cell r="AR2446">
            <v>21</v>
          </cell>
          <cell r="BF2446">
            <v>31.5</v>
          </cell>
          <cell r="BG2446">
            <v>46.62</v>
          </cell>
          <cell r="BH2446">
            <v>43.706249999999997</v>
          </cell>
          <cell r="BI2446">
            <v>25</v>
          </cell>
          <cell r="BJ2446">
            <v>0</v>
          </cell>
        </row>
        <row r="2447">
          <cell r="D2447" t="str">
            <v>Slovenská technická univerzita v Bratislave</v>
          </cell>
          <cell r="E2447" t="str">
            <v>Fakulta chemickej a potravinárskej technológie</v>
          </cell>
          <cell r="AN2447">
            <v>31</v>
          </cell>
          <cell r="AO2447">
            <v>32</v>
          </cell>
          <cell r="AP2447">
            <v>32</v>
          </cell>
          <cell r="AQ2447">
            <v>31</v>
          </cell>
          <cell r="AR2447">
            <v>31</v>
          </cell>
          <cell r="BF2447">
            <v>46.5</v>
          </cell>
          <cell r="BG2447">
            <v>112.06500000000001</v>
          </cell>
          <cell r="BH2447">
            <v>107.39562500000001</v>
          </cell>
          <cell r="BI2447">
            <v>32</v>
          </cell>
          <cell r="BJ2447">
            <v>0</v>
          </cell>
        </row>
        <row r="2448">
          <cell r="D2448" t="str">
            <v>Slovenská technická univerzita v Bratislave</v>
          </cell>
          <cell r="E2448" t="str">
            <v>Stavebná fakulta</v>
          </cell>
          <cell r="AN2448">
            <v>53</v>
          </cell>
          <cell r="AO2448">
            <v>68</v>
          </cell>
          <cell r="AP2448">
            <v>68</v>
          </cell>
          <cell r="AQ2448">
            <v>53</v>
          </cell>
          <cell r="AR2448">
            <v>53</v>
          </cell>
          <cell r="BF2448">
            <v>45.8</v>
          </cell>
          <cell r="BG2448">
            <v>67.783999999999992</v>
          </cell>
          <cell r="BH2448">
            <v>64.394799999999989</v>
          </cell>
          <cell r="BI2448">
            <v>68</v>
          </cell>
          <cell r="BJ2448">
            <v>0</v>
          </cell>
        </row>
        <row r="2449">
          <cell r="D2449" t="str">
            <v>Slovenská technická univerzita v Bratislave</v>
          </cell>
          <cell r="E2449" t="str">
            <v>Strojnícka fakulta</v>
          </cell>
          <cell r="AN2449">
            <v>26</v>
          </cell>
          <cell r="AO2449">
            <v>33</v>
          </cell>
          <cell r="AP2449">
            <v>33</v>
          </cell>
          <cell r="AQ2449">
            <v>26</v>
          </cell>
          <cell r="AR2449">
            <v>26</v>
          </cell>
          <cell r="BF2449">
            <v>22.4</v>
          </cell>
          <cell r="BG2449">
            <v>33.152000000000001</v>
          </cell>
          <cell r="BH2449">
            <v>33.152000000000001</v>
          </cell>
          <cell r="BI2449">
            <v>33</v>
          </cell>
          <cell r="BJ2449">
            <v>0</v>
          </cell>
        </row>
        <row r="2450">
          <cell r="D2450" t="str">
            <v>Slovenská technická univerzita v Bratislave</v>
          </cell>
          <cell r="E2450" t="str">
            <v>Strojnícka fakulta</v>
          </cell>
          <cell r="AN2450">
            <v>42</v>
          </cell>
          <cell r="AO2450">
            <v>44</v>
          </cell>
          <cell r="AP2450">
            <v>44</v>
          </cell>
          <cell r="AQ2450">
            <v>42</v>
          </cell>
          <cell r="AR2450">
            <v>42</v>
          </cell>
          <cell r="BF2450">
            <v>63</v>
          </cell>
          <cell r="BG2450">
            <v>93.24</v>
          </cell>
          <cell r="BH2450">
            <v>93.24</v>
          </cell>
          <cell r="BI2450">
            <v>44</v>
          </cell>
          <cell r="BJ2450">
            <v>0</v>
          </cell>
        </row>
        <row r="2451">
          <cell r="D2451" t="str">
            <v>Slovenská technická univerzita v Bratislave</v>
          </cell>
          <cell r="E2451" t="str">
            <v>Fakulta chemickej a potravinárskej technológie</v>
          </cell>
          <cell r="AN2451">
            <v>65</v>
          </cell>
          <cell r="AO2451">
            <v>70</v>
          </cell>
          <cell r="AP2451">
            <v>70</v>
          </cell>
          <cell r="AQ2451">
            <v>65</v>
          </cell>
          <cell r="AR2451">
            <v>65</v>
          </cell>
          <cell r="BF2451">
            <v>97.5</v>
          </cell>
          <cell r="BG2451">
            <v>189.63750000000002</v>
          </cell>
          <cell r="BH2451">
            <v>178.80107142857145</v>
          </cell>
          <cell r="BI2451">
            <v>70</v>
          </cell>
          <cell r="BJ2451">
            <v>0</v>
          </cell>
        </row>
        <row r="2452">
          <cell r="D2452" t="str">
            <v>Slovenská technická univerzita v Bratislave</v>
          </cell>
          <cell r="E2452" t="str">
            <v>Strojnícka fakulta</v>
          </cell>
          <cell r="AN2452">
            <v>25</v>
          </cell>
          <cell r="AO2452">
            <v>28</v>
          </cell>
          <cell r="AP2452">
            <v>28</v>
          </cell>
          <cell r="AQ2452">
            <v>25</v>
          </cell>
          <cell r="AR2452">
            <v>25</v>
          </cell>
          <cell r="BF2452">
            <v>20.799999999999997</v>
          </cell>
          <cell r="BG2452">
            <v>30.783999999999995</v>
          </cell>
          <cell r="BH2452">
            <v>29.085950177935938</v>
          </cell>
          <cell r="BI2452">
            <v>28</v>
          </cell>
          <cell r="BJ2452">
            <v>0</v>
          </cell>
        </row>
        <row r="2453">
          <cell r="D2453" t="str">
            <v>Slovenská technická univerzita v Bratislave</v>
          </cell>
          <cell r="E2453" t="str">
            <v>Strojnícka fakulta</v>
          </cell>
          <cell r="AN2453">
            <v>40</v>
          </cell>
          <cell r="AO2453">
            <v>46</v>
          </cell>
          <cell r="AP2453">
            <v>46</v>
          </cell>
          <cell r="AQ2453">
            <v>40</v>
          </cell>
          <cell r="AR2453">
            <v>40</v>
          </cell>
          <cell r="BF2453">
            <v>32.799999999999997</v>
          </cell>
          <cell r="BG2453">
            <v>48.543999999999997</v>
          </cell>
          <cell r="BH2453">
            <v>48.543999999999997</v>
          </cell>
          <cell r="BI2453">
            <v>46</v>
          </cell>
          <cell r="BJ2453">
            <v>0</v>
          </cell>
        </row>
        <row r="2454">
          <cell r="D2454" t="str">
            <v>Slovenská technická univerzita v Bratislave</v>
          </cell>
          <cell r="E2454" t="str">
            <v>Strojnícka fakulta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3</v>
          </cell>
          <cell r="BJ2454">
            <v>0</v>
          </cell>
        </row>
        <row r="2455">
          <cell r="D2455" t="str">
            <v>Slovenská technická univerzita v Bratislave</v>
          </cell>
          <cell r="E2455" t="str">
            <v>Strojnícka fakulta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1</v>
          </cell>
          <cell r="BJ2455">
            <v>0</v>
          </cell>
        </row>
        <row r="2456">
          <cell r="D2456" t="str">
            <v>Slovenská technická univerzita v Bratislave</v>
          </cell>
          <cell r="E2456" t="str">
            <v>Stavebná fakulta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3</v>
          </cell>
          <cell r="BJ2456">
            <v>0</v>
          </cell>
        </row>
        <row r="2457">
          <cell r="D2457" t="str">
            <v>Slovenská technická univerzita v Bratislave</v>
          </cell>
          <cell r="E2457" t="str">
            <v>Stavebná fakulta</v>
          </cell>
          <cell r="AN2457">
            <v>3</v>
          </cell>
          <cell r="AO2457">
            <v>4</v>
          </cell>
          <cell r="AP2457">
            <v>4</v>
          </cell>
          <cell r="AQ2457">
            <v>3</v>
          </cell>
          <cell r="AR2457">
            <v>3</v>
          </cell>
          <cell r="BF2457">
            <v>4.5</v>
          </cell>
          <cell r="BG2457">
            <v>6.66</v>
          </cell>
          <cell r="BH2457">
            <v>6.66</v>
          </cell>
          <cell r="BI2457">
            <v>4</v>
          </cell>
          <cell r="BJ2457">
            <v>0</v>
          </cell>
        </row>
        <row r="2458">
          <cell r="D2458" t="str">
            <v>Univerzita veterinárskeho lekárstva a farmácie v Košiciach</v>
          </cell>
          <cell r="E2458">
            <v>0</v>
          </cell>
          <cell r="AN2458">
            <v>42</v>
          </cell>
          <cell r="AO2458">
            <v>43</v>
          </cell>
          <cell r="AP2458">
            <v>0</v>
          </cell>
          <cell r="AQ2458">
            <v>0</v>
          </cell>
          <cell r="AR2458">
            <v>42</v>
          </cell>
          <cell r="BF2458">
            <v>35.099999999999994</v>
          </cell>
          <cell r="BG2458">
            <v>154.79099999999997</v>
          </cell>
          <cell r="BH2458">
            <v>92.874599999999973</v>
          </cell>
          <cell r="BI2458">
            <v>43</v>
          </cell>
          <cell r="BJ2458">
            <v>0</v>
          </cell>
        </row>
        <row r="2459">
          <cell r="D2459" t="str">
            <v>Katolícka univerzita v Ružomberku</v>
          </cell>
          <cell r="E2459" t="str">
            <v>Pedagogická fakulta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25</v>
          </cell>
          <cell r="BJ2459">
            <v>0</v>
          </cell>
        </row>
        <row r="2460">
          <cell r="D2460" t="str">
            <v>Katolícka univerzita v Ružomberku</v>
          </cell>
          <cell r="E2460" t="str">
            <v>Pedagogická fakulta</v>
          </cell>
          <cell r="AN2460">
            <v>7.5</v>
          </cell>
          <cell r="AO2460">
            <v>9</v>
          </cell>
          <cell r="AP2460">
            <v>0</v>
          </cell>
          <cell r="AQ2460">
            <v>0</v>
          </cell>
          <cell r="AR2460">
            <v>7.5</v>
          </cell>
          <cell r="BF2460">
            <v>11.25</v>
          </cell>
          <cell r="BG2460">
            <v>16.2</v>
          </cell>
          <cell r="BH2460">
            <v>15.12</v>
          </cell>
          <cell r="BI2460">
            <v>9</v>
          </cell>
          <cell r="BJ2460">
            <v>0</v>
          </cell>
        </row>
        <row r="2461">
          <cell r="D2461" t="str">
            <v>Katolícka univerzita v Ružomberku</v>
          </cell>
          <cell r="E2461" t="str">
            <v>Pedagogická fakulta</v>
          </cell>
          <cell r="AN2461">
            <v>2</v>
          </cell>
          <cell r="AO2461">
            <v>4</v>
          </cell>
          <cell r="AP2461">
            <v>4</v>
          </cell>
          <cell r="AQ2461">
            <v>2</v>
          </cell>
          <cell r="AR2461">
            <v>2</v>
          </cell>
          <cell r="BF2461">
            <v>3</v>
          </cell>
          <cell r="BG2461">
            <v>3.57</v>
          </cell>
          <cell r="BH2461">
            <v>3.57</v>
          </cell>
          <cell r="BI2461">
            <v>4</v>
          </cell>
          <cell r="BJ2461">
            <v>0</v>
          </cell>
        </row>
        <row r="2462">
          <cell r="D2462" t="str">
            <v>Katolícka univerzita v Ružomberku</v>
          </cell>
          <cell r="E2462" t="str">
            <v>Pedagogická fakulta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25</v>
          </cell>
          <cell r="BJ2462">
            <v>0</v>
          </cell>
        </row>
        <row r="2463">
          <cell r="D2463" t="str">
            <v>Katolícka univerzita v Ružomberku</v>
          </cell>
          <cell r="E2463" t="str">
            <v>Pedagogická fakulta</v>
          </cell>
          <cell r="AN2463">
            <v>3</v>
          </cell>
          <cell r="AO2463">
            <v>3.5</v>
          </cell>
          <cell r="AP2463">
            <v>0</v>
          </cell>
          <cell r="AQ2463">
            <v>0</v>
          </cell>
          <cell r="AR2463">
            <v>3</v>
          </cell>
          <cell r="BF2463">
            <v>4.5</v>
          </cell>
          <cell r="BG2463">
            <v>5.3549999999999995</v>
          </cell>
          <cell r="BH2463">
            <v>0</v>
          </cell>
          <cell r="BI2463">
            <v>3.5</v>
          </cell>
          <cell r="BJ2463">
            <v>0</v>
          </cell>
        </row>
        <row r="2464">
          <cell r="D2464" t="str">
            <v>Katolícka univerzita v Ružomberku</v>
          </cell>
          <cell r="E2464" t="str">
            <v>Pedagogická fakulta</v>
          </cell>
          <cell r="AN2464">
            <v>13</v>
          </cell>
          <cell r="AO2464">
            <v>21</v>
          </cell>
          <cell r="AP2464">
            <v>0</v>
          </cell>
          <cell r="AQ2464">
            <v>0</v>
          </cell>
          <cell r="AR2464">
            <v>13</v>
          </cell>
          <cell r="BF2464">
            <v>11.2</v>
          </cell>
          <cell r="BG2464">
            <v>13.327999999999999</v>
          </cell>
          <cell r="BH2464">
            <v>12.494999999999999</v>
          </cell>
          <cell r="BI2464">
            <v>21</v>
          </cell>
          <cell r="BJ2464">
            <v>0</v>
          </cell>
        </row>
        <row r="2465">
          <cell r="D2465" t="str">
            <v>Katolícka univerzita v Ružomberku</v>
          </cell>
          <cell r="E2465" t="str">
            <v>Pedagogická fakulta</v>
          </cell>
          <cell r="AN2465">
            <v>13</v>
          </cell>
          <cell r="AO2465">
            <v>15</v>
          </cell>
          <cell r="AP2465">
            <v>0</v>
          </cell>
          <cell r="AQ2465">
            <v>0</v>
          </cell>
          <cell r="AR2465">
            <v>13</v>
          </cell>
          <cell r="BF2465">
            <v>11.5</v>
          </cell>
          <cell r="BG2465">
            <v>24.724999999999998</v>
          </cell>
          <cell r="BH2465">
            <v>24.724999999999998</v>
          </cell>
          <cell r="BI2465">
            <v>15</v>
          </cell>
          <cell r="BJ2465">
            <v>0</v>
          </cell>
        </row>
        <row r="2466">
          <cell r="D2466" t="str">
            <v>Katolícka univerzita v Ružomberku</v>
          </cell>
          <cell r="E2466" t="str">
            <v>Pedagogická fakulta</v>
          </cell>
          <cell r="AN2466">
            <v>71</v>
          </cell>
          <cell r="AO2466">
            <v>83</v>
          </cell>
          <cell r="AP2466">
            <v>0</v>
          </cell>
          <cell r="AQ2466">
            <v>0</v>
          </cell>
          <cell r="AR2466">
            <v>71</v>
          </cell>
          <cell r="BF2466">
            <v>62.599999999999994</v>
          </cell>
          <cell r="BG2466">
            <v>74.493999999999986</v>
          </cell>
          <cell r="BH2466">
            <v>74.493999999999986</v>
          </cell>
          <cell r="BI2466">
            <v>83</v>
          </cell>
          <cell r="BJ2466">
            <v>0</v>
          </cell>
        </row>
        <row r="2467">
          <cell r="D2467" t="str">
            <v>Katolícka univerzita v Ružomberku</v>
          </cell>
          <cell r="E2467" t="str">
            <v>Pedagogická fakulta</v>
          </cell>
          <cell r="AN2467">
            <v>8</v>
          </cell>
          <cell r="AO2467">
            <v>9</v>
          </cell>
          <cell r="AP2467">
            <v>0</v>
          </cell>
          <cell r="AQ2467">
            <v>0</v>
          </cell>
          <cell r="AR2467">
            <v>8</v>
          </cell>
          <cell r="BF2467">
            <v>12</v>
          </cell>
          <cell r="BG2467">
            <v>25.799999999999997</v>
          </cell>
          <cell r="BH2467">
            <v>25.799999999999997</v>
          </cell>
          <cell r="BI2467">
            <v>9</v>
          </cell>
          <cell r="BJ2467">
            <v>0</v>
          </cell>
        </row>
        <row r="2468">
          <cell r="D2468" t="str">
            <v>Katolícka univerzita v Ružomberku</v>
          </cell>
          <cell r="E2468" t="str">
            <v>Pedagogická fakulta</v>
          </cell>
          <cell r="AN2468">
            <v>254</v>
          </cell>
          <cell r="AO2468">
            <v>255</v>
          </cell>
          <cell r="AP2468">
            <v>0</v>
          </cell>
          <cell r="AQ2468">
            <v>0</v>
          </cell>
          <cell r="AR2468">
            <v>254</v>
          </cell>
          <cell r="BF2468">
            <v>222.5</v>
          </cell>
          <cell r="BG2468">
            <v>231.4</v>
          </cell>
          <cell r="BH2468">
            <v>210.36363636363637</v>
          </cell>
          <cell r="BI2468">
            <v>255</v>
          </cell>
          <cell r="BJ2468">
            <v>0</v>
          </cell>
        </row>
        <row r="2469">
          <cell r="D2469" t="str">
            <v>Katolícka univerzita v Ružomberku</v>
          </cell>
          <cell r="E2469" t="str">
            <v>Pedagogická fakulta</v>
          </cell>
          <cell r="AN2469">
            <v>32</v>
          </cell>
          <cell r="AO2469">
            <v>35</v>
          </cell>
          <cell r="AP2469">
            <v>0</v>
          </cell>
          <cell r="AQ2469">
            <v>0</v>
          </cell>
          <cell r="AR2469">
            <v>32</v>
          </cell>
          <cell r="BF2469">
            <v>28.4</v>
          </cell>
          <cell r="BG2469">
            <v>33.795999999999999</v>
          </cell>
          <cell r="BH2469">
            <v>30.040888888888887</v>
          </cell>
          <cell r="BI2469">
            <v>35</v>
          </cell>
          <cell r="BJ2469">
            <v>0</v>
          </cell>
        </row>
        <row r="2470">
          <cell r="D2470" t="str">
            <v>Katolícka univerzita v Ružomberku</v>
          </cell>
          <cell r="E2470" t="str">
            <v>Pedagogická fakulta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BF2470">
            <v>0</v>
          </cell>
          <cell r="BG2470">
            <v>0</v>
          </cell>
          <cell r="BH2470">
            <v>0</v>
          </cell>
          <cell r="BI2470">
            <v>21</v>
          </cell>
          <cell r="BJ2470">
            <v>0</v>
          </cell>
        </row>
        <row r="2471">
          <cell r="D2471" t="str">
            <v>Katolícka univerzita v Ružomberku</v>
          </cell>
          <cell r="E2471" t="str">
            <v>Pedagogická fakulta</v>
          </cell>
          <cell r="AN2471">
            <v>5.5</v>
          </cell>
          <cell r="AO2471">
            <v>7</v>
          </cell>
          <cell r="AP2471">
            <v>7</v>
          </cell>
          <cell r="AQ2471">
            <v>5.5</v>
          </cell>
          <cell r="AR2471">
            <v>5.5</v>
          </cell>
          <cell r="BF2471">
            <v>4.5999999999999996</v>
          </cell>
          <cell r="BG2471">
            <v>5.4739999999999993</v>
          </cell>
          <cell r="BH2471">
            <v>5.4739999999999993</v>
          </cell>
          <cell r="BI2471">
            <v>7</v>
          </cell>
          <cell r="BJ2471">
            <v>0</v>
          </cell>
        </row>
        <row r="2472">
          <cell r="D2472" t="str">
            <v>Katolícka univerzita v Ružomberku</v>
          </cell>
          <cell r="E2472" t="str">
            <v>Pedagogická fakulta</v>
          </cell>
          <cell r="AN2472">
            <v>8.5</v>
          </cell>
          <cell r="AO2472">
            <v>9</v>
          </cell>
          <cell r="AP2472">
            <v>9</v>
          </cell>
          <cell r="AQ2472">
            <v>8.5</v>
          </cell>
          <cell r="AR2472">
            <v>8.5</v>
          </cell>
          <cell r="BF2472">
            <v>7.3</v>
          </cell>
          <cell r="BG2472">
            <v>8.6869999999999994</v>
          </cell>
          <cell r="BH2472">
            <v>8.6869999999999994</v>
          </cell>
          <cell r="BI2472">
            <v>9</v>
          </cell>
          <cell r="BJ2472">
            <v>0</v>
          </cell>
        </row>
        <row r="2473">
          <cell r="D2473" t="str">
            <v>Katolícka univerzita v Ružomberku</v>
          </cell>
          <cell r="E2473" t="str">
            <v>Pedagogická fakulta</v>
          </cell>
          <cell r="AN2473">
            <v>1.5</v>
          </cell>
          <cell r="AO2473">
            <v>2</v>
          </cell>
          <cell r="AP2473">
            <v>0</v>
          </cell>
          <cell r="AQ2473">
            <v>0</v>
          </cell>
          <cell r="AR2473">
            <v>1.5</v>
          </cell>
          <cell r="BF2473">
            <v>1.35</v>
          </cell>
          <cell r="BG2473">
            <v>2.9024999999999999</v>
          </cell>
          <cell r="BH2473">
            <v>2.9024999999999999</v>
          </cell>
          <cell r="BI2473">
            <v>2</v>
          </cell>
          <cell r="BJ2473">
            <v>0</v>
          </cell>
        </row>
        <row r="2474">
          <cell r="D2474" t="str">
            <v>Katolícka univerzita v Ružomberku</v>
          </cell>
          <cell r="E2474" t="str">
            <v>Pedagogická fakulta</v>
          </cell>
          <cell r="AN2474">
            <v>1</v>
          </cell>
          <cell r="AO2474">
            <v>1</v>
          </cell>
          <cell r="AP2474">
            <v>0</v>
          </cell>
          <cell r="AQ2474">
            <v>0</v>
          </cell>
          <cell r="AR2474">
            <v>1</v>
          </cell>
          <cell r="BF2474">
            <v>0.85</v>
          </cell>
          <cell r="BG2474">
            <v>1.8274999999999999</v>
          </cell>
          <cell r="BH2474">
            <v>1.7203152492668621</v>
          </cell>
          <cell r="BI2474">
            <v>1</v>
          </cell>
          <cell r="BJ2474">
            <v>0</v>
          </cell>
        </row>
        <row r="2475">
          <cell r="D2475" t="str">
            <v>Katolícka univerzita v Ružomberku</v>
          </cell>
          <cell r="E2475" t="str">
            <v>Pedagogická fakulta</v>
          </cell>
          <cell r="AN2475">
            <v>8</v>
          </cell>
          <cell r="AO2475">
            <v>10</v>
          </cell>
          <cell r="AP2475">
            <v>10</v>
          </cell>
          <cell r="AQ2475">
            <v>8</v>
          </cell>
          <cell r="AR2475">
            <v>8</v>
          </cell>
          <cell r="BF2475">
            <v>7.7</v>
          </cell>
          <cell r="BG2475">
            <v>9.1630000000000003</v>
          </cell>
          <cell r="BH2475">
            <v>8.6255806451612909</v>
          </cell>
          <cell r="BI2475">
            <v>10</v>
          </cell>
          <cell r="BJ2475">
            <v>0</v>
          </cell>
        </row>
        <row r="2476">
          <cell r="D2476" t="str">
            <v>Katolícka univerzita v Ružomberku</v>
          </cell>
          <cell r="E2476" t="str">
            <v>Pedagogická fakulta</v>
          </cell>
          <cell r="AN2476">
            <v>3.5</v>
          </cell>
          <cell r="AO2476">
            <v>6</v>
          </cell>
          <cell r="AP2476">
            <v>6</v>
          </cell>
          <cell r="AQ2476">
            <v>3.5</v>
          </cell>
          <cell r="AR2476">
            <v>3.5</v>
          </cell>
          <cell r="BF2476">
            <v>2.5999999999999996</v>
          </cell>
          <cell r="BG2476">
            <v>3.7439999999999993</v>
          </cell>
          <cell r="BH2476">
            <v>3.7439999999999993</v>
          </cell>
          <cell r="BI2476">
            <v>6</v>
          </cell>
          <cell r="BJ2476">
            <v>0</v>
          </cell>
        </row>
        <row r="2477">
          <cell r="D2477" t="str">
            <v>Katolícka univerzita v Ružomberku</v>
          </cell>
          <cell r="E2477" t="str">
            <v>Pedagogická fakulta</v>
          </cell>
          <cell r="AN2477">
            <v>3</v>
          </cell>
          <cell r="AO2477">
            <v>3</v>
          </cell>
          <cell r="AP2477">
            <v>0</v>
          </cell>
          <cell r="AQ2477">
            <v>0</v>
          </cell>
          <cell r="AR2477">
            <v>3</v>
          </cell>
          <cell r="BF2477">
            <v>2.4</v>
          </cell>
          <cell r="BG2477">
            <v>2.6160000000000001</v>
          </cell>
          <cell r="BH2477">
            <v>2.4625689149560119</v>
          </cell>
          <cell r="BI2477">
            <v>3</v>
          </cell>
          <cell r="BJ2477">
            <v>0</v>
          </cell>
        </row>
        <row r="2478">
          <cell r="D2478" t="str">
            <v>Katolícka univerzita v Ružomberku</v>
          </cell>
          <cell r="E2478" t="str">
            <v>Pedagogická fakulta</v>
          </cell>
          <cell r="AN2478">
            <v>7</v>
          </cell>
          <cell r="AO2478">
            <v>11</v>
          </cell>
          <cell r="AP2478">
            <v>0</v>
          </cell>
          <cell r="AQ2478">
            <v>0</v>
          </cell>
          <cell r="AR2478">
            <v>7</v>
          </cell>
          <cell r="BF2478">
            <v>5.8</v>
          </cell>
          <cell r="BG2478">
            <v>12.469999999999999</v>
          </cell>
          <cell r="BH2478">
            <v>12.469999999999999</v>
          </cell>
          <cell r="BI2478">
            <v>11</v>
          </cell>
          <cell r="BJ2478">
            <v>0</v>
          </cell>
        </row>
        <row r="2479">
          <cell r="D2479" t="str">
            <v>Katolícka univerzita v Ružomberku</v>
          </cell>
          <cell r="E2479" t="str">
            <v>Pedagogická fakulta</v>
          </cell>
          <cell r="AN2479">
            <v>12.5</v>
          </cell>
          <cell r="AO2479">
            <v>14</v>
          </cell>
          <cell r="AP2479">
            <v>0</v>
          </cell>
          <cell r="AQ2479">
            <v>0</v>
          </cell>
          <cell r="AR2479">
            <v>12.5</v>
          </cell>
          <cell r="BF2479">
            <v>9.5</v>
          </cell>
          <cell r="BG2479">
            <v>10.355</v>
          </cell>
          <cell r="BH2479">
            <v>10.355</v>
          </cell>
          <cell r="BI2479">
            <v>14</v>
          </cell>
          <cell r="BJ2479">
            <v>0</v>
          </cell>
        </row>
        <row r="2480">
          <cell r="D2480" t="str">
            <v>Katolícka univerzita v Ružomberku</v>
          </cell>
          <cell r="E2480" t="str">
            <v>Fakulta zdravotníctva</v>
          </cell>
          <cell r="AN2480">
            <v>41</v>
          </cell>
          <cell r="AO2480">
            <v>45</v>
          </cell>
          <cell r="AP2480">
            <v>0</v>
          </cell>
          <cell r="AQ2480">
            <v>0</v>
          </cell>
          <cell r="AR2480">
            <v>41</v>
          </cell>
          <cell r="BF2480">
            <v>35</v>
          </cell>
          <cell r="BG2480">
            <v>51.8</v>
          </cell>
          <cell r="BH2480">
            <v>50.436842105263153</v>
          </cell>
          <cell r="BI2480">
            <v>45</v>
          </cell>
          <cell r="BJ2480">
            <v>0</v>
          </cell>
        </row>
        <row r="2481">
          <cell r="D2481" t="str">
            <v>Katolícka univerzita v Ružomberku</v>
          </cell>
          <cell r="E2481" t="str">
            <v>Fakulta zdravotníctva</v>
          </cell>
          <cell r="AN2481">
            <v>45</v>
          </cell>
          <cell r="AO2481">
            <v>46</v>
          </cell>
          <cell r="AP2481">
            <v>0</v>
          </cell>
          <cell r="AQ2481">
            <v>0</v>
          </cell>
          <cell r="AR2481">
            <v>45</v>
          </cell>
          <cell r="BF2481">
            <v>67.5</v>
          </cell>
          <cell r="BG2481">
            <v>145.125</v>
          </cell>
          <cell r="BH2481">
            <v>129</v>
          </cell>
          <cell r="BI2481">
            <v>46</v>
          </cell>
          <cell r="BJ2481">
            <v>0</v>
          </cell>
        </row>
        <row r="2482">
          <cell r="D2482" t="str">
            <v>Katolícka univerzita v Ružomberku</v>
          </cell>
          <cell r="E2482" t="str">
            <v>Fakulta zdravotníctva</v>
          </cell>
          <cell r="AN2482">
            <v>74</v>
          </cell>
          <cell r="AO2482">
            <v>78</v>
          </cell>
          <cell r="AP2482">
            <v>0</v>
          </cell>
          <cell r="AQ2482">
            <v>0</v>
          </cell>
          <cell r="AR2482">
            <v>74</v>
          </cell>
          <cell r="BF2482">
            <v>62.3</v>
          </cell>
          <cell r="BG2482">
            <v>133.94499999999999</v>
          </cell>
          <cell r="BH2482">
            <v>130.42013157894738</v>
          </cell>
          <cell r="BI2482">
            <v>78</v>
          </cell>
          <cell r="BJ2482">
            <v>0</v>
          </cell>
        </row>
        <row r="2483">
          <cell r="D2483" t="str">
            <v>Univerzita Komenského v Bratislave</v>
          </cell>
          <cell r="E2483" t="str">
            <v>Rímskokatolícka cyrilometodská bohoslovecká fakulta</v>
          </cell>
          <cell r="AN2483">
            <v>2</v>
          </cell>
          <cell r="AO2483">
            <v>0</v>
          </cell>
          <cell r="AP2483">
            <v>0</v>
          </cell>
          <cell r="AQ2483">
            <v>0</v>
          </cell>
          <cell r="AR2483">
            <v>2</v>
          </cell>
          <cell r="BF2483">
            <v>8</v>
          </cell>
          <cell r="BG2483">
            <v>8.8000000000000007</v>
          </cell>
          <cell r="BH2483">
            <v>8.8000000000000007</v>
          </cell>
          <cell r="BI2483">
            <v>2</v>
          </cell>
          <cell r="BJ2483">
            <v>2</v>
          </cell>
        </row>
        <row r="2484">
          <cell r="D2484" t="str">
            <v>Technická univerzita v Košiciach</v>
          </cell>
          <cell r="E2484" t="str">
            <v>Ekonomická fakulta</v>
          </cell>
          <cell r="AN2484">
            <v>0</v>
          </cell>
          <cell r="AO2484">
            <v>0</v>
          </cell>
          <cell r="AP2484">
            <v>0</v>
          </cell>
          <cell r="AQ2484">
            <v>0</v>
          </cell>
          <cell r="AR2484">
            <v>0</v>
          </cell>
          <cell r="BF2484">
            <v>0</v>
          </cell>
          <cell r="BG2484">
            <v>0</v>
          </cell>
          <cell r="BH2484">
            <v>0</v>
          </cell>
          <cell r="BI2484">
            <v>3</v>
          </cell>
          <cell r="BJ2484">
            <v>0</v>
          </cell>
        </row>
        <row r="2485">
          <cell r="D2485" t="str">
            <v>Univerzita J. Selyeho</v>
          </cell>
          <cell r="E2485" t="str">
            <v>Fakulta ekonómie a informatiky</v>
          </cell>
          <cell r="AN2485">
            <v>10</v>
          </cell>
          <cell r="AO2485">
            <v>0</v>
          </cell>
          <cell r="AP2485">
            <v>0</v>
          </cell>
          <cell r="AQ2485">
            <v>0</v>
          </cell>
          <cell r="AR2485">
            <v>10</v>
          </cell>
          <cell r="BF2485">
            <v>40</v>
          </cell>
          <cell r="BG2485">
            <v>44</v>
          </cell>
          <cell r="BH2485">
            <v>44</v>
          </cell>
          <cell r="BI2485">
            <v>10</v>
          </cell>
          <cell r="BJ2485">
            <v>10</v>
          </cell>
        </row>
        <row r="2486">
          <cell r="D2486" t="str">
            <v>Univerzita J. Selyeho</v>
          </cell>
          <cell r="E2486" t="str">
            <v>Pedagogická fakulta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BF2486">
            <v>0</v>
          </cell>
          <cell r="BG2486">
            <v>0</v>
          </cell>
          <cell r="BH2486">
            <v>0</v>
          </cell>
          <cell r="BI2486">
            <v>158</v>
          </cell>
          <cell r="BJ2486">
            <v>0</v>
          </cell>
        </row>
        <row r="2487">
          <cell r="D2487" t="str">
            <v>Univerzita J. Selyeho</v>
          </cell>
          <cell r="E2487" t="str">
            <v>Pedagogická fakulta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BF2487">
            <v>0</v>
          </cell>
          <cell r="BG2487">
            <v>0</v>
          </cell>
          <cell r="BH2487">
            <v>0</v>
          </cell>
          <cell r="BI2487">
            <v>50</v>
          </cell>
          <cell r="BJ2487">
            <v>0</v>
          </cell>
        </row>
        <row r="2488">
          <cell r="D2488" t="str">
            <v>Univerzita J. Selyeho</v>
          </cell>
          <cell r="E2488" t="str">
            <v>Pedagogická fakulta</v>
          </cell>
          <cell r="AN2488">
            <v>3</v>
          </cell>
          <cell r="AO2488">
            <v>0</v>
          </cell>
          <cell r="AP2488">
            <v>0</v>
          </cell>
          <cell r="AQ2488">
            <v>0</v>
          </cell>
          <cell r="AR2488">
            <v>3</v>
          </cell>
          <cell r="BF2488">
            <v>12</v>
          </cell>
          <cell r="BG2488">
            <v>13.200000000000001</v>
          </cell>
          <cell r="BH2488">
            <v>13.200000000000001</v>
          </cell>
          <cell r="BI2488">
            <v>3</v>
          </cell>
          <cell r="BJ2488">
            <v>3</v>
          </cell>
        </row>
        <row r="2489">
          <cell r="D2489" t="str">
            <v>Univerzita J. Selyeho</v>
          </cell>
          <cell r="E2489" t="str">
            <v>Fakulta ekonómie a informatiky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R2489">
            <v>0</v>
          </cell>
          <cell r="BF2489">
            <v>0</v>
          </cell>
          <cell r="BG2489">
            <v>0</v>
          </cell>
          <cell r="BH2489">
            <v>0</v>
          </cell>
          <cell r="BI2489">
            <v>130</v>
          </cell>
          <cell r="BJ2489">
            <v>0</v>
          </cell>
        </row>
        <row r="2490">
          <cell r="D2490" t="str">
            <v>Univerzita J. Selyeho</v>
          </cell>
          <cell r="E2490" t="str">
            <v>Pedagogická fakulta</v>
          </cell>
          <cell r="AN2490">
            <v>5.5</v>
          </cell>
          <cell r="AO2490">
            <v>6.5</v>
          </cell>
          <cell r="AP2490">
            <v>0</v>
          </cell>
          <cell r="AQ2490">
            <v>0</v>
          </cell>
          <cell r="AR2490">
            <v>5.5</v>
          </cell>
          <cell r="BF2490">
            <v>8.25</v>
          </cell>
          <cell r="BG2490">
            <v>8.9925000000000015</v>
          </cell>
          <cell r="BH2490">
            <v>8.0932500000000012</v>
          </cell>
          <cell r="BI2490">
            <v>6.5</v>
          </cell>
          <cell r="BJ2490">
            <v>0</v>
          </cell>
        </row>
        <row r="2491">
          <cell r="D2491" t="str">
            <v>Univerzita J. Selyeho</v>
          </cell>
          <cell r="E2491" t="str">
            <v>Pedagogická fakulta</v>
          </cell>
          <cell r="AN2491">
            <v>13.5</v>
          </cell>
          <cell r="AO2491">
            <v>14.5</v>
          </cell>
          <cell r="AP2491">
            <v>0</v>
          </cell>
          <cell r="AQ2491">
            <v>0</v>
          </cell>
          <cell r="AR2491">
            <v>13.5</v>
          </cell>
          <cell r="BF2491">
            <v>20.25</v>
          </cell>
          <cell r="BG2491">
            <v>22.072500000000002</v>
          </cell>
          <cell r="BH2491">
            <v>19.475735294117648</v>
          </cell>
          <cell r="BI2491">
            <v>14.5</v>
          </cell>
          <cell r="BJ2491">
            <v>0</v>
          </cell>
        </row>
        <row r="2492">
          <cell r="D2492" t="str">
            <v>Univerzita J. Selyeho</v>
          </cell>
          <cell r="E2492" t="str">
            <v>Pedagogická fakulta</v>
          </cell>
          <cell r="AN2492">
            <v>4.5</v>
          </cell>
          <cell r="AO2492">
            <v>5</v>
          </cell>
          <cell r="AP2492">
            <v>5</v>
          </cell>
          <cell r="AQ2492">
            <v>4.5</v>
          </cell>
          <cell r="AR2492">
            <v>4.5</v>
          </cell>
          <cell r="BF2492">
            <v>6.75</v>
          </cell>
          <cell r="BG2492">
            <v>9.7199999999999989</v>
          </cell>
          <cell r="BH2492">
            <v>9.7199999999999989</v>
          </cell>
          <cell r="BI2492">
            <v>5</v>
          </cell>
          <cell r="BJ2492">
            <v>0</v>
          </cell>
        </row>
        <row r="2493">
          <cell r="D2493" t="str">
            <v>Univerzita J. Selyeho</v>
          </cell>
          <cell r="E2493" t="str">
            <v>Pedagogická fakulta</v>
          </cell>
          <cell r="AN2493">
            <v>26.5</v>
          </cell>
          <cell r="AO2493">
            <v>29</v>
          </cell>
          <cell r="AP2493">
            <v>29</v>
          </cell>
          <cell r="AQ2493">
            <v>26.5</v>
          </cell>
          <cell r="AR2493">
            <v>26.5</v>
          </cell>
          <cell r="BF2493">
            <v>23.35</v>
          </cell>
          <cell r="BG2493">
            <v>33.624000000000002</v>
          </cell>
          <cell r="BH2493">
            <v>33.624000000000002</v>
          </cell>
          <cell r="BI2493">
            <v>29</v>
          </cell>
          <cell r="BJ2493">
            <v>0</v>
          </cell>
        </row>
        <row r="2494">
          <cell r="D2494" t="str">
            <v>Univerzita J. Selyeho</v>
          </cell>
          <cell r="E2494" t="str">
            <v>Pedagogická fakulta</v>
          </cell>
          <cell r="AN2494">
            <v>4.5</v>
          </cell>
          <cell r="AO2494">
            <v>7.5</v>
          </cell>
          <cell r="AP2494">
            <v>0</v>
          </cell>
          <cell r="AQ2494">
            <v>0</v>
          </cell>
          <cell r="AR2494">
            <v>4.5</v>
          </cell>
          <cell r="BF2494">
            <v>3.9</v>
          </cell>
          <cell r="BG2494">
            <v>4.2510000000000003</v>
          </cell>
          <cell r="BH2494">
            <v>4.2510000000000003</v>
          </cell>
          <cell r="BI2494">
            <v>7.5</v>
          </cell>
          <cell r="BJ2494">
            <v>0</v>
          </cell>
        </row>
        <row r="2495">
          <cell r="D2495" t="str">
            <v>Univerzita J. Selyeho</v>
          </cell>
          <cell r="E2495" t="str">
            <v>Pedagogická fakulta</v>
          </cell>
          <cell r="AN2495">
            <v>8.5</v>
          </cell>
          <cell r="AO2495">
            <v>10.5</v>
          </cell>
          <cell r="AP2495">
            <v>0</v>
          </cell>
          <cell r="AQ2495">
            <v>0</v>
          </cell>
          <cell r="AR2495">
            <v>8.5</v>
          </cell>
          <cell r="BF2495">
            <v>7.15</v>
          </cell>
          <cell r="BG2495">
            <v>7.7935000000000008</v>
          </cell>
          <cell r="BH2495">
            <v>7.7935000000000008</v>
          </cell>
          <cell r="BI2495">
            <v>10.5</v>
          </cell>
          <cell r="BJ2495">
            <v>0</v>
          </cell>
        </row>
        <row r="2496">
          <cell r="D2496" t="str">
            <v>Univerzita J. Selyeho</v>
          </cell>
          <cell r="E2496" t="str">
            <v>Reformovaná teologická fakulta</v>
          </cell>
          <cell r="AN2496">
            <v>15</v>
          </cell>
          <cell r="AO2496">
            <v>20</v>
          </cell>
          <cell r="AP2496">
            <v>0</v>
          </cell>
          <cell r="AQ2496">
            <v>0</v>
          </cell>
          <cell r="AR2496">
            <v>15</v>
          </cell>
          <cell r="BF2496">
            <v>11.7</v>
          </cell>
          <cell r="BG2496">
            <v>11.7</v>
          </cell>
          <cell r="BH2496">
            <v>11.7</v>
          </cell>
          <cell r="BI2496">
            <v>20</v>
          </cell>
          <cell r="BJ2496">
            <v>0</v>
          </cell>
        </row>
        <row r="2497">
          <cell r="D2497" t="str">
            <v>Univerzita J. Selyeho</v>
          </cell>
          <cell r="E2497" t="str">
            <v>Reformovaná teologická fakulta</v>
          </cell>
          <cell r="AN2497">
            <v>4</v>
          </cell>
          <cell r="AO2497">
            <v>0</v>
          </cell>
          <cell r="AP2497">
            <v>0</v>
          </cell>
          <cell r="AQ2497">
            <v>0</v>
          </cell>
          <cell r="AR2497">
            <v>4</v>
          </cell>
          <cell r="BF2497">
            <v>16</v>
          </cell>
          <cell r="BG2497">
            <v>17.600000000000001</v>
          </cell>
          <cell r="BH2497">
            <v>17.600000000000001</v>
          </cell>
          <cell r="BI2497">
            <v>4</v>
          </cell>
          <cell r="BJ2497">
            <v>4</v>
          </cell>
        </row>
        <row r="2498">
          <cell r="D2498" t="str">
            <v>Technická univerzita vo Zvolene</v>
          </cell>
          <cell r="E2498" t="str">
            <v>Fakulta ekológie a environmentalistiky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BF2498">
            <v>0</v>
          </cell>
          <cell r="BG2498">
            <v>0</v>
          </cell>
          <cell r="BH2498">
            <v>0</v>
          </cell>
          <cell r="BI2498">
            <v>16</v>
          </cell>
          <cell r="BJ2498">
            <v>0</v>
          </cell>
        </row>
        <row r="2499">
          <cell r="D2499" t="str">
            <v>Univerzita Komenského v Bratislave</v>
          </cell>
          <cell r="E2499" t="str">
            <v>Filozofická fakulta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R2499">
            <v>0</v>
          </cell>
          <cell r="BF2499">
            <v>0</v>
          </cell>
          <cell r="BG2499">
            <v>0</v>
          </cell>
          <cell r="BH2499">
            <v>0</v>
          </cell>
          <cell r="BI2499">
            <v>3</v>
          </cell>
          <cell r="BJ2499">
            <v>0</v>
          </cell>
        </row>
        <row r="2500">
          <cell r="D2500" t="str">
            <v>Univerzita Komenského v Bratislave</v>
          </cell>
          <cell r="E2500" t="str">
            <v>Filozofická fakulta</v>
          </cell>
          <cell r="AN2500">
            <v>1</v>
          </cell>
          <cell r="AO2500">
            <v>0</v>
          </cell>
          <cell r="AP2500">
            <v>0</v>
          </cell>
          <cell r="AQ2500">
            <v>0</v>
          </cell>
          <cell r="AR2500">
            <v>1</v>
          </cell>
          <cell r="BF2500">
            <v>3</v>
          </cell>
          <cell r="BG2500">
            <v>3.3000000000000003</v>
          </cell>
          <cell r="BH2500">
            <v>3.3000000000000003</v>
          </cell>
          <cell r="BI2500">
            <v>1</v>
          </cell>
          <cell r="BJ2500">
            <v>1</v>
          </cell>
        </row>
        <row r="2501">
          <cell r="D2501" t="str">
            <v>Univerzita Komenského v Bratislave</v>
          </cell>
          <cell r="E2501" t="str">
            <v>Filozofická fakulta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BF2501">
            <v>0</v>
          </cell>
          <cell r="BG2501">
            <v>0</v>
          </cell>
          <cell r="BH2501">
            <v>0</v>
          </cell>
          <cell r="BI2501">
            <v>2</v>
          </cell>
          <cell r="BJ2501">
            <v>0</v>
          </cell>
        </row>
        <row r="2502">
          <cell r="D2502" t="str">
            <v>Univerzita Komenského v Bratislave</v>
          </cell>
          <cell r="E2502" t="str">
            <v>Filozofická fakulta</v>
          </cell>
          <cell r="AN2502">
            <v>3</v>
          </cell>
          <cell r="AO2502">
            <v>0</v>
          </cell>
          <cell r="AP2502">
            <v>0</v>
          </cell>
          <cell r="AQ2502">
            <v>0</v>
          </cell>
          <cell r="AR2502">
            <v>3</v>
          </cell>
          <cell r="BF2502">
            <v>9</v>
          </cell>
          <cell r="BG2502">
            <v>9.9</v>
          </cell>
          <cell r="BH2502">
            <v>9.9</v>
          </cell>
          <cell r="BI2502">
            <v>3</v>
          </cell>
          <cell r="BJ2502">
            <v>3</v>
          </cell>
        </row>
        <row r="2503">
          <cell r="D2503" t="str">
            <v>Univerzita Komenského v Bratislave</v>
          </cell>
          <cell r="E2503" t="str">
            <v>Filozofická fakulta</v>
          </cell>
          <cell r="AN2503">
            <v>4</v>
          </cell>
          <cell r="AO2503">
            <v>0</v>
          </cell>
          <cell r="AP2503">
            <v>0</v>
          </cell>
          <cell r="AQ2503">
            <v>0</v>
          </cell>
          <cell r="AR2503">
            <v>4</v>
          </cell>
          <cell r="BF2503">
            <v>12</v>
          </cell>
          <cell r="BG2503">
            <v>13.200000000000001</v>
          </cell>
          <cell r="BH2503">
            <v>13.200000000000001</v>
          </cell>
          <cell r="BI2503">
            <v>4</v>
          </cell>
          <cell r="BJ2503">
            <v>4</v>
          </cell>
        </row>
        <row r="2504">
          <cell r="D2504" t="str">
            <v>Univerzita Komenského v Bratislave</v>
          </cell>
          <cell r="E2504" t="str">
            <v>Filozofická fakulta</v>
          </cell>
          <cell r="AN2504">
            <v>13.5</v>
          </cell>
          <cell r="AO2504">
            <v>14.5</v>
          </cell>
          <cell r="AP2504">
            <v>0</v>
          </cell>
          <cell r="AQ2504">
            <v>0</v>
          </cell>
          <cell r="AR2504">
            <v>13.5</v>
          </cell>
          <cell r="BF2504">
            <v>20.25</v>
          </cell>
          <cell r="BG2504">
            <v>30.375</v>
          </cell>
          <cell r="BH2504">
            <v>21.262499999999999</v>
          </cell>
          <cell r="BI2504">
            <v>14.5</v>
          </cell>
          <cell r="BJ2504">
            <v>0</v>
          </cell>
        </row>
        <row r="2505">
          <cell r="D2505" t="str">
            <v>Univerzita Komenského v Bratislave</v>
          </cell>
          <cell r="E2505" t="str">
            <v>Filozofická fakulta</v>
          </cell>
          <cell r="AN2505">
            <v>3</v>
          </cell>
          <cell r="AO2505">
            <v>0</v>
          </cell>
          <cell r="AP2505">
            <v>0</v>
          </cell>
          <cell r="AQ2505">
            <v>0</v>
          </cell>
          <cell r="AR2505">
            <v>3</v>
          </cell>
          <cell r="BF2505">
            <v>9</v>
          </cell>
          <cell r="BG2505">
            <v>9.9</v>
          </cell>
          <cell r="BH2505">
            <v>9.9</v>
          </cell>
          <cell r="BI2505">
            <v>3</v>
          </cell>
          <cell r="BJ2505">
            <v>3</v>
          </cell>
        </row>
        <row r="2506">
          <cell r="D2506" t="str">
            <v>Univerzita Komenského v Bratislave</v>
          </cell>
          <cell r="E2506" t="str">
            <v>Filozofická fakulta</v>
          </cell>
          <cell r="AN2506">
            <v>1.5</v>
          </cell>
          <cell r="AO2506">
            <v>2</v>
          </cell>
          <cell r="AP2506">
            <v>0</v>
          </cell>
          <cell r="AQ2506">
            <v>0</v>
          </cell>
          <cell r="AR2506">
            <v>1.5</v>
          </cell>
          <cell r="BF2506">
            <v>2.25</v>
          </cell>
          <cell r="BG2506">
            <v>3.375</v>
          </cell>
          <cell r="BH2506">
            <v>3.375</v>
          </cell>
          <cell r="BI2506">
            <v>2</v>
          </cell>
          <cell r="BJ2506">
            <v>0</v>
          </cell>
        </row>
        <row r="2507">
          <cell r="D2507" t="str">
            <v>Univerzita Komenského v Bratislave</v>
          </cell>
          <cell r="E2507" t="str">
            <v>Filozofická fakulta</v>
          </cell>
          <cell r="AN2507">
            <v>10.5</v>
          </cell>
          <cell r="AO2507">
            <v>11.5</v>
          </cell>
          <cell r="AP2507">
            <v>0</v>
          </cell>
          <cell r="AQ2507">
            <v>0</v>
          </cell>
          <cell r="AR2507">
            <v>10.5</v>
          </cell>
          <cell r="BF2507">
            <v>15.75</v>
          </cell>
          <cell r="BG2507">
            <v>23.625</v>
          </cell>
          <cell r="BH2507">
            <v>23.625</v>
          </cell>
          <cell r="BI2507">
            <v>11.5</v>
          </cell>
          <cell r="BJ2507">
            <v>0</v>
          </cell>
        </row>
        <row r="2508">
          <cell r="D2508" t="str">
            <v>Univerzita Komenského v Bratislave</v>
          </cell>
          <cell r="E2508" t="str">
            <v>Filozofická fakulta</v>
          </cell>
          <cell r="AN2508">
            <v>4.5</v>
          </cell>
          <cell r="AO2508">
            <v>5.5</v>
          </cell>
          <cell r="AP2508">
            <v>0</v>
          </cell>
          <cell r="AQ2508">
            <v>0</v>
          </cell>
          <cell r="AR2508">
            <v>4.5</v>
          </cell>
          <cell r="BF2508">
            <v>6.75</v>
          </cell>
          <cell r="BG2508">
            <v>10.125</v>
          </cell>
          <cell r="BH2508">
            <v>10.125</v>
          </cell>
          <cell r="BI2508">
            <v>5.5</v>
          </cell>
          <cell r="BJ2508">
            <v>0</v>
          </cell>
        </row>
        <row r="2509">
          <cell r="D2509" t="str">
            <v>Univerzita Komenského v Bratislave</v>
          </cell>
          <cell r="E2509" t="str">
            <v>Filozofická fakulta</v>
          </cell>
          <cell r="AN2509">
            <v>17</v>
          </cell>
          <cell r="AO2509">
            <v>19</v>
          </cell>
          <cell r="AP2509">
            <v>0</v>
          </cell>
          <cell r="AQ2509">
            <v>0</v>
          </cell>
          <cell r="AR2509">
            <v>17</v>
          </cell>
          <cell r="BF2509">
            <v>25.5</v>
          </cell>
          <cell r="BG2509">
            <v>27.795000000000002</v>
          </cell>
          <cell r="BH2509">
            <v>26.057812500000001</v>
          </cell>
          <cell r="BI2509">
            <v>19</v>
          </cell>
          <cell r="BJ2509">
            <v>0</v>
          </cell>
        </row>
        <row r="2510">
          <cell r="D2510" t="str">
            <v>Univerzita Komenského v Bratislave</v>
          </cell>
          <cell r="E2510" t="str">
            <v>Filozofická fakulta</v>
          </cell>
          <cell r="AN2510">
            <v>7</v>
          </cell>
          <cell r="AO2510">
            <v>8.5</v>
          </cell>
          <cell r="AP2510">
            <v>0</v>
          </cell>
          <cell r="AQ2510">
            <v>0</v>
          </cell>
          <cell r="AR2510">
            <v>7</v>
          </cell>
          <cell r="BF2510">
            <v>10.5</v>
          </cell>
          <cell r="BG2510">
            <v>11.445</v>
          </cell>
          <cell r="BH2510">
            <v>11.445</v>
          </cell>
          <cell r="BI2510">
            <v>8.5</v>
          </cell>
          <cell r="BJ2510">
            <v>0</v>
          </cell>
        </row>
        <row r="2511">
          <cell r="D2511" t="str">
            <v>Univerzita Komenského v Bratislave</v>
          </cell>
          <cell r="E2511" t="str">
            <v>Filozofická fakulta</v>
          </cell>
          <cell r="AN2511">
            <v>4</v>
          </cell>
          <cell r="AO2511">
            <v>5</v>
          </cell>
          <cell r="AP2511">
            <v>0</v>
          </cell>
          <cell r="AQ2511">
            <v>0</v>
          </cell>
          <cell r="AR2511">
            <v>4</v>
          </cell>
          <cell r="BF2511">
            <v>6</v>
          </cell>
          <cell r="BG2511">
            <v>9</v>
          </cell>
          <cell r="BH2511">
            <v>8.3076923076923084</v>
          </cell>
          <cell r="BI2511">
            <v>5</v>
          </cell>
          <cell r="BJ2511">
            <v>0</v>
          </cell>
        </row>
        <row r="2512">
          <cell r="D2512" t="str">
            <v>Univerzita Komenského v Bratislave</v>
          </cell>
          <cell r="E2512" t="str">
            <v>Filozofická fakulta</v>
          </cell>
          <cell r="AN2512">
            <v>3</v>
          </cell>
          <cell r="AO2512">
            <v>3.5</v>
          </cell>
          <cell r="AP2512">
            <v>0</v>
          </cell>
          <cell r="AQ2512">
            <v>0</v>
          </cell>
          <cell r="AR2512">
            <v>3</v>
          </cell>
          <cell r="BF2512">
            <v>4.5</v>
          </cell>
          <cell r="BG2512">
            <v>6.75</v>
          </cell>
          <cell r="BH2512">
            <v>6.75</v>
          </cell>
          <cell r="BI2512">
            <v>3.5</v>
          </cell>
          <cell r="BJ2512">
            <v>0</v>
          </cell>
        </row>
        <row r="2513">
          <cell r="D2513" t="str">
            <v>Univerzita Komenského v Bratislave</v>
          </cell>
          <cell r="E2513" t="str">
            <v>Filozofická fakulta</v>
          </cell>
          <cell r="AN2513">
            <v>25</v>
          </cell>
          <cell r="AO2513">
            <v>25</v>
          </cell>
          <cell r="AP2513">
            <v>0</v>
          </cell>
          <cell r="AQ2513">
            <v>0</v>
          </cell>
          <cell r="AR2513">
            <v>25</v>
          </cell>
          <cell r="BF2513">
            <v>37.5</v>
          </cell>
          <cell r="BG2513">
            <v>39</v>
          </cell>
          <cell r="BH2513">
            <v>33.428571428571431</v>
          </cell>
          <cell r="BI2513">
            <v>25</v>
          </cell>
          <cell r="BJ2513">
            <v>0</v>
          </cell>
        </row>
        <row r="2514">
          <cell r="D2514" t="str">
            <v>Univerzita Komenského v Bratislave</v>
          </cell>
          <cell r="E2514" t="str">
            <v>Filozofická fakulta</v>
          </cell>
          <cell r="AN2514">
            <v>0</v>
          </cell>
          <cell r="AO2514">
            <v>0.5</v>
          </cell>
          <cell r="AP2514">
            <v>0</v>
          </cell>
          <cell r="AQ2514">
            <v>0</v>
          </cell>
          <cell r="AR2514">
            <v>0</v>
          </cell>
          <cell r="BF2514">
            <v>0</v>
          </cell>
          <cell r="BG2514">
            <v>0</v>
          </cell>
          <cell r="BH2514">
            <v>0</v>
          </cell>
          <cell r="BI2514">
            <v>0.5</v>
          </cell>
          <cell r="BJ2514">
            <v>0</v>
          </cell>
        </row>
        <row r="2515">
          <cell r="D2515" t="str">
            <v>Univerzita Komenského v Bratislave</v>
          </cell>
          <cell r="E2515" t="str">
            <v>Filozofická fakulta</v>
          </cell>
          <cell r="AN2515">
            <v>7</v>
          </cell>
          <cell r="AO2515">
            <v>9</v>
          </cell>
          <cell r="AP2515">
            <v>0</v>
          </cell>
          <cell r="AQ2515">
            <v>0</v>
          </cell>
          <cell r="AR2515">
            <v>7</v>
          </cell>
          <cell r="BF2515">
            <v>10.5</v>
          </cell>
          <cell r="BG2515">
            <v>10.5</v>
          </cell>
          <cell r="BH2515">
            <v>10.5</v>
          </cell>
          <cell r="BI2515">
            <v>9</v>
          </cell>
          <cell r="BJ2515">
            <v>0</v>
          </cell>
        </row>
        <row r="2516">
          <cell r="D2516" t="str">
            <v>Univerzita Komenského v Bratislave</v>
          </cell>
          <cell r="E2516" t="str">
            <v>Filozofická fakulta</v>
          </cell>
          <cell r="AN2516">
            <v>0</v>
          </cell>
          <cell r="AO2516">
            <v>0</v>
          </cell>
          <cell r="AP2516">
            <v>0</v>
          </cell>
          <cell r="AQ2516">
            <v>0</v>
          </cell>
          <cell r="AR2516">
            <v>0</v>
          </cell>
          <cell r="BF2516">
            <v>0</v>
          </cell>
          <cell r="BG2516">
            <v>0</v>
          </cell>
          <cell r="BH2516">
            <v>0</v>
          </cell>
          <cell r="BI2516">
            <v>1</v>
          </cell>
          <cell r="BJ2516">
            <v>0</v>
          </cell>
        </row>
        <row r="2517">
          <cell r="D2517" t="str">
            <v>Univerzita Komenského v Bratislave</v>
          </cell>
          <cell r="E2517" t="str">
            <v>Filozofická fakulta</v>
          </cell>
          <cell r="AN2517">
            <v>76</v>
          </cell>
          <cell r="AO2517">
            <v>80</v>
          </cell>
          <cell r="AP2517">
            <v>0</v>
          </cell>
          <cell r="AQ2517">
            <v>0</v>
          </cell>
          <cell r="AR2517">
            <v>76</v>
          </cell>
          <cell r="BF2517">
            <v>67.599999999999994</v>
          </cell>
          <cell r="BG2517">
            <v>80.443999999999988</v>
          </cell>
          <cell r="BH2517">
            <v>80.443999999999988</v>
          </cell>
          <cell r="BI2517">
            <v>80</v>
          </cell>
          <cell r="BJ2517">
            <v>0</v>
          </cell>
        </row>
        <row r="2518">
          <cell r="D2518" t="str">
            <v>Univerzita Komenského v Bratislave</v>
          </cell>
          <cell r="E2518" t="str">
            <v>Filozofická fakulta</v>
          </cell>
          <cell r="AN2518">
            <v>7</v>
          </cell>
          <cell r="AO2518">
            <v>8</v>
          </cell>
          <cell r="AP2518">
            <v>0</v>
          </cell>
          <cell r="AQ2518">
            <v>0</v>
          </cell>
          <cell r="AR2518">
            <v>7</v>
          </cell>
          <cell r="BF2518">
            <v>5.8</v>
          </cell>
          <cell r="BG2518">
            <v>8.6999999999999993</v>
          </cell>
          <cell r="BH2518">
            <v>8.2552715654952067</v>
          </cell>
          <cell r="BI2518">
            <v>8</v>
          </cell>
          <cell r="BJ2518">
            <v>0</v>
          </cell>
        </row>
        <row r="2519">
          <cell r="D2519" t="str">
            <v>Univerzita Komenského v Bratislave</v>
          </cell>
          <cell r="E2519" t="str">
            <v>Filozofická fakulta</v>
          </cell>
          <cell r="AN2519">
            <v>4</v>
          </cell>
          <cell r="AO2519">
            <v>5.5</v>
          </cell>
          <cell r="AP2519">
            <v>0</v>
          </cell>
          <cell r="AQ2519">
            <v>0</v>
          </cell>
          <cell r="AR2519">
            <v>4</v>
          </cell>
          <cell r="BF2519">
            <v>4</v>
          </cell>
          <cell r="BG2519">
            <v>6</v>
          </cell>
          <cell r="BH2519">
            <v>5.6932907348242807</v>
          </cell>
          <cell r="BI2519">
            <v>5.5</v>
          </cell>
          <cell r="BJ2519">
            <v>0</v>
          </cell>
        </row>
        <row r="2520">
          <cell r="D2520" t="str">
            <v>Univerzita Komenského v Bratislave</v>
          </cell>
          <cell r="E2520" t="str">
            <v>Filozofická fakulta</v>
          </cell>
          <cell r="AN2520">
            <v>9</v>
          </cell>
          <cell r="AO2520">
            <v>11</v>
          </cell>
          <cell r="AP2520">
            <v>0</v>
          </cell>
          <cell r="AQ2520">
            <v>0</v>
          </cell>
          <cell r="AR2520">
            <v>9</v>
          </cell>
          <cell r="BF2520">
            <v>7.1999999999999993</v>
          </cell>
          <cell r="BG2520">
            <v>7.1999999999999993</v>
          </cell>
          <cell r="BH2520">
            <v>7.1999999999999993</v>
          </cell>
          <cell r="BI2520">
            <v>11</v>
          </cell>
          <cell r="BJ2520">
            <v>0</v>
          </cell>
        </row>
        <row r="2521">
          <cell r="D2521" t="str">
            <v>Univerzita Komenského v Bratislave</v>
          </cell>
          <cell r="E2521" t="str">
            <v>Filozofická fakulta</v>
          </cell>
          <cell r="AN2521">
            <v>11</v>
          </cell>
          <cell r="AO2521">
            <v>12</v>
          </cell>
          <cell r="AP2521">
            <v>0</v>
          </cell>
          <cell r="AQ2521">
            <v>0</v>
          </cell>
          <cell r="AR2521">
            <v>11</v>
          </cell>
          <cell r="BF2521">
            <v>9.35</v>
          </cell>
          <cell r="BG2521">
            <v>10.1915</v>
          </cell>
          <cell r="BH2521">
            <v>10.1915</v>
          </cell>
          <cell r="BI2521">
            <v>12</v>
          </cell>
          <cell r="BJ2521">
            <v>0</v>
          </cell>
        </row>
        <row r="2522">
          <cell r="D2522" t="str">
            <v>Univerzita Komenského v Bratislave</v>
          </cell>
          <cell r="E2522" t="str">
            <v>Filozofická fakulta</v>
          </cell>
          <cell r="AN2522">
            <v>114</v>
          </cell>
          <cell r="AO2522">
            <v>120</v>
          </cell>
          <cell r="AP2522">
            <v>0</v>
          </cell>
          <cell r="AQ2522">
            <v>0</v>
          </cell>
          <cell r="AR2522">
            <v>114</v>
          </cell>
          <cell r="BF2522">
            <v>100.5</v>
          </cell>
          <cell r="BG2522">
            <v>119.595</v>
          </cell>
          <cell r="BH2522">
            <v>116.27291666666666</v>
          </cell>
          <cell r="BI2522">
            <v>120</v>
          </cell>
          <cell r="BJ2522">
            <v>0</v>
          </cell>
        </row>
        <row r="2523">
          <cell r="D2523" t="str">
            <v>Univerzita Komenského v Bratislave</v>
          </cell>
          <cell r="E2523" t="str">
            <v>Filozofická fakulta</v>
          </cell>
          <cell r="AN2523">
            <v>18</v>
          </cell>
          <cell r="AO2523">
            <v>20</v>
          </cell>
          <cell r="AP2523">
            <v>0</v>
          </cell>
          <cell r="AQ2523">
            <v>0</v>
          </cell>
          <cell r="AR2523">
            <v>18</v>
          </cell>
          <cell r="BF2523">
            <v>16.2</v>
          </cell>
          <cell r="BG2523">
            <v>16.847999999999999</v>
          </cell>
          <cell r="BH2523">
            <v>16.847999999999999</v>
          </cell>
          <cell r="BI2523">
            <v>20</v>
          </cell>
          <cell r="BJ2523">
            <v>0</v>
          </cell>
        </row>
        <row r="2524">
          <cell r="D2524" t="str">
            <v>Univerzita Komenského v Bratislave</v>
          </cell>
          <cell r="E2524" t="str">
            <v>Filozofická fakulta</v>
          </cell>
          <cell r="AN2524">
            <v>6.5</v>
          </cell>
          <cell r="AO2524">
            <v>7.5</v>
          </cell>
          <cell r="AP2524">
            <v>0</v>
          </cell>
          <cell r="AQ2524">
            <v>0</v>
          </cell>
          <cell r="AR2524">
            <v>6.5</v>
          </cell>
          <cell r="BF2524">
            <v>5.6</v>
          </cell>
          <cell r="BG2524">
            <v>8.3999999999999986</v>
          </cell>
          <cell r="BH2524">
            <v>8.3999999999999986</v>
          </cell>
          <cell r="BI2524">
            <v>7.5</v>
          </cell>
          <cell r="BJ2524">
            <v>0</v>
          </cell>
        </row>
        <row r="2525">
          <cell r="D2525" t="str">
            <v>Univerzita Komenského v Bratislave</v>
          </cell>
          <cell r="E2525" t="str">
            <v>Filozofická fakulta</v>
          </cell>
          <cell r="AN2525">
            <v>4.5</v>
          </cell>
          <cell r="AO2525">
            <v>5.5</v>
          </cell>
          <cell r="AP2525">
            <v>0</v>
          </cell>
          <cell r="AQ2525">
            <v>0</v>
          </cell>
          <cell r="AR2525">
            <v>4.5</v>
          </cell>
          <cell r="BF2525">
            <v>4.3499999999999996</v>
          </cell>
          <cell r="BG2525">
            <v>6.5249999999999995</v>
          </cell>
          <cell r="BH2525">
            <v>6.5249999999999995</v>
          </cell>
          <cell r="BI2525">
            <v>5.5</v>
          </cell>
          <cell r="BJ2525">
            <v>0</v>
          </cell>
        </row>
        <row r="2526">
          <cell r="D2526" t="str">
            <v>Univerzita Komenského v Bratislave</v>
          </cell>
          <cell r="E2526" t="str">
            <v>Filozofická fakulta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BF2526">
            <v>0</v>
          </cell>
          <cell r="BG2526">
            <v>0</v>
          </cell>
          <cell r="BH2526">
            <v>0</v>
          </cell>
          <cell r="BI2526">
            <v>1</v>
          </cell>
          <cell r="BJ2526">
            <v>0</v>
          </cell>
        </row>
        <row r="2527">
          <cell r="D2527" t="str">
            <v>Univerzita Komenského v Bratislave</v>
          </cell>
          <cell r="E2527" t="str">
            <v>Pedagogická fakulta</v>
          </cell>
          <cell r="AN2527">
            <v>4</v>
          </cell>
          <cell r="AO2527">
            <v>0</v>
          </cell>
          <cell r="AP2527">
            <v>0</v>
          </cell>
          <cell r="AQ2527">
            <v>0</v>
          </cell>
          <cell r="AR2527">
            <v>4</v>
          </cell>
          <cell r="BF2527">
            <v>16</v>
          </cell>
          <cell r="BG2527">
            <v>17.600000000000001</v>
          </cell>
          <cell r="BH2527">
            <v>17.600000000000001</v>
          </cell>
          <cell r="BI2527">
            <v>4</v>
          </cell>
          <cell r="BJ2527">
            <v>4</v>
          </cell>
        </row>
        <row r="2528">
          <cell r="D2528" t="str">
            <v>Univerzita Komenského v Bratislave</v>
          </cell>
          <cell r="E2528" t="str">
            <v>Pedagogická fakulta</v>
          </cell>
          <cell r="AN2528">
            <v>6</v>
          </cell>
          <cell r="AO2528">
            <v>0</v>
          </cell>
          <cell r="AP2528">
            <v>0</v>
          </cell>
          <cell r="AQ2528">
            <v>0</v>
          </cell>
          <cell r="AR2528">
            <v>6</v>
          </cell>
          <cell r="BF2528">
            <v>24</v>
          </cell>
          <cell r="BG2528">
            <v>26.400000000000002</v>
          </cell>
          <cell r="BH2528">
            <v>26.400000000000002</v>
          </cell>
          <cell r="BI2528">
            <v>6</v>
          </cell>
          <cell r="BJ2528">
            <v>6</v>
          </cell>
        </row>
        <row r="2529">
          <cell r="D2529" t="str">
            <v>Univerzita Komenského v Bratislave</v>
          </cell>
          <cell r="E2529" t="str">
            <v>Pedagogická fakulta</v>
          </cell>
          <cell r="AN2529">
            <v>1</v>
          </cell>
          <cell r="AO2529">
            <v>0</v>
          </cell>
          <cell r="AP2529">
            <v>0</v>
          </cell>
          <cell r="AQ2529">
            <v>0</v>
          </cell>
          <cell r="AR2529">
            <v>1</v>
          </cell>
          <cell r="BF2529">
            <v>4</v>
          </cell>
          <cell r="BG2529">
            <v>4.4000000000000004</v>
          </cell>
          <cell r="BH2529">
            <v>4.4000000000000004</v>
          </cell>
          <cell r="BI2529">
            <v>1</v>
          </cell>
          <cell r="BJ2529">
            <v>1</v>
          </cell>
        </row>
        <row r="2530">
          <cell r="D2530" t="str">
            <v>Univerzita Komenského v Bratislave</v>
          </cell>
          <cell r="E2530" t="str">
            <v>Pedagogická fakulta</v>
          </cell>
          <cell r="AN2530">
            <v>3</v>
          </cell>
          <cell r="AO2530">
            <v>0</v>
          </cell>
          <cell r="AP2530">
            <v>0</v>
          </cell>
          <cell r="AQ2530">
            <v>0</v>
          </cell>
          <cell r="AR2530">
            <v>3</v>
          </cell>
          <cell r="BF2530">
            <v>12</v>
          </cell>
          <cell r="BG2530">
            <v>13.200000000000001</v>
          </cell>
          <cell r="BH2530">
            <v>13.200000000000001</v>
          </cell>
          <cell r="BI2530">
            <v>3</v>
          </cell>
          <cell r="BJ2530">
            <v>3</v>
          </cell>
        </row>
        <row r="2531">
          <cell r="D2531" t="str">
            <v>Univerzita Komenského v Bratislave</v>
          </cell>
          <cell r="E2531" t="str">
            <v>Pedagogická fakulta</v>
          </cell>
          <cell r="AN2531">
            <v>1</v>
          </cell>
          <cell r="AO2531">
            <v>0</v>
          </cell>
          <cell r="AP2531">
            <v>0</v>
          </cell>
          <cell r="AQ2531">
            <v>0</v>
          </cell>
          <cell r="AR2531">
            <v>1</v>
          </cell>
          <cell r="BF2531">
            <v>4</v>
          </cell>
          <cell r="BG2531">
            <v>4.4000000000000004</v>
          </cell>
          <cell r="BH2531">
            <v>4.4000000000000004</v>
          </cell>
          <cell r="BI2531">
            <v>1</v>
          </cell>
          <cell r="BJ2531">
            <v>1</v>
          </cell>
        </row>
        <row r="2532">
          <cell r="D2532" t="str">
            <v>Univerzita Komenského v Bratislave</v>
          </cell>
          <cell r="E2532" t="str">
            <v>Pedagogická fakulta</v>
          </cell>
          <cell r="AN2532">
            <v>0</v>
          </cell>
          <cell r="AO2532">
            <v>0</v>
          </cell>
          <cell r="AP2532">
            <v>0</v>
          </cell>
          <cell r="AQ2532">
            <v>0</v>
          </cell>
          <cell r="AR2532">
            <v>0</v>
          </cell>
          <cell r="BF2532">
            <v>0</v>
          </cell>
          <cell r="BG2532">
            <v>0</v>
          </cell>
          <cell r="BH2532">
            <v>0</v>
          </cell>
          <cell r="BI2532">
            <v>6</v>
          </cell>
          <cell r="BJ2532">
            <v>0</v>
          </cell>
        </row>
        <row r="2533">
          <cell r="D2533" t="str">
            <v>Univerzita Komenského v Bratislave</v>
          </cell>
          <cell r="E2533" t="str">
            <v>Pedagogická fakulta</v>
          </cell>
          <cell r="AN2533">
            <v>4</v>
          </cell>
          <cell r="AO2533">
            <v>0</v>
          </cell>
          <cell r="AP2533">
            <v>0</v>
          </cell>
          <cell r="AQ2533">
            <v>0</v>
          </cell>
          <cell r="AR2533">
            <v>4</v>
          </cell>
          <cell r="BF2533">
            <v>16</v>
          </cell>
          <cell r="BG2533">
            <v>17.600000000000001</v>
          </cell>
          <cell r="BH2533">
            <v>17.600000000000001</v>
          </cell>
          <cell r="BI2533">
            <v>4</v>
          </cell>
          <cell r="BJ2533">
            <v>4</v>
          </cell>
        </row>
        <row r="2534">
          <cell r="D2534" t="str">
            <v>Univerzita Komenského v Bratislave</v>
          </cell>
          <cell r="E2534" t="str">
            <v>Pedagogická fakulta</v>
          </cell>
          <cell r="AN2534">
            <v>35.5</v>
          </cell>
          <cell r="AO2534">
            <v>38.5</v>
          </cell>
          <cell r="AP2534">
            <v>0</v>
          </cell>
          <cell r="AQ2534">
            <v>0</v>
          </cell>
          <cell r="AR2534">
            <v>35.5</v>
          </cell>
          <cell r="BF2534">
            <v>53.25</v>
          </cell>
          <cell r="BG2534">
            <v>58.042500000000004</v>
          </cell>
          <cell r="BH2534">
            <v>55.278571428571432</v>
          </cell>
          <cell r="BI2534">
            <v>38.5</v>
          </cell>
          <cell r="BJ2534">
            <v>0</v>
          </cell>
        </row>
        <row r="2535">
          <cell r="D2535" t="str">
            <v>Univerzita Komenského v Bratislave</v>
          </cell>
          <cell r="E2535" t="str">
            <v>Pedagogická fakulta</v>
          </cell>
          <cell r="AN2535">
            <v>11</v>
          </cell>
          <cell r="AO2535">
            <v>11.5</v>
          </cell>
          <cell r="AP2535">
            <v>0</v>
          </cell>
          <cell r="AQ2535">
            <v>0</v>
          </cell>
          <cell r="AR2535">
            <v>11</v>
          </cell>
          <cell r="BF2535">
            <v>9.0500000000000007</v>
          </cell>
          <cell r="BG2535">
            <v>9.8645000000000014</v>
          </cell>
          <cell r="BH2535">
            <v>9.8645000000000014</v>
          </cell>
          <cell r="BI2535">
            <v>11.5</v>
          </cell>
          <cell r="BJ2535">
            <v>0</v>
          </cell>
        </row>
        <row r="2536">
          <cell r="D2536" t="str">
            <v>Univerzita Komenského v Bratislave</v>
          </cell>
          <cell r="E2536" t="str">
            <v>Pedagogická fakulta</v>
          </cell>
          <cell r="AN2536">
            <v>52</v>
          </cell>
          <cell r="AO2536">
            <v>56</v>
          </cell>
          <cell r="AP2536">
            <v>0</v>
          </cell>
          <cell r="AQ2536">
            <v>0</v>
          </cell>
          <cell r="AR2536">
            <v>52</v>
          </cell>
          <cell r="BF2536">
            <v>47.8</v>
          </cell>
          <cell r="BG2536">
            <v>56.881999999999991</v>
          </cell>
          <cell r="BH2536">
            <v>56.881999999999991</v>
          </cell>
          <cell r="BI2536">
            <v>56</v>
          </cell>
          <cell r="BJ2536">
            <v>0</v>
          </cell>
        </row>
        <row r="2537">
          <cell r="D2537" t="str">
            <v>Univerzita Komenského v Bratislave</v>
          </cell>
          <cell r="E2537" t="str">
            <v>Prírodovedecká fakulta</v>
          </cell>
          <cell r="AN2537">
            <v>44</v>
          </cell>
          <cell r="AO2537">
            <v>46.5</v>
          </cell>
          <cell r="AP2537">
            <v>46.5</v>
          </cell>
          <cell r="AQ2537">
            <v>44</v>
          </cell>
          <cell r="AR2537">
            <v>44</v>
          </cell>
          <cell r="BF2537">
            <v>66</v>
          </cell>
          <cell r="BG2537">
            <v>95.039999999999992</v>
          </cell>
          <cell r="BH2537">
            <v>95.039999999999992</v>
          </cell>
          <cell r="BI2537">
            <v>46.5</v>
          </cell>
          <cell r="BJ2537">
            <v>0</v>
          </cell>
        </row>
        <row r="2538">
          <cell r="D2538" t="str">
            <v>Univerzita Komenského v Bratislave</v>
          </cell>
          <cell r="E2538" t="str">
            <v>Pedagogická fakulta</v>
          </cell>
          <cell r="AN2538">
            <v>0</v>
          </cell>
          <cell r="AO2538">
            <v>0</v>
          </cell>
          <cell r="AP2538">
            <v>0</v>
          </cell>
          <cell r="AQ2538">
            <v>0</v>
          </cell>
          <cell r="AR2538">
            <v>0</v>
          </cell>
          <cell r="BF2538">
            <v>0</v>
          </cell>
          <cell r="BG2538">
            <v>0</v>
          </cell>
          <cell r="BH2538">
            <v>0</v>
          </cell>
          <cell r="BI2538">
            <v>15</v>
          </cell>
          <cell r="BJ2538">
            <v>0</v>
          </cell>
        </row>
        <row r="2539">
          <cell r="D2539" t="str">
            <v>Univerzita Komenského v Bratislave</v>
          </cell>
          <cell r="E2539" t="str">
            <v>Pedagogická fakulta</v>
          </cell>
          <cell r="AN2539">
            <v>0</v>
          </cell>
          <cell r="AO2539">
            <v>0</v>
          </cell>
          <cell r="AP2539">
            <v>0</v>
          </cell>
          <cell r="AQ2539">
            <v>0</v>
          </cell>
          <cell r="AR2539">
            <v>0</v>
          </cell>
          <cell r="BF2539">
            <v>0</v>
          </cell>
          <cell r="BG2539">
            <v>0</v>
          </cell>
          <cell r="BH2539">
            <v>0</v>
          </cell>
          <cell r="BI2539">
            <v>8</v>
          </cell>
          <cell r="BJ2539">
            <v>0</v>
          </cell>
        </row>
        <row r="2540">
          <cell r="D2540" t="str">
            <v>Univerzita Komenského v Bratislave</v>
          </cell>
          <cell r="E2540" t="str">
            <v>Pedagogická fakulta</v>
          </cell>
          <cell r="AN2540">
            <v>37.5</v>
          </cell>
          <cell r="AO2540">
            <v>39.5</v>
          </cell>
          <cell r="AP2540">
            <v>0</v>
          </cell>
          <cell r="AQ2540">
            <v>0</v>
          </cell>
          <cell r="AR2540">
            <v>37.5</v>
          </cell>
          <cell r="BF2540">
            <v>56.25</v>
          </cell>
          <cell r="BG2540">
            <v>61.312500000000007</v>
          </cell>
          <cell r="BH2540">
            <v>57.705882352941181</v>
          </cell>
          <cell r="BI2540">
            <v>39.5</v>
          </cell>
          <cell r="BJ2540">
            <v>0</v>
          </cell>
        </row>
        <row r="2541">
          <cell r="D2541" t="str">
            <v>Univerzita Komenského v Bratislave</v>
          </cell>
          <cell r="E2541" t="str">
            <v>Pedagogická fakulta</v>
          </cell>
          <cell r="AN2541">
            <v>30.5</v>
          </cell>
          <cell r="AO2541">
            <v>33</v>
          </cell>
          <cell r="AP2541">
            <v>0</v>
          </cell>
          <cell r="AQ2541">
            <v>0</v>
          </cell>
          <cell r="AR2541">
            <v>30.5</v>
          </cell>
          <cell r="BF2541">
            <v>45.75</v>
          </cell>
          <cell r="BG2541">
            <v>49.867500000000007</v>
          </cell>
          <cell r="BH2541">
            <v>46.750781250000003</v>
          </cell>
          <cell r="BI2541">
            <v>33</v>
          </cell>
          <cell r="BJ2541">
            <v>0</v>
          </cell>
        </row>
        <row r="2542">
          <cell r="D2542" t="str">
            <v>Univerzita Komenského v Bratislave</v>
          </cell>
          <cell r="E2542" t="str">
            <v>Pedagogická fakulta</v>
          </cell>
          <cell r="AN2542">
            <v>51</v>
          </cell>
          <cell r="AO2542">
            <v>53</v>
          </cell>
          <cell r="AP2542">
            <v>0</v>
          </cell>
          <cell r="AQ2542">
            <v>0</v>
          </cell>
          <cell r="AR2542">
            <v>51</v>
          </cell>
          <cell r="BF2542">
            <v>44.4</v>
          </cell>
          <cell r="BG2542">
            <v>48.396000000000001</v>
          </cell>
          <cell r="BH2542">
            <v>46.929454545454547</v>
          </cell>
          <cell r="BI2542">
            <v>53</v>
          </cell>
          <cell r="BJ2542">
            <v>0</v>
          </cell>
        </row>
        <row r="2543">
          <cell r="D2543" t="str">
            <v>Univerzita Komenského v Bratislave</v>
          </cell>
          <cell r="E2543" t="str">
            <v>Pedagogická fakulta</v>
          </cell>
          <cell r="AN2543">
            <v>27</v>
          </cell>
          <cell r="AO2543">
            <v>28</v>
          </cell>
          <cell r="AP2543">
            <v>0</v>
          </cell>
          <cell r="AQ2543">
            <v>0</v>
          </cell>
          <cell r="AR2543">
            <v>27</v>
          </cell>
          <cell r="BF2543">
            <v>40.5</v>
          </cell>
          <cell r="BG2543">
            <v>44.145000000000003</v>
          </cell>
          <cell r="BH2543">
            <v>41.82157894736843</v>
          </cell>
          <cell r="BI2543">
            <v>28</v>
          </cell>
          <cell r="BJ2543">
            <v>0</v>
          </cell>
        </row>
        <row r="2544">
          <cell r="D2544" t="str">
            <v>Univerzita Komenského v Bratislave</v>
          </cell>
          <cell r="E2544" t="str">
            <v>Pedagogická fakulta</v>
          </cell>
          <cell r="AN2544">
            <v>21</v>
          </cell>
          <cell r="AO2544">
            <v>27</v>
          </cell>
          <cell r="AP2544">
            <v>0</v>
          </cell>
          <cell r="AQ2544">
            <v>0</v>
          </cell>
          <cell r="AR2544">
            <v>21</v>
          </cell>
          <cell r="BF2544">
            <v>17.399999999999999</v>
          </cell>
          <cell r="BG2544">
            <v>37.409999999999997</v>
          </cell>
          <cell r="BH2544">
            <v>37.409999999999997</v>
          </cell>
          <cell r="BI2544">
            <v>27</v>
          </cell>
          <cell r="BJ2544">
            <v>0</v>
          </cell>
        </row>
        <row r="2545">
          <cell r="D2545" t="str">
            <v>Univerzita Komenského v Bratislave</v>
          </cell>
          <cell r="E2545" t="str">
            <v>Pedagogická fakulta</v>
          </cell>
          <cell r="AN2545">
            <v>0</v>
          </cell>
          <cell r="AO2545">
            <v>2</v>
          </cell>
          <cell r="AP2545">
            <v>0</v>
          </cell>
          <cell r="AQ2545">
            <v>0</v>
          </cell>
          <cell r="AR2545">
            <v>0</v>
          </cell>
          <cell r="BF2545">
            <v>0</v>
          </cell>
          <cell r="BG2545">
            <v>0</v>
          </cell>
          <cell r="BH2545">
            <v>0</v>
          </cell>
          <cell r="BI2545">
            <v>2</v>
          </cell>
          <cell r="BJ2545">
            <v>0</v>
          </cell>
        </row>
        <row r="2546">
          <cell r="D2546" t="str">
            <v>Univerzita Komenského v Bratislave</v>
          </cell>
          <cell r="E2546" t="str">
            <v>Pedagogická fakulta</v>
          </cell>
          <cell r="AN2546">
            <v>10</v>
          </cell>
          <cell r="AO2546">
            <v>10</v>
          </cell>
          <cell r="AP2546">
            <v>0</v>
          </cell>
          <cell r="AQ2546">
            <v>0</v>
          </cell>
          <cell r="AR2546">
            <v>10</v>
          </cell>
          <cell r="BF2546">
            <v>8.5</v>
          </cell>
          <cell r="BG2546">
            <v>8.84</v>
          </cell>
          <cell r="BH2546">
            <v>8.3881150159744404</v>
          </cell>
          <cell r="BI2546">
            <v>10</v>
          </cell>
          <cell r="BJ2546">
            <v>0</v>
          </cell>
        </row>
        <row r="2547">
          <cell r="D2547" t="str">
            <v>Univerzita Komenského v Bratislave</v>
          </cell>
          <cell r="E2547" t="str">
            <v>Pedagogická fakulta</v>
          </cell>
          <cell r="AN2547">
            <v>14</v>
          </cell>
          <cell r="AO2547">
            <v>14</v>
          </cell>
          <cell r="AP2547">
            <v>0</v>
          </cell>
          <cell r="AQ2547">
            <v>0</v>
          </cell>
          <cell r="AR2547">
            <v>14</v>
          </cell>
          <cell r="BF2547">
            <v>12.8</v>
          </cell>
          <cell r="BG2547">
            <v>27.52</v>
          </cell>
          <cell r="BH2547">
            <v>27.52</v>
          </cell>
          <cell r="BI2547">
            <v>14</v>
          </cell>
          <cell r="BJ2547">
            <v>0</v>
          </cell>
        </row>
        <row r="2548">
          <cell r="D2548" t="str">
            <v>Univerzita Komenského v Bratislave</v>
          </cell>
          <cell r="E2548" t="str">
            <v>Pedagogická fakulta</v>
          </cell>
          <cell r="AN2548">
            <v>5.5</v>
          </cell>
          <cell r="AO2548">
            <v>6</v>
          </cell>
          <cell r="AP2548">
            <v>0</v>
          </cell>
          <cell r="AQ2548">
            <v>0</v>
          </cell>
          <cell r="AR2548">
            <v>5.5</v>
          </cell>
          <cell r="BF2548">
            <v>5.2</v>
          </cell>
          <cell r="BG2548">
            <v>5.668000000000001</v>
          </cell>
          <cell r="BH2548">
            <v>5.668000000000001</v>
          </cell>
          <cell r="BI2548">
            <v>6</v>
          </cell>
          <cell r="BJ2548">
            <v>0</v>
          </cell>
        </row>
        <row r="2549">
          <cell r="D2549" t="str">
            <v>Univerzita Komenského v Bratislave</v>
          </cell>
          <cell r="E2549" t="str">
            <v>Pedagogická fakulta</v>
          </cell>
          <cell r="AN2549">
            <v>9</v>
          </cell>
          <cell r="AO2549">
            <v>9.5</v>
          </cell>
          <cell r="AP2549">
            <v>0</v>
          </cell>
          <cell r="AQ2549">
            <v>0</v>
          </cell>
          <cell r="AR2549">
            <v>9</v>
          </cell>
          <cell r="BF2549">
            <v>7.9499999999999993</v>
          </cell>
          <cell r="BG2549">
            <v>8.6654999999999998</v>
          </cell>
          <cell r="BH2549">
            <v>8.6654999999999998</v>
          </cell>
          <cell r="BI2549">
            <v>9.5</v>
          </cell>
          <cell r="BJ2549">
            <v>0</v>
          </cell>
        </row>
        <row r="2550">
          <cell r="D2550" t="str">
            <v>Univerzita Komenského v Bratislave</v>
          </cell>
          <cell r="E2550" t="str">
            <v>Lekárska fakulta</v>
          </cell>
          <cell r="AN2550">
            <v>3</v>
          </cell>
          <cell r="AO2550">
            <v>0</v>
          </cell>
          <cell r="AP2550">
            <v>0</v>
          </cell>
          <cell r="AQ2550">
            <v>0</v>
          </cell>
          <cell r="AR2550">
            <v>3</v>
          </cell>
          <cell r="BF2550">
            <v>9</v>
          </cell>
          <cell r="BG2550">
            <v>30.69</v>
          </cell>
          <cell r="BH2550">
            <v>30.69</v>
          </cell>
          <cell r="BI2550">
            <v>3</v>
          </cell>
          <cell r="BJ2550">
            <v>3</v>
          </cell>
        </row>
        <row r="2551">
          <cell r="D2551" t="str">
            <v>Univerzita sv. Cyrila a Metoda v Trnave</v>
          </cell>
          <cell r="E2551" t="str">
            <v>Filozofická fakulta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R2551">
            <v>0</v>
          </cell>
          <cell r="BF2551">
            <v>0</v>
          </cell>
          <cell r="BG2551">
            <v>0</v>
          </cell>
          <cell r="BH2551">
            <v>0</v>
          </cell>
          <cell r="BI2551">
            <v>63</v>
          </cell>
          <cell r="BJ2551">
            <v>0</v>
          </cell>
        </row>
        <row r="2552">
          <cell r="D2552" t="str">
            <v>Univerzita Komenského v Bratislave</v>
          </cell>
          <cell r="E2552" t="str">
            <v>Fakulta telesnej výchovy a športu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R2552">
            <v>0</v>
          </cell>
          <cell r="BF2552">
            <v>0</v>
          </cell>
          <cell r="BG2552">
            <v>0</v>
          </cell>
          <cell r="BH2552">
            <v>0</v>
          </cell>
          <cell r="BI2552">
            <v>4</v>
          </cell>
          <cell r="BJ2552">
            <v>0</v>
          </cell>
        </row>
        <row r="2553">
          <cell r="D2553" t="str">
            <v>Univerzita Komenského v Bratislave</v>
          </cell>
          <cell r="E2553" t="str">
            <v>Fakulta telesnej výchovy a športu</v>
          </cell>
          <cell r="AN2553">
            <v>13</v>
          </cell>
          <cell r="AO2553">
            <v>0</v>
          </cell>
          <cell r="AP2553">
            <v>0</v>
          </cell>
          <cell r="AQ2553">
            <v>0</v>
          </cell>
          <cell r="AR2553">
            <v>13</v>
          </cell>
          <cell r="BF2553">
            <v>52</v>
          </cell>
          <cell r="BG2553">
            <v>57.2</v>
          </cell>
          <cell r="BH2553">
            <v>57.2</v>
          </cell>
          <cell r="BI2553">
            <v>13</v>
          </cell>
          <cell r="BJ2553">
            <v>13</v>
          </cell>
        </row>
        <row r="2554">
          <cell r="D2554" t="str">
            <v>Univerzita Komenského v Bratislave</v>
          </cell>
          <cell r="E2554" t="str">
            <v>Fakulta telesnej výchovy a športu</v>
          </cell>
          <cell r="AN2554">
            <v>0</v>
          </cell>
          <cell r="AO2554">
            <v>0</v>
          </cell>
          <cell r="AP2554">
            <v>0</v>
          </cell>
          <cell r="AQ2554">
            <v>0</v>
          </cell>
          <cell r="AR2554">
            <v>0</v>
          </cell>
          <cell r="BF2554">
            <v>0</v>
          </cell>
          <cell r="BG2554">
            <v>0</v>
          </cell>
          <cell r="BH2554">
            <v>0</v>
          </cell>
          <cell r="BI2554">
            <v>7</v>
          </cell>
          <cell r="BJ2554">
            <v>0</v>
          </cell>
        </row>
        <row r="2555">
          <cell r="D2555" t="str">
            <v>Univerzita Komenského v Bratislave</v>
          </cell>
          <cell r="E2555" t="str">
            <v>Fakulta telesnej výchovy a športu</v>
          </cell>
          <cell r="AN2555">
            <v>37</v>
          </cell>
          <cell r="AO2555">
            <v>42</v>
          </cell>
          <cell r="AP2555">
            <v>0</v>
          </cell>
          <cell r="AQ2555">
            <v>0</v>
          </cell>
          <cell r="AR2555">
            <v>37</v>
          </cell>
          <cell r="BF2555">
            <v>55.5</v>
          </cell>
          <cell r="BG2555">
            <v>66.045000000000002</v>
          </cell>
          <cell r="BH2555">
            <v>66.045000000000002</v>
          </cell>
          <cell r="BI2555">
            <v>42</v>
          </cell>
          <cell r="BJ2555">
            <v>0</v>
          </cell>
        </row>
        <row r="2556">
          <cell r="D2556" t="str">
            <v>Univerzita Komenského v Bratislave</v>
          </cell>
          <cell r="E2556" t="str">
            <v>Filozofická fakulta</v>
          </cell>
          <cell r="AN2556">
            <v>1</v>
          </cell>
          <cell r="AO2556">
            <v>1</v>
          </cell>
          <cell r="AP2556">
            <v>0</v>
          </cell>
          <cell r="AQ2556">
            <v>0</v>
          </cell>
          <cell r="AR2556">
            <v>1</v>
          </cell>
          <cell r="BF2556">
            <v>1</v>
          </cell>
          <cell r="BG2556">
            <v>1.0900000000000001</v>
          </cell>
          <cell r="BH2556">
            <v>1.0660903225806453</v>
          </cell>
          <cell r="BI2556">
            <v>1</v>
          </cell>
          <cell r="BJ2556">
            <v>0</v>
          </cell>
        </row>
        <row r="2557">
          <cell r="D2557" t="str">
            <v>Univerzita Komenského v Bratislave</v>
          </cell>
          <cell r="E2557" t="str">
            <v>Fakulta telesnej výchovy a športu</v>
          </cell>
          <cell r="AN2557">
            <v>29</v>
          </cell>
          <cell r="AO2557">
            <v>30</v>
          </cell>
          <cell r="AP2557">
            <v>0</v>
          </cell>
          <cell r="AQ2557">
            <v>0</v>
          </cell>
          <cell r="AR2557">
            <v>29</v>
          </cell>
          <cell r="BF2557">
            <v>43.5</v>
          </cell>
          <cell r="BG2557">
            <v>51.765000000000001</v>
          </cell>
          <cell r="BH2557">
            <v>41.412000000000006</v>
          </cell>
          <cell r="BI2557">
            <v>30</v>
          </cell>
          <cell r="BJ2557">
            <v>0</v>
          </cell>
        </row>
        <row r="2558">
          <cell r="D2558" t="str">
            <v>Paneurópska vysoká škola</v>
          </cell>
          <cell r="E2558" t="str">
            <v>Fakulta práva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BF2558">
            <v>0</v>
          </cell>
          <cell r="BG2558">
            <v>0</v>
          </cell>
          <cell r="BH2558">
            <v>0</v>
          </cell>
          <cell r="BI2558">
            <v>16</v>
          </cell>
          <cell r="BJ2558">
            <v>0</v>
          </cell>
        </row>
        <row r="2559">
          <cell r="D2559" t="str">
            <v>Paneurópska vysoká škola</v>
          </cell>
          <cell r="E2559" t="str">
            <v>Fakulta práva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BF2559">
            <v>0</v>
          </cell>
          <cell r="BG2559">
            <v>0</v>
          </cell>
          <cell r="BH2559">
            <v>0</v>
          </cell>
          <cell r="BI2559">
            <v>7</v>
          </cell>
          <cell r="BJ2559">
            <v>0</v>
          </cell>
        </row>
        <row r="2560">
          <cell r="D2560" t="str">
            <v>Univerzita Komenského v Bratislave</v>
          </cell>
          <cell r="E2560" t="str">
            <v>Jesseniova lekárska fakulta v Martine</v>
          </cell>
          <cell r="AN2560">
            <v>2</v>
          </cell>
          <cell r="AO2560">
            <v>0</v>
          </cell>
          <cell r="AP2560">
            <v>0</v>
          </cell>
          <cell r="AQ2560">
            <v>0</v>
          </cell>
          <cell r="AR2560">
            <v>2</v>
          </cell>
          <cell r="BF2560">
            <v>6</v>
          </cell>
          <cell r="BG2560">
            <v>20.46</v>
          </cell>
          <cell r="BH2560">
            <v>20.46</v>
          </cell>
          <cell r="BI2560">
            <v>2</v>
          </cell>
          <cell r="BJ2560">
            <v>2</v>
          </cell>
        </row>
        <row r="2561">
          <cell r="D2561" t="str">
            <v>Univerzita Komenského v Bratislave</v>
          </cell>
          <cell r="E2561" t="str">
            <v>Jesseniova lekárska fakulta v Martine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R2561">
            <v>0</v>
          </cell>
          <cell r="BF2561">
            <v>0</v>
          </cell>
          <cell r="BG2561">
            <v>0</v>
          </cell>
          <cell r="BH2561">
            <v>0</v>
          </cell>
          <cell r="BI2561">
            <v>3</v>
          </cell>
          <cell r="BJ2561">
            <v>0</v>
          </cell>
        </row>
        <row r="2562">
          <cell r="D2562" t="str">
            <v>Univerzita Komenského v Bratislave</v>
          </cell>
          <cell r="E2562" t="str">
            <v>Jesseniova lekárska fakulta v Martine</v>
          </cell>
          <cell r="AN2562">
            <v>57</v>
          </cell>
          <cell r="AO2562">
            <v>62</v>
          </cell>
          <cell r="AP2562">
            <v>62</v>
          </cell>
          <cell r="AQ2562">
            <v>0</v>
          </cell>
          <cell r="AR2562">
            <v>57</v>
          </cell>
          <cell r="BF2562">
            <v>47.7</v>
          </cell>
          <cell r="BG2562">
            <v>102.55500000000001</v>
          </cell>
          <cell r="BH2562">
            <v>100.11321428571429</v>
          </cell>
          <cell r="BI2562">
            <v>62</v>
          </cell>
          <cell r="BJ2562">
            <v>0</v>
          </cell>
        </row>
        <row r="2563">
          <cell r="D2563" t="str">
            <v>Univerzita Komenského v Bratislave</v>
          </cell>
          <cell r="E2563" t="str">
            <v>Jesseniova lekárska fakulta v Martine</v>
          </cell>
          <cell r="AN2563">
            <v>3</v>
          </cell>
          <cell r="AO2563">
            <v>0</v>
          </cell>
          <cell r="AP2563">
            <v>0</v>
          </cell>
          <cell r="AQ2563">
            <v>0</v>
          </cell>
          <cell r="AR2563">
            <v>3</v>
          </cell>
          <cell r="BF2563">
            <v>9</v>
          </cell>
          <cell r="BG2563">
            <v>30.69</v>
          </cell>
          <cell r="BH2563">
            <v>30.69</v>
          </cell>
          <cell r="BI2563">
            <v>3</v>
          </cell>
          <cell r="BJ2563">
            <v>3</v>
          </cell>
        </row>
        <row r="2564">
          <cell r="D2564" t="str">
            <v>Univerzita Komenského v Bratislave</v>
          </cell>
          <cell r="E2564" t="str">
            <v>Jesseniova lekárska fakulta v Martine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R2564">
            <v>0</v>
          </cell>
          <cell r="BF2564">
            <v>0</v>
          </cell>
          <cell r="BG2564">
            <v>0</v>
          </cell>
          <cell r="BH2564">
            <v>0</v>
          </cell>
          <cell r="BI2564">
            <v>22</v>
          </cell>
          <cell r="BJ2564">
            <v>0</v>
          </cell>
        </row>
        <row r="2565">
          <cell r="D2565" t="str">
            <v>Univerzita Komenského v Bratislave</v>
          </cell>
          <cell r="E2565" t="str">
            <v>Jesseniova lekárska fakulta v Martine</v>
          </cell>
          <cell r="AN2565">
            <v>1</v>
          </cell>
          <cell r="AO2565">
            <v>0</v>
          </cell>
          <cell r="AP2565">
            <v>0</v>
          </cell>
          <cell r="AQ2565">
            <v>0</v>
          </cell>
          <cell r="AR2565">
            <v>1</v>
          </cell>
          <cell r="BF2565">
            <v>3</v>
          </cell>
          <cell r="BG2565">
            <v>3.3000000000000003</v>
          </cell>
          <cell r="BH2565">
            <v>3.3000000000000003</v>
          </cell>
          <cell r="BI2565">
            <v>1</v>
          </cell>
          <cell r="BJ2565">
            <v>1</v>
          </cell>
        </row>
        <row r="2566">
          <cell r="D2566" t="str">
            <v>Univerzita Komenského v Bratislave</v>
          </cell>
          <cell r="E2566" t="str">
            <v>Jesseniova lekárska fakulta v Martine</v>
          </cell>
          <cell r="AN2566">
            <v>20</v>
          </cell>
          <cell r="AO2566">
            <v>21</v>
          </cell>
          <cell r="AP2566">
            <v>0</v>
          </cell>
          <cell r="AQ2566">
            <v>0</v>
          </cell>
          <cell r="AR2566">
            <v>20</v>
          </cell>
          <cell r="BF2566">
            <v>18.2</v>
          </cell>
          <cell r="BG2566">
            <v>26.936</v>
          </cell>
          <cell r="BH2566">
            <v>24.781120000000001</v>
          </cell>
          <cell r="BI2566">
            <v>21</v>
          </cell>
          <cell r="BJ2566">
            <v>0</v>
          </cell>
        </row>
        <row r="2567">
          <cell r="D2567" t="str">
            <v>Univerzita Komenského v Bratislave</v>
          </cell>
          <cell r="E2567" t="str">
            <v>Jesseniova lekárska fakulta v Martine</v>
          </cell>
          <cell r="AN2567">
            <v>3</v>
          </cell>
          <cell r="AO2567">
            <v>0</v>
          </cell>
          <cell r="AP2567">
            <v>0</v>
          </cell>
          <cell r="AQ2567">
            <v>0</v>
          </cell>
          <cell r="AR2567">
            <v>3</v>
          </cell>
          <cell r="BF2567">
            <v>9</v>
          </cell>
          <cell r="BG2567">
            <v>30.69</v>
          </cell>
          <cell r="BH2567">
            <v>30.69</v>
          </cell>
          <cell r="BI2567">
            <v>3</v>
          </cell>
          <cell r="BJ2567">
            <v>3</v>
          </cell>
        </row>
        <row r="2568">
          <cell r="D2568" t="str">
            <v>Univerzita Komenského v Bratislave</v>
          </cell>
          <cell r="E2568" t="str">
            <v>Právnická fakulta</v>
          </cell>
          <cell r="AN2568">
            <v>1</v>
          </cell>
          <cell r="AO2568">
            <v>0</v>
          </cell>
          <cell r="AP2568">
            <v>0</v>
          </cell>
          <cell r="AQ2568">
            <v>0</v>
          </cell>
          <cell r="AR2568">
            <v>0</v>
          </cell>
          <cell r="BF2568">
            <v>0</v>
          </cell>
          <cell r="BG2568">
            <v>0</v>
          </cell>
          <cell r="BH2568">
            <v>0</v>
          </cell>
          <cell r="BI2568">
            <v>181</v>
          </cell>
          <cell r="BJ2568">
            <v>0</v>
          </cell>
        </row>
        <row r="2569">
          <cell r="D2569" t="str">
            <v>Univerzita Komenského v Bratislave</v>
          </cell>
          <cell r="E2569" t="str">
            <v>Právnická fakulta</v>
          </cell>
          <cell r="AN2569">
            <v>5</v>
          </cell>
          <cell r="AO2569">
            <v>0</v>
          </cell>
          <cell r="AP2569">
            <v>0</v>
          </cell>
          <cell r="AQ2569">
            <v>0</v>
          </cell>
          <cell r="AR2569">
            <v>5</v>
          </cell>
          <cell r="BF2569">
            <v>20</v>
          </cell>
          <cell r="BG2569">
            <v>22</v>
          </cell>
          <cell r="BH2569">
            <v>22</v>
          </cell>
          <cell r="BI2569">
            <v>5</v>
          </cell>
          <cell r="BJ2569">
            <v>5</v>
          </cell>
        </row>
        <row r="2570">
          <cell r="D2570" t="str">
            <v>Univerzita Komenského v Bratislave</v>
          </cell>
          <cell r="E2570" t="str">
            <v>Právnická fakulta</v>
          </cell>
          <cell r="AN2570">
            <v>6</v>
          </cell>
          <cell r="AO2570">
            <v>0</v>
          </cell>
          <cell r="AP2570">
            <v>0</v>
          </cell>
          <cell r="AQ2570">
            <v>0</v>
          </cell>
          <cell r="AR2570">
            <v>6</v>
          </cell>
          <cell r="BF2570">
            <v>24</v>
          </cell>
          <cell r="BG2570">
            <v>26.400000000000002</v>
          </cell>
          <cell r="BH2570">
            <v>26.400000000000002</v>
          </cell>
          <cell r="BI2570">
            <v>6</v>
          </cell>
          <cell r="BJ2570">
            <v>6</v>
          </cell>
        </row>
        <row r="2571">
          <cell r="D2571" t="str">
            <v>Univerzita Komenského v Bratislave</v>
          </cell>
          <cell r="E2571" t="str">
            <v>Právnická fakulta</v>
          </cell>
          <cell r="AN2571">
            <v>8</v>
          </cell>
          <cell r="AO2571">
            <v>0</v>
          </cell>
          <cell r="AP2571">
            <v>0</v>
          </cell>
          <cell r="AQ2571">
            <v>0</v>
          </cell>
          <cell r="AR2571">
            <v>8</v>
          </cell>
          <cell r="BF2571">
            <v>32</v>
          </cell>
          <cell r="BG2571">
            <v>35.200000000000003</v>
          </cell>
          <cell r="BH2571">
            <v>35.200000000000003</v>
          </cell>
          <cell r="BI2571">
            <v>8</v>
          </cell>
          <cell r="BJ2571">
            <v>8</v>
          </cell>
        </row>
        <row r="2572">
          <cell r="D2572" t="str">
            <v>Univerzita Komenského v Bratislave</v>
          </cell>
          <cell r="E2572" t="str">
            <v>Právnická fakulta</v>
          </cell>
          <cell r="AN2572">
            <v>58</v>
          </cell>
          <cell r="AO2572">
            <v>59</v>
          </cell>
          <cell r="AP2572">
            <v>0</v>
          </cell>
          <cell r="AQ2572">
            <v>0</v>
          </cell>
          <cell r="AR2572">
            <v>58</v>
          </cell>
          <cell r="BF2572">
            <v>87</v>
          </cell>
          <cell r="BG2572">
            <v>88.74</v>
          </cell>
          <cell r="BH2572">
            <v>81.344999999999999</v>
          </cell>
          <cell r="BI2572">
            <v>59</v>
          </cell>
          <cell r="BJ2572">
            <v>0</v>
          </cell>
        </row>
        <row r="2573">
          <cell r="D2573" t="str">
            <v>Univerzita Komenského v Bratislave</v>
          </cell>
          <cell r="E2573" t="str">
            <v>Právnická fakulta</v>
          </cell>
          <cell r="AN2573">
            <v>1097</v>
          </cell>
          <cell r="AO2573">
            <v>1142</v>
          </cell>
          <cell r="AP2573">
            <v>0</v>
          </cell>
          <cell r="AQ2573">
            <v>0</v>
          </cell>
          <cell r="AR2573">
            <v>1097</v>
          </cell>
          <cell r="BF2573">
            <v>915.8</v>
          </cell>
          <cell r="BG2573">
            <v>915.8</v>
          </cell>
          <cell r="BH2573">
            <v>872.27683168316821</v>
          </cell>
          <cell r="BI2573">
            <v>1142</v>
          </cell>
          <cell r="BJ2573">
            <v>0</v>
          </cell>
        </row>
        <row r="2574">
          <cell r="D2574" t="str">
            <v>Univerzita Komenského v Bratislave</v>
          </cell>
          <cell r="E2574" t="str">
            <v>Prírodovedecká fakulta</v>
          </cell>
          <cell r="AN2574">
            <v>10</v>
          </cell>
          <cell r="AO2574">
            <v>11.5</v>
          </cell>
          <cell r="AP2574">
            <v>11.5</v>
          </cell>
          <cell r="AQ2574">
            <v>10</v>
          </cell>
          <cell r="AR2574">
            <v>10</v>
          </cell>
          <cell r="BF2574">
            <v>15</v>
          </cell>
          <cell r="BG2574">
            <v>21.599999999999998</v>
          </cell>
          <cell r="BH2574">
            <v>21.599999999999998</v>
          </cell>
          <cell r="BI2574">
            <v>11.5</v>
          </cell>
          <cell r="BJ2574">
            <v>0</v>
          </cell>
        </row>
        <row r="2575">
          <cell r="D2575" t="str">
            <v>Univerzita Komenského v Bratislave</v>
          </cell>
          <cell r="E2575" t="str">
            <v>Prírodovedecká fakulta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BF2575">
            <v>0</v>
          </cell>
          <cell r="BG2575">
            <v>0</v>
          </cell>
          <cell r="BH2575">
            <v>0</v>
          </cell>
          <cell r="BI2575">
            <v>1</v>
          </cell>
          <cell r="BJ2575">
            <v>0</v>
          </cell>
        </row>
        <row r="2576">
          <cell r="D2576" t="str">
            <v>Univerzita Komenského v Bratislave</v>
          </cell>
          <cell r="E2576" t="str">
            <v>Prírodovedecká fakulta</v>
          </cell>
          <cell r="AN2576">
            <v>5</v>
          </cell>
          <cell r="AO2576">
            <v>0</v>
          </cell>
          <cell r="AP2576">
            <v>0</v>
          </cell>
          <cell r="AQ2576">
            <v>0</v>
          </cell>
          <cell r="AR2576">
            <v>5</v>
          </cell>
          <cell r="BF2576">
            <v>15</v>
          </cell>
          <cell r="BG2576">
            <v>31.95</v>
          </cell>
          <cell r="BH2576">
            <v>21.3</v>
          </cell>
          <cell r="BI2576">
            <v>5</v>
          </cell>
          <cell r="BJ2576">
            <v>5</v>
          </cell>
        </row>
        <row r="2577">
          <cell r="D2577" t="str">
            <v>Univerzita Komenského v Bratislave</v>
          </cell>
          <cell r="E2577" t="str">
            <v>Prírodovedecká fakulta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BF2577">
            <v>0</v>
          </cell>
          <cell r="BG2577">
            <v>0</v>
          </cell>
          <cell r="BH2577">
            <v>0</v>
          </cell>
          <cell r="BI2577">
            <v>2</v>
          </cell>
          <cell r="BJ2577">
            <v>0</v>
          </cell>
        </row>
        <row r="2578">
          <cell r="D2578" t="str">
            <v>Univerzita Komenského v Bratislave</v>
          </cell>
          <cell r="E2578" t="str">
            <v>Prírodovedecká fakulta</v>
          </cell>
          <cell r="AN2578">
            <v>33</v>
          </cell>
          <cell r="AO2578">
            <v>37</v>
          </cell>
          <cell r="AP2578">
            <v>0</v>
          </cell>
          <cell r="AQ2578">
            <v>0</v>
          </cell>
          <cell r="AR2578">
            <v>33</v>
          </cell>
          <cell r="BF2578">
            <v>49.5</v>
          </cell>
          <cell r="BG2578">
            <v>73.260000000000005</v>
          </cell>
          <cell r="BH2578">
            <v>65.12</v>
          </cell>
          <cell r="BI2578">
            <v>37</v>
          </cell>
          <cell r="BJ2578">
            <v>0</v>
          </cell>
        </row>
        <row r="2579">
          <cell r="D2579" t="str">
            <v>Univerzita Komenského v Bratislave</v>
          </cell>
          <cell r="E2579" t="str">
            <v>Prírodovedecká fakulta</v>
          </cell>
          <cell r="AN2579">
            <v>65</v>
          </cell>
          <cell r="AO2579">
            <v>73</v>
          </cell>
          <cell r="AP2579">
            <v>73</v>
          </cell>
          <cell r="AQ2579">
            <v>65</v>
          </cell>
          <cell r="AR2579">
            <v>65</v>
          </cell>
          <cell r="BF2579">
            <v>56.599999999999994</v>
          </cell>
          <cell r="BG2579">
            <v>83.767999999999986</v>
          </cell>
          <cell r="BH2579">
            <v>83.767999999999986</v>
          </cell>
          <cell r="BI2579">
            <v>73</v>
          </cell>
          <cell r="BJ2579">
            <v>0</v>
          </cell>
        </row>
        <row r="2580">
          <cell r="D2580" t="str">
            <v>Univerzita Komenského v Bratislave</v>
          </cell>
          <cell r="E2580" t="str">
            <v>Prírodovedecká fakulta</v>
          </cell>
          <cell r="AN2580">
            <v>6</v>
          </cell>
          <cell r="AO2580">
            <v>0</v>
          </cell>
          <cell r="AP2580">
            <v>0</v>
          </cell>
          <cell r="AQ2580">
            <v>6</v>
          </cell>
          <cell r="AR2580">
            <v>6</v>
          </cell>
          <cell r="BF2580">
            <v>18</v>
          </cell>
          <cell r="BG2580">
            <v>38.339999999999996</v>
          </cell>
          <cell r="BH2580">
            <v>38.339999999999996</v>
          </cell>
          <cell r="BI2580">
            <v>6</v>
          </cell>
          <cell r="BJ2580">
            <v>6</v>
          </cell>
        </row>
        <row r="2581">
          <cell r="D2581" t="str">
            <v>Univerzita Komenského v Bratislave</v>
          </cell>
          <cell r="E2581" t="str">
            <v>Prírodovedecká fakulta</v>
          </cell>
          <cell r="AN2581">
            <v>3</v>
          </cell>
          <cell r="AO2581">
            <v>0</v>
          </cell>
          <cell r="AP2581">
            <v>0</v>
          </cell>
          <cell r="AQ2581">
            <v>3</v>
          </cell>
          <cell r="AR2581">
            <v>3</v>
          </cell>
          <cell r="BF2581">
            <v>9</v>
          </cell>
          <cell r="BG2581">
            <v>19.169999999999998</v>
          </cell>
          <cell r="BH2581">
            <v>19.169999999999998</v>
          </cell>
          <cell r="BI2581">
            <v>3</v>
          </cell>
          <cell r="BJ2581">
            <v>3</v>
          </cell>
        </row>
        <row r="2582">
          <cell r="D2582" t="str">
            <v>Univerzita Komenského v Bratislave</v>
          </cell>
          <cell r="E2582" t="str">
            <v>Prírodovedecká fakulta</v>
          </cell>
          <cell r="AN2582">
            <v>3</v>
          </cell>
          <cell r="AO2582">
            <v>0</v>
          </cell>
          <cell r="AP2582">
            <v>0</v>
          </cell>
          <cell r="AQ2582">
            <v>3</v>
          </cell>
          <cell r="AR2582">
            <v>3</v>
          </cell>
          <cell r="BF2582">
            <v>9</v>
          </cell>
          <cell r="BG2582">
            <v>19.169999999999998</v>
          </cell>
          <cell r="BH2582">
            <v>19.169999999999998</v>
          </cell>
          <cell r="BI2582">
            <v>3</v>
          </cell>
          <cell r="BJ2582">
            <v>3</v>
          </cell>
        </row>
        <row r="2583">
          <cell r="D2583" t="str">
            <v>Univerzita Komenského v Bratislave</v>
          </cell>
          <cell r="E2583" t="str">
            <v>Prírodovedecká fakulta</v>
          </cell>
          <cell r="AN2583">
            <v>4</v>
          </cell>
          <cell r="AO2583">
            <v>0</v>
          </cell>
          <cell r="AP2583">
            <v>0</v>
          </cell>
          <cell r="AQ2583">
            <v>0</v>
          </cell>
          <cell r="AR2583">
            <v>4</v>
          </cell>
          <cell r="BF2583">
            <v>12</v>
          </cell>
          <cell r="BG2583">
            <v>25.56</v>
          </cell>
          <cell r="BH2583">
            <v>20.448</v>
          </cell>
          <cell r="BI2583">
            <v>4</v>
          </cell>
          <cell r="BJ2583">
            <v>4</v>
          </cell>
        </row>
        <row r="2584">
          <cell r="D2584" t="str">
            <v>Univerzita Komenského v Bratislave</v>
          </cell>
          <cell r="E2584" t="str">
            <v>Prírodovedecká fakulta</v>
          </cell>
          <cell r="AN2584">
            <v>6</v>
          </cell>
          <cell r="AO2584">
            <v>0</v>
          </cell>
          <cell r="AP2584">
            <v>0</v>
          </cell>
          <cell r="AQ2584">
            <v>6</v>
          </cell>
          <cell r="AR2584">
            <v>6</v>
          </cell>
          <cell r="BF2584">
            <v>18</v>
          </cell>
          <cell r="BG2584">
            <v>38.339999999999996</v>
          </cell>
          <cell r="BH2584">
            <v>38.339999999999996</v>
          </cell>
          <cell r="BI2584">
            <v>6</v>
          </cell>
          <cell r="BJ2584">
            <v>6</v>
          </cell>
        </row>
        <row r="2585">
          <cell r="D2585" t="str">
            <v>Univerzita Komenského v Bratislave</v>
          </cell>
          <cell r="E2585" t="str">
            <v>Prírodovedecká fakulta</v>
          </cell>
          <cell r="AN2585">
            <v>51</v>
          </cell>
          <cell r="AO2585">
            <v>62</v>
          </cell>
          <cell r="AP2585">
            <v>62</v>
          </cell>
          <cell r="AQ2585">
            <v>51</v>
          </cell>
          <cell r="AR2585">
            <v>51</v>
          </cell>
          <cell r="BF2585">
            <v>41.099999999999994</v>
          </cell>
          <cell r="BG2585">
            <v>60.827999999999989</v>
          </cell>
          <cell r="BH2585">
            <v>60.827999999999989</v>
          </cell>
          <cell r="BI2585">
            <v>62</v>
          </cell>
          <cell r="BJ2585">
            <v>0</v>
          </cell>
        </row>
        <row r="2586">
          <cell r="D2586" t="str">
            <v>Univerzita Komenského v Bratislave</v>
          </cell>
          <cell r="E2586" t="str">
            <v>Prírodovedecká fakulta</v>
          </cell>
          <cell r="AN2586">
            <v>0</v>
          </cell>
          <cell r="AO2586">
            <v>0.5</v>
          </cell>
          <cell r="AP2586">
            <v>0</v>
          </cell>
          <cell r="AQ2586">
            <v>0</v>
          </cell>
          <cell r="AR2586">
            <v>0</v>
          </cell>
          <cell r="BF2586">
            <v>0</v>
          </cell>
          <cell r="BG2586">
            <v>0</v>
          </cell>
          <cell r="BH2586">
            <v>0</v>
          </cell>
          <cell r="BI2586">
            <v>0.5</v>
          </cell>
          <cell r="BJ2586">
            <v>0</v>
          </cell>
        </row>
        <row r="2587">
          <cell r="D2587" t="str">
            <v>Univerzita Komenského v Bratislave</v>
          </cell>
          <cell r="E2587" t="str">
            <v>Prírodovedecká fakulta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R2587">
            <v>0</v>
          </cell>
          <cell r="BF2587">
            <v>0</v>
          </cell>
          <cell r="BG2587">
            <v>0</v>
          </cell>
          <cell r="BH2587">
            <v>0</v>
          </cell>
          <cell r="BI2587">
            <v>9</v>
          </cell>
          <cell r="BJ2587">
            <v>0</v>
          </cell>
        </row>
        <row r="2588">
          <cell r="D2588" t="str">
            <v>Univerzita Komenského v Bratislave</v>
          </cell>
          <cell r="E2588" t="str">
            <v>Prírodovedecká fakulta</v>
          </cell>
          <cell r="AN2588">
            <v>35</v>
          </cell>
          <cell r="AO2588">
            <v>38</v>
          </cell>
          <cell r="AP2588">
            <v>38</v>
          </cell>
          <cell r="AQ2588">
            <v>35</v>
          </cell>
          <cell r="AR2588">
            <v>35</v>
          </cell>
          <cell r="BF2588">
            <v>52.5</v>
          </cell>
          <cell r="BG2588">
            <v>77.7</v>
          </cell>
          <cell r="BH2588">
            <v>73.129411764705878</v>
          </cell>
          <cell r="BI2588">
            <v>38</v>
          </cell>
          <cell r="BJ2588">
            <v>0</v>
          </cell>
        </row>
        <row r="2589">
          <cell r="D2589" t="str">
            <v>Univerzita Komenského v Bratislave</v>
          </cell>
          <cell r="E2589" t="str">
            <v>Prírodovedecká fakulta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BF2589">
            <v>12</v>
          </cell>
          <cell r="BG2589">
            <v>17.759999999999998</v>
          </cell>
          <cell r="BH2589">
            <v>17.759999999999998</v>
          </cell>
          <cell r="BI2589">
            <v>8</v>
          </cell>
          <cell r="BJ2589">
            <v>0</v>
          </cell>
        </row>
        <row r="2590">
          <cell r="D2590" t="str">
            <v>Univerzita Komenského v Bratislave</v>
          </cell>
          <cell r="E2590" t="str">
            <v>Prírodovedecká fakulta</v>
          </cell>
          <cell r="AN2590">
            <v>29</v>
          </cell>
          <cell r="AO2590">
            <v>34</v>
          </cell>
          <cell r="AP2590">
            <v>34</v>
          </cell>
          <cell r="AQ2590">
            <v>29</v>
          </cell>
          <cell r="AR2590">
            <v>29</v>
          </cell>
          <cell r="BF2590">
            <v>24.2</v>
          </cell>
          <cell r="BG2590">
            <v>34.847999999999999</v>
          </cell>
          <cell r="BH2590">
            <v>34.847999999999999</v>
          </cell>
          <cell r="BI2590">
            <v>34</v>
          </cell>
          <cell r="BJ2590">
            <v>0</v>
          </cell>
        </row>
        <row r="2591">
          <cell r="D2591" t="str">
            <v>Univerzita Komenského v Bratislave</v>
          </cell>
          <cell r="E2591" t="str">
            <v>Prírodovedecká fakulta</v>
          </cell>
          <cell r="AN2591">
            <v>16</v>
          </cell>
          <cell r="AO2591">
            <v>20</v>
          </cell>
          <cell r="AP2591">
            <v>20</v>
          </cell>
          <cell r="AQ2591">
            <v>16</v>
          </cell>
          <cell r="AR2591">
            <v>16</v>
          </cell>
          <cell r="BF2591">
            <v>13.3</v>
          </cell>
          <cell r="BG2591">
            <v>19.684000000000001</v>
          </cell>
          <cell r="BH2591">
            <v>19.684000000000001</v>
          </cell>
          <cell r="BI2591">
            <v>20</v>
          </cell>
          <cell r="BJ2591">
            <v>0</v>
          </cell>
        </row>
        <row r="2592">
          <cell r="D2592" t="str">
            <v>Univerzita Komenského v Bratislave</v>
          </cell>
          <cell r="E2592" t="str">
            <v>Prírodovedecká fakulta</v>
          </cell>
          <cell r="AN2592">
            <v>10</v>
          </cell>
          <cell r="AO2592">
            <v>11</v>
          </cell>
          <cell r="AP2592">
            <v>11</v>
          </cell>
          <cell r="AQ2592">
            <v>10</v>
          </cell>
          <cell r="AR2592">
            <v>10</v>
          </cell>
          <cell r="BF2592">
            <v>8.5</v>
          </cell>
          <cell r="BG2592">
            <v>12.58</v>
          </cell>
          <cell r="BH2592">
            <v>12.58</v>
          </cell>
          <cell r="BI2592">
            <v>11</v>
          </cell>
          <cell r="BJ2592">
            <v>0</v>
          </cell>
        </row>
        <row r="2593">
          <cell r="D2593" t="str">
            <v>Univerzita Komenského v Bratislave</v>
          </cell>
          <cell r="E2593" t="str">
            <v>Prírodovedecká fakulta</v>
          </cell>
          <cell r="AN2593">
            <v>68</v>
          </cell>
          <cell r="AO2593">
            <v>69</v>
          </cell>
          <cell r="AP2593">
            <v>69</v>
          </cell>
          <cell r="AQ2593">
            <v>68</v>
          </cell>
          <cell r="AR2593">
            <v>68</v>
          </cell>
          <cell r="BF2593">
            <v>58.099999999999994</v>
          </cell>
          <cell r="BG2593">
            <v>85.987999999999985</v>
          </cell>
          <cell r="BH2593">
            <v>85.987999999999985</v>
          </cell>
          <cell r="BI2593">
            <v>69</v>
          </cell>
          <cell r="BJ2593">
            <v>0</v>
          </cell>
        </row>
        <row r="2594">
          <cell r="D2594" t="str">
            <v>Univerzita Komenského v Bratislave</v>
          </cell>
          <cell r="E2594" t="str">
            <v>Prírodovedecká fakulta</v>
          </cell>
          <cell r="AN2594">
            <v>43</v>
          </cell>
          <cell r="AO2594">
            <v>48</v>
          </cell>
          <cell r="AP2594">
            <v>48</v>
          </cell>
          <cell r="AQ2594">
            <v>43</v>
          </cell>
          <cell r="AR2594">
            <v>43</v>
          </cell>
          <cell r="BF2594">
            <v>34.9</v>
          </cell>
          <cell r="BG2594">
            <v>51.651999999999994</v>
          </cell>
          <cell r="BH2594">
            <v>51.651999999999994</v>
          </cell>
          <cell r="BI2594">
            <v>48</v>
          </cell>
          <cell r="BJ2594">
            <v>0</v>
          </cell>
        </row>
        <row r="2595">
          <cell r="D2595" t="str">
            <v>Univerzita Komenského v Bratislave</v>
          </cell>
          <cell r="E2595" t="str">
            <v>Prírodovedecká fakulta</v>
          </cell>
          <cell r="AN2595">
            <v>24</v>
          </cell>
          <cell r="AO2595">
            <v>26</v>
          </cell>
          <cell r="AP2595">
            <v>26</v>
          </cell>
          <cell r="AQ2595">
            <v>24</v>
          </cell>
          <cell r="AR2595">
            <v>24</v>
          </cell>
          <cell r="BF2595">
            <v>20.399999999999999</v>
          </cell>
          <cell r="BG2595">
            <v>30.191999999999997</v>
          </cell>
          <cell r="BH2595">
            <v>30.191999999999997</v>
          </cell>
          <cell r="BI2595">
            <v>26</v>
          </cell>
          <cell r="BJ2595">
            <v>0</v>
          </cell>
        </row>
        <row r="2596">
          <cell r="D2596" t="str">
            <v>Univerzita Komenského v Bratislave</v>
          </cell>
          <cell r="E2596" t="str">
            <v>Prírodovedecká fakulta</v>
          </cell>
          <cell r="AN2596">
            <v>15</v>
          </cell>
          <cell r="AO2596">
            <v>17</v>
          </cell>
          <cell r="AP2596">
            <v>17</v>
          </cell>
          <cell r="AQ2596">
            <v>15</v>
          </cell>
          <cell r="AR2596">
            <v>15</v>
          </cell>
          <cell r="BF2596">
            <v>12.6</v>
          </cell>
          <cell r="BG2596">
            <v>18.648</v>
          </cell>
          <cell r="BH2596">
            <v>18.648</v>
          </cell>
          <cell r="BI2596">
            <v>17</v>
          </cell>
          <cell r="BJ2596">
            <v>0</v>
          </cell>
        </row>
        <row r="2597">
          <cell r="D2597" t="str">
            <v>Univerzita Komenského v Bratislave</v>
          </cell>
          <cell r="E2597" t="str">
            <v>Prírodovedecká fakulta</v>
          </cell>
          <cell r="AN2597">
            <v>3</v>
          </cell>
          <cell r="AO2597">
            <v>5</v>
          </cell>
          <cell r="AP2597">
            <v>0</v>
          </cell>
          <cell r="AQ2597">
            <v>0</v>
          </cell>
          <cell r="AR2597">
            <v>3</v>
          </cell>
          <cell r="BF2597">
            <v>2.7</v>
          </cell>
          <cell r="BG2597">
            <v>3.996</v>
          </cell>
          <cell r="BH2597">
            <v>3.4560000000000004</v>
          </cell>
          <cell r="BI2597">
            <v>5</v>
          </cell>
          <cell r="BJ2597">
            <v>0</v>
          </cell>
        </row>
        <row r="2598">
          <cell r="D2598" t="str">
            <v>Univerzita Komenského v Bratislave</v>
          </cell>
          <cell r="E2598" t="str">
            <v>Prírodovedecká fakulta</v>
          </cell>
          <cell r="AN2598">
            <v>7</v>
          </cell>
          <cell r="AO2598">
            <v>8</v>
          </cell>
          <cell r="AP2598">
            <v>8</v>
          </cell>
          <cell r="AQ2598">
            <v>7</v>
          </cell>
          <cell r="AR2598">
            <v>7</v>
          </cell>
          <cell r="BF2598">
            <v>10.5</v>
          </cell>
          <cell r="BG2598">
            <v>15.54</v>
          </cell>
          <cell r="BH2598">
            <v>15.54</v>
          </cell>
          <cell r="BI2598">
            <v>8</v>
          </cell>
          <cell r="BJ2598">
            <v>0</v>
          </cell>
        </row>
        <row r="2599">
          <cell r="D2599" t="str">
            <v>Univerzita Komenského v Bratislave</v>
          </cell>
          <cell r="E2599" t="str">
            <v>Prírodovedecká fakulta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BF2599">
            <v>0</v>
          </cell>
          <cell r="BG2599">
            <v>0</v>
          </cell>
          <cell r="BH2599">
            <v>0</v>
          </cell>
          <cell r="BI2599">
            <v>2</v>
          </cell>
          <cell r="BJ2599">
            <v>0</v>
          </cell>
        </row>
        <row r="2600">
          <cell r="D2600" t="str">
            <v>Univerzita Komenského v Bratislave</v>
          </cell>
          <cell r="E2600" t="str">
            <v>Fakulta managementu</v>
          </cell>
          <cell r="AN2600">
            <v>0</v>
          </cell>
          <cell r="AO2600">
            <v>0</v>
          </cell>
          <cell r="AP2600">
            <v>0</v>
          </cell>
          <cell r="AQ2600">
            <v>0</v>
          </cell>
          <cell r="AR2600">
            <v>0</v>
          </cell>
          <cell r="BF2600">
            <v>0</v>
          </cell>
          <cell r="BG2600">
            <v>0</v>
          </cell>
          <cell r="BH2600">
            <v>0</v>
          </cell>
          <cell r="BI2600">
            <v>475</v>
          </cell>
          <cell r="BJ2600">
            <v>0</v>
          </cell>
        </row>
        <row r="2601">
          <cell r="D2601" t="str">
            <v>Univerzita Komenského v Bratislave</v>
          </cell>
          <cell r="E2601" t="str">
            <v>Fakulta managementu</v>
          </cell>
          <cell r="AN2601">
            <v>26</v>
          </cell>
          <cell r="AO2601">
            <v>0</v>
          </cell>
          <cell r="AP2601">
            <v>0</v>
          </cell>
          <cell r="AQ2601">
            <v>0</v>
          </cell>
          <cell r="AR2601">
            <v>26</v>
          </cell>
          <cell r="BF2601">
            <v>104</v>
          </cell>
          <cell r="BG2601">
            <v>114.4</v>
          </cell>
          <cell r="BH2601">
            <v>114.4</v>
          </cell>
          <cell r="BI2601">
            <v>26</v>
          </cell>
          <cell r="BJ2601">
            <v>26</v>
          </cell>
        </row>
        <row r="2602">
          <cell r="D2602" t="str">
            <v>Univerzita Komenského v Bratislave</v>
          </cell>
          <cell r="E2602" t="str">
            <v>Fakulta managementu</v>
          </cell>
          <cell r="AN2602">
            <v>13</v>
          </cell>
          <cell r="AO2602">
            <v>13</v>
          </cell>
          <cell r="AP2602">
            <v>0</v>
          </cell>
          <cell r="AQ2602">
            <v>0</v>
          </cell>
          <cell r="AR2602">
            <v>13</v>
          </cell>
          <cell r="BF2602">
            <v>10.6</v>
          </cell>
          <cell r="BG2602">
            <v>11.023999999999999</v>
          </cell>
          <cell r="BH2602">
            <v>10.53143829787234</v>
          </cell>
          <cell r="BI2602">
            <v>13</v>
          </cell>
          <cell r="BJ2602">
            <v>0</v>
          </cell>
        </row>
        <row r="2603">
          <cell r="D2603" t="str">
            <v>Univerzita Komenského v Bratislave</v>
          </cell>
          <cell r="E2603" t="str">
            <v>Fakulta sociálnych a ekonomických vied</v>
          </cell>
          <cell r="AN2603">
            <v>12</v>
          </cell>
          <cell r="AO2603">
            <v>0</v>
          </cell>
          <cell r="AP2603">
            <v>0</v>
          </cell>
          <cell r="AQ2603">
            <v>0</v>
          </cell>
          <cell r="AR2603">
            <v>12</v>
          </cell>
          <cell r="BF2603">
            <v>48</v>
          </cell>
          <cell r="BG2603">
            <v>52.800000000000004</v>
          </cell>
          <cell r="BH2603">
            <v>52.800000000000004</v>
          </cell>
          <cell r="BI2603">
            <v>12</v>
          </cell>
          <cell r="BJ2603">
            <v>12</v>
          </cell>
        </row>
        <row r="2604">
          <cell r="D2604" t="str">
            <v>Univerzita Komenského v Bratislave</v>
          </cell>
          <cell r="E2604" t="str">
            <v>Fakulta sociálnych a ekonomických vied</v>
          </cell>
          <cell r="AN2604">
            <v>7</v>
          </cell>
          <cell r="AO2604">
            <v>0</v>
          </cell>
          <cell r="AP2604">
            <v>0</v>
          </cell>
          <cell r="AQ2604">
            <v>0</v>
          </cell>
          <cell r="AR2604">
            <v>7</v>
          </cell>
          <cell r="BF2604">
            <v>28</v>
          </cell>
          <cell r="BG2604">
            <v>30.800000000000004</v>
          </cell>
          <cell r="BH2604">
            <v>30.800000000000004</v>
          </cell>
          <cell r="BI2604">
            <v>7</v>
          </cell>
          <cell r="BJ2604">
            <v>7</v>
          </cell>
        </row>
        <row r="2605">
          <cell r="D2605" t="str">
            <v>Univerzita Komenského v Bratislave</v>
          </cell>
          <cell r="E2605" t="str">
            <v>Fakulta sociálnych a ekonomických vied</v>
          </cell>
          <cell r="AN2605">
            <v>16</v>
          </cell>
          <cell r="AO2605">
            <v>0</v>
          </cell>
          <cell r="AP2605">
            <v>0</v>
          </cell>
          <cell r="AQ2605">
            <v>0</v>
          </cell>
          <cell r="AR2605">
            <v>16</v>
          </cell>
          <cell r="BF2605">
            <v>64</v>
          </cell>
          <cell r="BG2605">
            <v>70.400000000000006</v>
          </cell>
          <cell r="BH2605">
            <v>70.400000000000006</v>
          </cell>
          <cell r="BI2605">
            <v>16</v>
          </cell>
          <cell r="BJ2605">
            <v>16</v>
          </cell>
        </row>
        <row r="2606">
          <cell r="D2606" t="str">
            <v>Univerzita Komenského v Bratislave</v>
          </cell>
          <cell r="E2606" t="str">
            <v>Fakulta sociálnych a ekonomických vied</v>
          </cell>
          <cell r="AN2606">
            <v>11</v>
          </cell>
          <cell r="AO2606">
            <v>15</v>
          </cell>
          <cell r="AP2606">
            <v>0</v>
          </cell>
          <cell r="AQ2606">
            <v>0</v>
          </cell>
          <cell r="AR2606">
            <v>11</v>
          </cell>
          <cell r="BF2606">
            <v>16.5</v>
          </cell>
          <cell r="BG2606">
            <v>17.16</v>
          </cell>
          <cell r="BH2606">
            <v>15.353684210526316</v>
          </cell>
          <cell r="BI2606">
            <v>15</v>
          </cell>
          <cell r="BJ2606">
            <v>0</v>
          </cell>
        </row>
        <row r="2607">
          <cell r="D2607" t="str">
            <v>Univerzita Komenského v Bratislave</v>
          </cell>
          <cell r="E2607" t="str">
            <v>Fakulta sociálnych a ekonomických vied</v>
          </cell>
          <cell r="AN2607">
            <v>70</v>
          </cell>
          <cell r="AO2607">
            <v>74</v>
          </cell>
          <cell r="AP2607">
            <v>0</v>
          </cell>
          <cell r="AQ2607">
            <v>0</v>
          </cell>
          <cell r="AR2607">
            <v>70</v>
          </cell>
          <cell r="BF2607">
            <v>105</v>
          </cell>
          <cell r="BG2607">
            <v>105</v>
          </cell>
          <cell r="BH2607">
            <v>92.5</v>
          </cell>
          <cell r="BI2607">
            <v>74</v>
          </cell>
          <cell r="BJ2607">
            <v>0</v>
          </cell>
        </row>
        <row r="2608">
          <cell r="D2608" t="str">
            <v>Univerzita Komenského v Bratislave</v>
          </cell>
          <cell r="E2608" t="str">
            <v>Fakulta sociálnych a ekonomických vied</v>
          </cell>
          <cell r="AN2608">
            <v>77</v>
          </cell>
          <cell r="AO2608">
            <v>79</v>
          </cell>
          <cell r="AP2608">
            <v>0</v>
          </cell>
          <cell r="AQ2608">
            <v>0</v>
          </cell>
          <cell r="AR2608">
            <v>77</v>
          </cell>
          <cell r="BF2608">
            <v>60.199999999999996</v>
          </cell>
          <cell r="BG2608">
            <v>60.199999999999996</v>
          </cell>
          <cell r="BH2608">
            <v>60.199999999999996</v>
          </cell>
          <cell r="BI2608">
            <v>79</v>
          </cell>
          <cell r="BJ2608">
            <v>0</v>
          </cell>
        </row>
        <row r="2609">
          <cell r="D2609" t="str">
            <v>Vysoká škola zdravotníctva a sociálnej práce sv. Alžbety v Bratislave, n. o.</v>
          </cell>
          <cell r="E2609">
            <v>0</v>
          </cell>
          <cell r="AN2609">
            <v>52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BF2609">
            <v>0</v>
          </cell>
          <cell r="BG2609">
            <v>0</v>
          </cell>
          <cell r="BH2609">
            <v>0</v>
          </cell>
          <cell r="BI2609">
            <v>52</v>
          </cell>
          <cell r="BJ2609">
            <v>0</v>
          </cell>
        </row>
        <row r="2610">
          <cell r="D2610" t="str">
            <v>Vysoká škola zdravotníctva a sociálnej práce sv. Alžbety v Bratislave, n. o.</v>
          </cell>
          <cell r="E2610">
            <v>0</v>
          </cell>
          <cell r="AN2610">
            <v>23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BF2610">
            <v>0</v>
          </cell>
          <cell r="BG2610">
            <v>0</v>
          </cell>
          <cell r="BH2610">
            <v>0</v>
          </cell>
          <cell r="BI2610">
            <v>23</v>
          </cell>
          <cell r="BJ2610">
            <v>0</v>
          </cell>
        </row>
        <row r="2611">
          <cell r="D2611" t="str">
            <v>Vysoká škola zdravotníctva a sociálnej práce sv. Alžbety v Bratislave, n. o.</v>
          </cell>
          <cell r="E2611">
            <v>0</v>
          </cell>
          <cell r="AN2611">
            <v>123</v>
          </cell>
          <cell r="AO2611">
            <v>123</v>
          </cell>
          <cell r="AP2611">
            <v>0</v>
          </cell>
          <cell r="AQ2611">
            <v>0</v>
          </cell>
          <cell r="AR2611">
            <v>123</v>
          </cell>
          <cell r="BF2611">
            <v>106.5</v>
          </cell>
          <cell r="BG2611">
            <v>228.97499999999999</v>
          </cell>
          <cell r="BH2611">
            <v>130.84285714285713</v>
          </cell>
          <cell r="BI2611">
            <v>123</v>
          </cell>
          <cell r="BJ2611">
            <v>0</v>
          </cell>
        </row>
        <row r="2612">
          <cell r="D2612" t="str">
            <v>Vysoká škola zdravotníctva a sociálnej práce sv. Alžbety v Bratislave, n. o.</v>
          </cell>
          <cell r="E2612">
            <v>0</v>
          </cell>
          <cell r="AN2612">
            <v>15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BF2612">
            <v>0</v>
          </cell>
          <cell r="BG2612">
            <v>0</v>
          </cell>
          <cell r="BH2612">
            <v>0</v>
          </cell>
          <cell r="BI2612">
            <v>15</v>
          </cell>
          <cell r="BJ2612">
            <v>0</v>
          </cell>
        </row>
        <row r="2613">
          <cell r="D2613" t="str">
            <v>Slovenská technická univerzita v Bratislave</v>
          </cell>
          <cell r="E2613" t="str">
            <v>Fakulta informatiky a informačných technológií</v>
          </cell>
          <cell r="AN2613">
            <v>3</v>
          </cell>
          <cell r="AO2613">
            <v>4</v>
          </cell>
          <cell r="AP2613">
            <v>4</v>
          </cell>
          <cell r="AQ2613">
            <v>3</v>
          </cell>
          <cell r="AR2613">
            <v>3</v>
          </cell>
          <cell r="BF2613">
            <v>4.5</v>
          </cell>
          <cell r="BG2613">
            <v>6.66</v>
          </cell>
          <cell r="BH2613">
            <v>6.4975609756097557</v>
          </cell>
          <cell r="BI2613">
            <v>4</v>
          </cell>
          <cell r="BJ2613">
            <v>0</v>
          </cell>
        </row>
        <row r="2614">
          <cell r="D2614" t="str">
            <v>Žilinská univerzita v Žiline</v>
          </cell>
          <cell r="E2614" t="str">
            <v>Fakulta prevádzky a ekonomiky dopravy a spojov</v>
          </cell>
          <cell r="AN2614">
            <v>13</v>
          </cell>
          <cell r="AO2614">
            <v>0</v>
          </cell>
          <cell r="AP2614">
            <v>0</v>
          </cell>
          <cell r="AQ2614">
            <v>0</v>
          </cell>
          <cell r="AR2614">
            <v>13</v>
          </cell>
          <cell r="BF2614">
            <v>52</v>
          </cell>
          <cell r="BG2614">
            <v>110.75999999999999</v>
          </cell>
          <cell r="BH2614">
            <v>92.3</v>
          </cell>
          <cell r="BI2614">
            <v>13</v>
          </cell>
          <cell r="BJ2614">
            <v>13</v>
          </cell>
        </row>
        <row r="2615">
          <cell r="D2615" t="str">
            <v>Žilinská univerzita v Žiline</v>
          </cell>
          <cell r="E2615" t="str">
            <v>Fakulta bezpečnostného inžinierstva</v>
          </cell>
          <cell r="AN2615">
            <v>0</v>
          </cell>
          <cell r="AO2615">
            <v>0</v>
          </cell>
          <cell r="AP2615">
            <v>0</v>
          </cell>
          <cell r="AQ2615">
            <v>0</v>
          </cell>
          <cell r="AR2615">
            <v>0</v>
          </cell>
          <cell r="BF2615">
            <v>0</v>
          </cell>
          <cell r="BG2615">
            <v>0</v>
          </cell>
          <cell r="BH2615">
            <v>0</v>
          </cell>
          <cell r="BI2615">
            <v>29</v>
          </cell>
          <cell r="BJ2615">
            <v>0</v>
          </cell>
        </row>
        <row r="2616">
          <cell r="D2616" t="str">
            <v>Žilinská univerzita v Žiline</v>
          </cell>
          <cell r="E2616" t="str">
            <v>Fakulta bezpečnostného inžinierstva</v>
          </cell>
          <cell r="AN2616">
            <v>82</v>
          </cell>
          <cell r="AO2616">
            <v>83</v>
          </cell>
          <cell r="AP2616">
            <v>0</v>
          </cell>
          <cell r="AQ2616">
            <v>0</v>
          </cell>
          <cell r="AR2616">
            <v>82</v>
          </cell>
          <cell r="BF2616">
            <v>123</v>
          </cell>
          <cell r="BG2616">
            <v>182.04</v>
          </cell>
          <cell r="BH2616">
            <v>148.1720930232558</v>
          </cell>
          <cell r="BI2616">
            <v>83</v>
          </cell>
          <cell r="BJ2616">
            <v>0</v>
          </cell>
        </row>
        <row r="2617">
          <cell r="D2617" t="str">
            <v>Žilinská univerzita v Žiline</v>
          </cell>
          <cell r="E2617" t="str">
            <v>Fakulta bezpečnostného inžinierstva</v>
          </cell>
          <cell r="AN2617">
            <v>7</v>
          </cell>
          <cell r="AO2617">
            <v>0</v>
          </cell>
          <cell r="AP2617">
            <v>0</v>
          </cell>
          <cell r="AQ2617">
            <v>0</v>
          </cell>
          <cell r="AR2617">
            <v>7</v>
          </cell>
          <cell r="BF2617">
            <v>28</v>
          </cell>
          <cell r="BG2617">
            <v>59.64</v>
          </cell>
          <cell r="BH2617">
            <v>29.82</v>
          </cell>
          <cell r="BI2617">
            <v>7</v>
          </cell>
          <cell r="BJ2617">
            <v>7</v>
          </cell>
        </row>
        <row r="2618">
          <cell r="D2618" t="str">
            <v>Žilinská univerzita v Žiline</v>
          </cell>
          <cell r="E2618" t="str">
            <v>Stavebná fakulta</v>
          </cell>
          <cell r="AN2618">
            <v>27</v>
          </cell>
          <cell r="AO2618">
            <v>28</v>
          </cell>
          <cell r="AP2618">
            <v>0</v>
          </cell>
          <cell r="AQ2618">
            <v>0</v>
          </cell>
          <cell r="AR2618">
            <v>27</v>
          </cell>
          <cell r="BF2618">
            <v>40.5</v>
          </cell>
          <cell r="BG2618">
            <v>59.94</v>
          </cell>
          <cell r="BH2618">
            <v>44.954999999999998</v>
          </cell>
          <cell r="BI2618">
            <v>28</v>
          </cell>
          <cell r="BJ2618">
            <v>0</v>
          </cell>
        </row>
        <row r="2619">
          <cell r="D2619" t="str">
            <v>Žilinská univerzita v Žiline</v>
          </cell>
          <cell r="E2619" t="str">
            <v>Stavebná fakulta</v>
          </cell>
          <cell r="AN2619">
            <v>3</v>
          </cell>
          <cell r="AO2619">
            <v>0</v>
          </cell>
          <cell r="AP2619">
            <v>0</v>
          </cell>
          <cell r="AQ2619">
            <v>3</v>
          </cell>
          <cell r="AR2619">
            <v>3</v>
          </cell>
          <cell r="BF2619">
            <v>12</v>
          </cell>
          <cell r="BG2619">
            <v>25.56</v>
          </cell>
          <cell r="BH2619">
            <v>25.56</v>
          </cell>
          <cell r="BI2619">
            <v>3</v>
          </cell>
          <cell r="BJ2619">
            <v>3</v>
          </cell>
        </row>
        <row r="2620">
          <cell r="D2620" t="str">
            <v>Žilinská univerzita v Žiline</v>
          </cell>
          <cell r="E2620" t="str">
            <v>Fakulta prevádzky a ekonomiky dopravy a spojov</v>
          </cell>
          <cell r="AN2620">
            <v>8</v>
          </cell>
          <cell r="AO2620">
            <v>10</v>
          </cell>
          <cell r="AP2620">
            <v>0</v>
          </cell>
          <cell r="AQ2620">
            <v>0</v>
          </cell>
          <cell r="AR2620">
            <v>8</v>
          </cell>
          <cell r="BF2620">
            <v>12</v>
          </cell>
          <cell r="BG2620">
            <v>17.759999999999998</v>
          </cell>
          <cell r="BH2620">
            <v>14.021052631578947</v>
          </cell>
          <cell r="BI2620">
            <v>10</v>
          </cell>
          <cell r="BJ2620">
            <v>0</v>
          </cell>
        </row>
        <row r="2621">
          <cell r="D2621" t="str">
            <v>Žilinská univerzita v Žiline</v>
          </cell>
          <cell r="E2621" t="str">
            <v>Fakulta elektrotechniky a informačných technológií</v>
          </cell>
          <cell r="AN2621">
            <v>1</v>
          </cell>
          <cell r="AO2621">
            <v>0</v>
          </cell>
          <cell r="AP2621">
            <v>0</v>
          </cell>
          <cell r="AQ2621">
            <v>0</v>
          </cell>
          <cell r="AR2621">
            <v>0</v>
          </cell>
          <cell r="BF2621">
            <v>0</v>
          </cell>
          <cell r="BG2621">
            <v>0</v>
          </cell>
          <cell r="BH2621">
            <v>0</v>
          </cell>
          <cell r="BI2621">
            <v>1</v>
          </cell>
          <cell r="BJ2621">
            <v>0</v>
          </cell>
        </row>
        <row r="2622">
          <cell r="D2622" t="str">
            <v>Žilinská univerzita v Žiline</v>
          </cell>
          <cell r="E2622" t="str">
            <v>Fakulta prevádzky a ekonomiky dopravy a spojov</v>
          </cell>
          <cell r="AN2622">
            <v>73</v>
          </cell>
          <cell r="AO2622">
            <v>83</v>
          </cell>
          <cell r="AP2622">
            <v>0</v>
          </cell>
          <cell r="AQ2622">
            <v>0</v>
          </cell>
          <cell r="AR2622">
            <v>73</v>
          </cell>
          <cell r="BF2622">
            <v>109.5</v>
          </cell>
          <cell r="BG2622">
            <v>162.06</v>
          </cell>
          <cell r="BH2622">
            <v>137.751</v>
          </cell>
          <cell r="BI2622">
            <v>83</v>
          </cell>
          <cell r="BJ2622">
            <v>0</v>
          </cell>
        </row>
        <row r="2623">
          <cell r="D2623" t="str">
            <v>Žilinská univerzita v Žiline</v>
          </cell>
          <cell r="E2623" t="str">
            <v>Fakulta elektrotechniky a informačných technológií</v>
          </cell>
          <cell r="AN2623">
            <v>59</v>
          </cell>
          <cell r="AO2623">
            <v>69</v>
          </cell>
          <cell r="AP2623">
            <v>0</v>
          </cell>
          <cell r="AQ2623">
            <v>0</v>
          </cell>
          <cell r="AR2623">
            <v>59</v>
          </cell>
          <cell r="BF2623">
            <v>88.5</v>
          </cell>
          <cell r="BG2623">
            <v>130.97999999999999</v>
          </cell>
          <cell r="BH2623">
            <v>104.78399999999999</v>
          </cell>
          <cell r="BI2623">
            <v>69</v>
          </cell>
          <cell r="BJ2623">
            <v>0</v>
          </cell>
        </row>
        <row r="2624">
          <cell r="D2624" t="str">
            <v>Žilinská univerzita v Žiline</v>
          </cell>
          <cell r="E2624" t="str">
            <v>Fakulta elektrotechniky a informačných technológií</v>
          </cell>
          <cell r="AN2624">
            <v>19</v>
          </cell>
          <cell r="AO2624">
            <v>0</v>
          </cell>
          <cell r="AP2624">
            <v>0</v>
          </cell>
          <cell r="AQ2624">
            <v>19</v>
          </cell>
          <cell r="AR2624">
            <v>19</v>
          </cell>
          <cell r="BF2624">
            <v>76</v>
          </cell>
          <cell r="BG2624">
            <v>161.88</v>
          </cell>
          <cell r="BH2624">
            <v>161.88</v>
          </cell>
          <cell r="BI2624">
            <v>19</v>
          </cell>
          <cell r="BJ2624">
            <v>19</v>
          </cell>
        </row>
        <row r="2625">
          <cell r="D2625" t="str">
            <v>Žilinská univerzita v Žiline</v>
          </cell>
          <cell r="E2625" t="str">
            <v>Strojnícka fakulta</v>
          </cell>
          <cell r="AN2625">
            <v>15</v>
          </cell>
          <cell r="AO2625">
            <v>0</v>
          </cell>
          <cell r="AP2625">
            <v>0</v>
          </cell>
          <cell r="AQ2625">
            <v>15</v>
          </cell>
          <cell r="AR2625">
            <v>15</v>
          </cell>
          <cell r="BF2625">
            <v>60</v>
          </cell>
          <cell r="BG2625">
            <v>127.8</v>
          </cell>
          <cell r="BH2625">
            <v>127.8</v>
          </cell>
          <cell r="BI2625">
            <v>15</v>
          </cell>
          <cell r="BJ2625">
            <v>15</v>
          </cell>
        </row>
        <row r="2626">
          <cell r="D2626" t="str">
            <v>Žilinská univerzita v Žiline</v>
          </cell>
          <cell r="E2626" t="str">
            <v>Fakulta elektrotechniky a informačných technológií</v>
          </cell>
          <cell r="AN2626">
            <v>5</v>
          </cell>
          <cell r="AO2626">
            <v>0</v>
          </cell>
          <cell r="AP2626">
            <v>0</v>
          </cell>
          <cell r="AQ2626">
            <v>5</v>
          </cell>
          <cell r="AR2626">
            <v>5</v>
          </cell>
          <cell r="BF2626">
            <v>20</v>
          </cell>
          <cell r="BG2626">
            <v>42.599999999999994</v>
          </cell>
          <cell r="BH2626">
            <v>42.599999999999994</v>
          </cell>
          <cell r="BI2626">
            <v>5</v>
          </cell>
          <cell r="BJ2626">
            <v>5</v>
          </cell>
        </row>
        <row r="2627">
          <cell r="D2627" t="str">
            <v>Žilinská univerzita v Žiline</v>
          </cell>
          <cell r="E2627" t="str">
            <v>Strojnícka fakulta</v>
          </cell>
          <cell r="AN2627">
            <v>4</v>
          </cell>
          <cell r="AO2627">
            <v>0</v>
          </cell>
          <cell r="AP2627">
            <v>0</v>
          </cell>
          <cell r="AQ2627">
            <v>4</v>
          </cell>
          <cell r="AR2627">
            <v>4</v>
          </cell>
          <cell r="BF2627">
            <v>16</v>
          </cell>
          <cell r="BG2627">
            <v>34.08</v>
          </cell>
          <cell r="BH2627">
            <v>34.08</v>
          </cell>
          <cell r="BI2627">
            <v>4</v>
          </cell>
          <cell r="BJ2627">
            <v>4</v>
          </cell>
        </row>
        <row r="2628">
          <cell r="D2628" t="str">
            <v>Žilinská univerzita v Žiline</v>
          </cell>
          <cell r="E2628" t="str">
            <v>Strojnícka fakulta</v>
          </cell>
          <cell r="AN2628">
            <v>8</v>
          </cell>
          <cell r="AO2628">
            <v>0</v>
          </cell>
          <cell r="AP2628">
            <v>0</v>
          </cell>
          <cell r="AQ2628">
            <v>8</v>
          </cell>
          <cell r="AR2628">
            <v>8</v>
          </cell>
          <cell r="BF2628">
            <v>32</v>
          </cell>
          <cell r="BG2628">
            <v>68.16</v>
          </cell>
          <cell r="BH2628">
            <v>68.16</v>
          </cell>
          <cell r="BI2628">
            <v>8</v>
          </cell>
          <cell r="BJ2628">
            <v>8</v>
          </cell>
        </row>
        <row r="2629">
          <cell r="D2629" t="str">
            <v>Žilinská univerzita v Žiline</v>
          </cell>
          <cell r="E2629" t="str">
            <v>Fakulta elektrotechniky a informačných technológií</v>
          </cell>
          <cell r="AN2629">
            <v>16</v>
          </cell>
          <cell r="AO2629">
            <v>0</v>
          </cell>
          <cell r="AP2629">
            <v>0</v>
          </cell>
          <cell r="AQ2629">
            <v>16</v>
          </cell>
          <cell r="AR2629">
            <v>16</v>
          </cell>
          <cell r="BF2629">
            <v>64</v>
          </cell>
          <cell r="BG2629">
            <v>136.32</v>
          </cell>
          <cell r="BH2629">
            <v>136.32</v>
          </cell>
          <cell r="BI2629">
            <v>16</v>
          </cell>
          <cell r="BJ2629">
            <v>16</v>
          </cell>
        </row>
        <row r="2630">
          <cell r="D2630" t="str">
            <v>Žilinská univerzita v Žiline</v>
          </cell>
          <cell r="E2630" t="str">
            <v>Strojnícka fakulta</v>
          </cell>
          <cell r="AN2630">
            <v>8</v>
          </cell>
          <cell r="AO2630">
            <v>0</v>
          </cell>
          <cell r="AP2630">
            <v>0</v>
          </cell>
          <cell r="AQ2630">
            <v>8</v>
          </cell>
          <cell r="AR2630">
            <v>8</v>
          </cell>
          <cell r="BF2630">
            <v>32</v>
          </cell>
          <cell r="BG2630">
            <v>68.16</v>
          </cell>
          <cell r="BH2630">
            <v>68.16</v>
          </cell>
          <cell r="BI2630">
            <v>8</v>
          </cell>
          <cell r="BJ2630">
            <v>8</v>
          </cell>
        </row>
        <row r="2631">
          <cell r="D2631" t="str">
            <v>Žilinská univerzita v Žiline</v>
          </cell>
          <cell r="E2631" t="str">
            <v>Strojnícka fakulta</v>
          </cell>
          <cell r="AN2631">
            <v>5</v>
          </cell>
          <cell r="AO2631">
            <v>0</v>
          </cell>
          <cell r="AP2631">
            <v>0</v>
          </cell>
          <cell r="AQ2631">
            <v>5</v>
          </cell>
          <cell r="AR2631">
            <v>5</v>
          </cell>
          <cell r="BF2631">
            <v>20</v>
          </cell>
          <cell r="BG2631">
            <v>42.599999999999994</v>
          </cell>
          <cell r="BH2631">
            <v>42.599999999999994</v>
          </cell>
          <cell r="BI2631">
            <v>5</v>
          </cell>
          <cell r="BJ2631">
            <v>5</v>
          </cell>
        </row>
        <row r="2632">
          <cell r="D2632" t="str">
            <v>Žilinská univerzita v Žiline</v>
          </cell>
          <cell r="E2632" t="str">
            <v>Fakulta prevádzky a ekonomiky dopravy a spojov</v>
          </cell>
          <cell r="AN2632">
            <v>9</v>
          </cell>
          <cell r="AO2632">
            <v>0</v>
          </cell>
          <cell r="AP2632">
            <v>0</v>
          </cell>
          <cell r="AQ2632">
            <v>0</v>
          </cell>
          <cell r="AR2632">
            <v>9</v>
          </cell>
          <cell r="BF2632">
            <v>36</v>
          </cell>
          <cell r="BG2632">
            <v>39.6</v>
          </cell>
          <cell r="BH2632">
            <v>39.6</v>
          </cell>
          <cell r="BI2632">
            <v>9</v>
          </cell>
          <cell r="BJ2632">
            <v>9</v>
          </cell>
        </row>
        <row r="2633">
          <cell r="D2633" t="str">
            <v>Žilinská univerzita v Žiline</v>
          </cell>
          <cell r="E2633" t="str">
            <v>Fakulta prevádzky a ekonomiky dopravy a spojov</v>
          </cell>
          <cell r="AN2633">
            <v>15</v>
          </cell>
          <cell r="AO2633">
            <v>0</v>
          </cell>
          <cell r="AP2633">
            <v>0</v>
          </cell>
          <cell r="AQ2633">
            <v>0</v>
          </cell>
          <cell r="AR2633">
            <v>15</v>
          </cell>
          <cell r="BF2633">
            <v>60</v>
          </cell>
          <cell r="BG2633">
            <v>66</v>
          </cell>
          <cell r="BH2633">
            <v>66</v>
          </cell>
          <cell r="BI2633">
            <v>15</v>
          </cell>
          <cell r="BJ2633">
            <v>15</v>
          </cell>
        </row>
        <row r="2634">
          <cell r="D2634" t="str">
            <v>Žilinská univerzita v Žiline</v>
          </cell>
          <cell r="E2634" t="str">
            <v>Fakulta prevádzky a ekonomiky dopravy a spojov</v>
          </cell>
          <cell r="AN2634">
            <v>80</v>
          </cell>
          <cell r="AO2634">
            <v>82</v>
          </cell>
          <cell r="AP2634">
            <v>0</v>
          </cell>
          <cell r="AQ2634">
            <v>0</v>
          </cell>
          <cell r="AR2634">
            <v>80</v>
          </cell>
          <cell r="BF2634">
            <v>120</v>
          </cell>
          <cell r="BG2634">
            <v>177.6</v>
          </cell>
          <cell r="BH2634">
            <v>149.97333333333333</v>
          </cell>
          <cell r="BI2634">
            <v>82</v>
          </cell>
          <cell r="BJ2634">
            <v>0</v>
          </cell>
        </row>
        <row r="2635">
          <cell r="D2635" t="str">
            <v>Žilinská univerzita v Žiline</v>
          </cell>
          <cell r="E2635" t="str">
            <v>Fakulta prevádzky a ekonomiky dopravy a spojov</v>
          </cell>
          <cell r="AN2635">
            <v>201</v>
          </cell>
          <cell r="AO2635">
            <v>208</v>
          </cell>
          <cell r="AP2635">
            <v>0</v>
          </cell>
          <cell r="AQ2635">
            <v>0</v>
          </cell>
          <cell r="AR2635">
            <v>201</v>
          </cell>
          <cell r="BF2635">
            <v>301.5</v>
          </cell>
          <cell r="BG2635">
            <v>313.56</v>
          </cell>
          <cell r="BH2635">
            <v>267.75910112359549</v>
          </cell>
          <cell r="BI2635">
            <v>208</v>
          </cell>
          <cell r="BJ2635">
            <v>0</v>
          </cell>
        </row>
        <row r="2636">
          <cell r="D2636" t="str">
            <v>Žilinská univerzita v Žiline</v>
          </cell>
          <cell r="E2636" t="str">
            <v>Fakulta prevádzky a ekonomiky dopravy a spojov</v>
          </cell>
          <cell r="AN2636">
            <v>1</v>
          </cell>
          <cell r="AO2636">
            <v>0</v>
          </cell>
          <cell r="AP2636">
            <v>0</v>
          </cell>
          <cell r="AQ2636">
            <v>0</v>
          </cell>
          <cell r="AR2636">
            <v>0</v>
          </cell>
          <cell r="BF2636">
            <v>0</v>
          </cell>
          <cell r="BG2636">
            <v>0</v>
          </cell>
          <cell r="BH2636">
            <v>0</v>
          </cell>
          <cell r="BI2636">
            <v>17</v>
          </cell>
          <cell r="BJ2636">
            <v>0</v>
          </cell>
        </row>
        <row r="2637">
          <cell r="D2637" t="str">
            <v>Žilinská univerzita v Žiline</v>
          </cell>
          <cell r="E2637" t="str">
            <v>Fakulta riadenia a informatiky</v>
          </cell>
          <cell r="AN2637">
            <v>14</v>
          </cell>
          <cell r="AO2637">
            <v>16</v>
          </cell>
          <cell r="AP2637">
            <v>16</v>
          </cell>
          <cell r="AQ2637">
            <v>14</v>
          </cell>
          <cell r="AR2637">
            <v>14</v>
          </cell>
          <cell r="BF2637">
            <v>21</v>
          </cell>
          <cell r="BG2637">
            <v>31.08</v>
          </cell>
          <cell r="BH2637">
            <v>31.08</v>
          </cell>
          <cell r="BI2637">
            <v>16</v>
          </cell>
          <cell r="BJ2637">
            <v>0</v>
          </cell>
        </row>
        <row r="2638">
          <cell r="D2638" t="str">
            <v>Žilinská univerzita v Žiline</v>
          </cell>
          <cell r="E2638" t="str">
            <v>Fakulta riadenia a informatiky</v>
          </cell>
          <cell r="AN2638">
            <v>25</v>
          </cell>
          <cell r="AO2638">
            <v>29</v>
          </cell>
          <cell r="AP2638">
            <v>29</v>
          </cell>
          <cell r="AQ2638">
            <v>25</v>
          </cell>
          <cell r="AR2638">
            <v>25</v>
          </cell>
          <cell r="BF2638">
            <v>37.5</v>
          </cell>
          <cell r="BG2638">
            <v>55.5</v>
          </cell>
          <cell r="BH2638">
            <v>52.724999999999994</v>
          </cell>
          <cell r="BI2638">
            <v>29</v>
          </cell>
          <cell r="BJ2638">
            <v>0</v>
          </cell>
        </row>
        <row r="2639">
          <cell r="D2639" t="str">
            <v>Žilinská univerzita v Žiline</v>
          </cell>
          <cell r="E2639" t="str">
            <v>Strojnícka fakulta</v>
          </cell>
          <cell r="AN2639">
            <v>9</v>
          </cell>
          <cell r="AO2639">
            <v>0</v>
          </cell>
          <cell r="AP2639">
            <v>0</v>
          </cell>
          <cell r="AQ2639">
            <v>9</v>
          </cell>
          <cell r="AR2639">
            <v>9</v>
          </cell>
          <cell r="BF2639">
            <v>36</v>
          </cell>
          <cell r="BG2639">
            <v>76.679999999999993</v>
          </cell>
          <cell r="BH2639">
            <v>76.679999999999993</v>
          </cell>
          <cell r="BI2639">
            <v>9</v>
          </cell>
          <cell r="BJ2639">
            <v>9</v>
          </cell>
        </row>
        <row r="2640">
          <cell r="D2640" t="str">
            <v>Žilinská univerzita v Žiline</v>
          </cell>
          <cell r="E2640" t="str">
            <v>Fakulta bezpečnostného inžinierstva</v>
          </cell>
          <cell r="AN2640">
            <v>8</v>
          </cell>
          <cell r="AO2640">
            <v>0</v>
          </cell>
          <cell r="AP2640">
            <v>0</v>
          </cell>
          <cell r="AQ2640">
            <v>0</v>
          </cell>
          <cell r="AR2640">
            <v>8</v>
          </cell>
          <cell r="BF2640">
            <v>32</v>
          </cell>
          <cell r="BG2640">
            <v>68.16</v>
          </cell>
          <cell r="BH2640">
            <v>68.16</v>
          </cell>
          <cell r="BI2640">
            <v>8</v>
          </cell>
          <cell r="BJ2640">
            <v>8</v>
          </cell>
        </row>
        <row r="2641">
          <cell r="D2641" t="str">
            <v>Žilinská univerzita v Žiline</v>
          </cell>
          <cell r="E2641" t="str">
            <v>Fakulta riadenia a informatiky</v>
          </cell>
          <cell r="AN2641">
            <v>0</v>
          </cell>
          <cell r="AO2641">
            <v>0</v>
          </cell>
          <cell r="AP2641">
            <v>0</v>
          </cell>
          <cell r="AQ2641">
            <v>0</v>
          </cell>
          <cell r="AR2641">
            <v>0</v>
          </cell>
          <cell r="BF2641">
            <v>0</v>
          </cell>
          <cell r="BG2641">
            <v>0</v>
          </cell>
          <cell r="BH2641">
            <v>0</v>
          </cell>
          <cell r="BI2641">
            <v>23</v>
          </cell>
          <cell r="BJ2641">
            <v>0</v>
          </cell>
        </row>
        <row r="2642">
          <cell r="D2642" t="str">
            <v>Žilinská univerzita v Žiline</v>
          </cell>
          <cell r="E2642" t="str">
            <v>Strojnícka fakulta</v>
          </cell>
          <cell r="AN2642">
            <v>1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BF2642">
            <v>0</v>
          </cell>
          <cell r="BG2642">
            <v>0</v>
          </cell>
          <cell r="BH2642">
            <v>0</v>
          </cell>
          <cell r="BI2642">
            <v>4</v>
          </cell>
          <cell r="BJ2642">
            <v>0</v>
          </cell>
        </row>
        <row r="2643">
          <cell r="D2643" t="str">
            <v>Žilinská univerzita v Žiline</v>
          </cell>
          <cell r="E2643" t="str">
            <v>Fakulta elektrotechniky a informačných technológií</v>
          </cell>
          <cell r="AN2643">
            <v>42</v>
          </cell>
          <cell r="AO2643">
            <v>44</v>
          </cell>
          <cell r="AP2643">
            <v>44</v>
          </cell>
          <cell r="AQ2643">
            <v>42</v>
          </cell>
          <cell r="AR2643">
            <v>42</v>
          </cell>
          <cell r="BF2643">
            <v>63</v>
          </cell>
          <cell r="BG2643">
            <v>93.24</v>
          </cell>
          <cell r="BH2643">
            <v>89.51039999999999</v>
          </cell>
          <cell r="BI2643">
            <v>44</v>
          </cell>
          <cell r="BJ2643">
            <v>0</v>
          </cell>
        </row>
        <row r="2644">
          <cell r="D2644" t="str">
            <v>Žilinská univerzita v Žiline</v>
          </cell>
          <cell r="E2644" t="str">
            <v>Stavebná fakulta</v>
          </cell>
          <cell r="AN2644">
            <v>2</v>
          </cell>
          <cell r="AO2644">
            <v>0</v>
          </cell>
          <cell r="AP2644">
            <v>0</v>
          </cell>
          <cell r="AQ2644">
            <v>2</v>
          </cell>
          <cell r="AR2644">
            <v>2</v>
          </cell>
          <cell r="BF2644">
            <v>8</v>
          </cell>
          <cell r="BG2644">
            <v>17.04</v>
          </cell>
          <cell r="BH2644">
            <v>17.04</v>
          </cell>
          <cell r="BI2644">
            <v>2</v>
          </cell>
          <cell r="BJ2644">
            <v>2</v>
          </cell>
        </row>
        <row r="2645">
          <cell r="D2645" t="str">
            <v>Žilinská univerzita v Žiline</v>
          </cell>
          <cell r="E2645" t="str">
            <v>Fakulta riadenia a informatiky</v>
          </cell>
          <cell r="AN2645">
            <v>10</v>
          </cell>
          <cell r="AO2645">
            <v>0</v>
          </cell>
          <cell r="AP2645">
            <v>0</v>
          </cell>
          <cell r="AQ2645">
            <v>0</v>
          </cell>
          <cell r="AR2645">
            <v>10</v>
          </cell>
          <cell r="BF2645">
            <v>40</v>
          </cell>
          <cell r="BG2645">
            <v>44</v>
          </cell>
          <cell r="BH2645">
            <v>44</v>
          </cell>
          <cell r="BI2645">
            <v>10</v>
          </cell>
          <cell r="BJ2645">
            <v>10</v>
          </cell>
        </row>
        <row r="2646">
          <cell r="D2646" t="str">
            <v>Žilinská univerzita v Žiline</v>
          </cell>
          <cell r="E2646" t="str">
            <v>Fakulta prevádzky a ekonomiky dopravy a spojov</v>
          </cell>
          <cell r="AN2646">
            <v>4</v>
          </cell>
          <cell r="AO2646">
            <v>0</v>
          </cell>
          <cell r="AP2646">
            <v>0</v>
          </cell>
          <cell r="AQ2646">
            <v>4</v>
          </cell>
          <cell r="AR2646">
            <v>4</v>
          </cell>
          <cell r="BF2646">
            <v>16</v>
          </cell>
          <cell r="BG2646">
            <v>34.08</v>
          </cell>
          <cell r="BH2646">
            <v>34.08</v>
          </cell>
          <cell r="BI2646">
            <v>4</v>
          </cell>
          <cell r="BJ2646">
            <v>4</v>
          </cell>
        </row>
        <row r="2647">
          <cell r="D2647" t="str">
            <v>Žilinská univerzita v Žiline</v>
          </cell>
          <cell r="E2647" t="str">
            <v>Fakulta elektrotechniky a informačných technológií</v>
          </cell>
          <cell r="AN2647">
            <v>35</v>
          </cell>
          <cell r="AO2647">
            <v>40</v>
          </cell>
          <cell r="AP2647">
            <v>0</v>
          </cell>
          <cell r="AQ2647">
            <v>0</v>
          </cell>
          <cell r="AR2647">
            <v>35</v>
          </cell>
          <cell r="BF2647">
            <v>52.5</v>
          </cell>
          <cell r="BG2647">
            <v>77.7</v>
          </cell>
          <cell r="BH2647">
            <v>49.949999999999996</v>
          </cell>
          <cell r="BI2647">
            <v>40</v>
          </cell>
          <cell r="BJ2647">
            <v>0</v>
          </cell>
        </row>
        <row r="2648">
          <cell r="D2648" t="str">
            <v>Žilinská univerzita v Žiline</v>
          </cell>
          <cell r="E2648" t="str">
            <v>Strojnícka fakulta</v>
          </cell>
          <cell r="AN2648">
            <v>15</v>
          </cell>
          <cell r="AO2648">
            <v>17</v>
          </cell>
          <cell r="AP2648">
            <v>17</v>
          </cell>
          <cell r="AQ2648">
            <v>15</v>
          </cell>
          <cell r="AR2648">
            <v>15</v>
          </cell>
          <cell r="BF2648">
            <v>12.3</v>
          </cell>
          <cell r="BG2648">
            <v>18.204000000000001</v>
          </cell>
          <cell r="BH2648">
            <v>18.204000000000001</v>
          </cell>
          <cell r="BI2648">
            <v>17</v>
          </cell>
          <cell r="BJ2648">
            <v>0</v>
          </cell>
        </row>
        <row r="2649">
          <cell r="D2649" t="str">
            <v>Žilinská univerzita v Žiline</v>
          </cell>
          <cell r="E2649" t="str">
            <v>Fakulta prevádzky a ekonomiky dopravy a spojov</v>
          </cell>
          <cell r="AN2649">
            <v>45</v>
          </cell>
          <cell r="AO2649">
            <v>48</v>
          </cell>
          <cell r="AP2649">
            <v>0</v>
          </cell>
          <cell r="AQ2649">
            <v>45</v>
          </cell>
          <cell r="AR2649">
            <v>45</v>
          </cell>
          <cell r="BF2649">
            <v>67.5</v>
          </cell>
          <cell r="BG2649">
            <v>99.9</v>
          </cell>
          <cell r="BH2649">
            <v>99.9</v>
          </cell>
          <cell r="BI2649">
            <v>48</v>
          </cell>
          <cell r="BJ2649">
            <v>0</v>
          </cell>
        </row>
        <row r="2650">
          <cell r="D2650" t="str">
            <v>Žilinská univerzita v Žiline</v>
          </cell>
          <cell r="E2650" t="str">
            <v>Fakulta prevádzky a ekonomiky dopravy a spojov</v>
          </cell>
          <cell r="AN2650">
            <v>33</v>
          </cell>
          <cell r="AO2650">
            <v>35</v>
          </cell>
          <cell r="AP2650">
            <v>0</v>
          </cell>
          <cell r="AQ2650">
            <v>0</v>
          </cell>
          <cell r="AR2650">
            <v>33</v>
          </cell>
          <cell r="BF2650">
            <v>49.5</v>
          </cell>
          <cell r="BG2650">
            <v>51.480000000000004</v>
          </cell>
          <cell r="BH2650">
            <v>34.320000000000007</v>
          </cell>
          <cell r="BI2650">
            <v>35</v>
          </cell>
          <cell r="BJ2650">
            <v>0</v>
          </cell>
        </row>
        <row r="2651">
          <cell r="D2651" t="str">
            <v>Žilinská univerzita v Žiline</v>
          </cell>
          <cell r="E2651" t="str">
            <v>Fakulta humanitných vied</v>
          </cell>
          <cell r="AN2651">
            <v>1</v>
          </cell>
          <cell r="AO2651">
            <v>1</v>
          </cell>
          <cell r="AP2651">
            <v>1</v>
          </cell>
          <cell r="AQ2651">
            <v>1</v>
          </cell>
          <cell r="AR2651">
            <v>1</v>
          </cell>
          <cell r="BF2651">
            <v>1</v>
          </cell>
          <cell r="BG2651">
            <v>1.32</v>
          </cell>
          <cell r="BH2651">
            <v>1.2970434782608695</v>
          </cell>
          <cell r="BI2651">
            <v>1</v>
          </cell>
          <cell r="BJ2651">
            <v>0</v>
          </cell>
        </row>
        <row r="2652">
          <cell r="D2652" t="str">
            <v>Žilinská univerzita v Žiline</v>
          </cell>
          <cell r="E2652" t="str">
            <v>Fakulta bezpečnostného inžinierstva</v>
          </cell>
          <cell r="AN2652">
            <v>0</v>
          </cell>
          <cell r="AO2652">
            <v>0</v>
          </cell>
          <cell r="AP2652">
            <v>0</v>
          </cell>
          <cell r="AQ2652">
            <v>0</v>
          </cell>
          <cell r="AR2652">
            <v>0</v>
          </cell>
          <cell r="BF2652">
            <v>0</v>
          </cell>
          <cell r="BG2652">
            <v>0</v>
          </cell>
          <cell r="BH2652">
            <v>0</v>
          </cell>
          <cell r="BI2652">
            <v>4</v>
          </cell>
          <cell r="BJ2652">
            <v>0</v>
          </cell>
        </row>
        <row r="2653">
          <cell r="D2653" t="str">
            <v>Žilinská univerzita v Žiline</v>
          </cell>
          <cell r="E2653" t="str">
            <v>Fakulta prevádzky a ekonomiky dopravy a spojov</v>
          </cell>
          <cell r="AN2653">
            <v>12</v>
          </cell>
          <cell r="AO2653">
            <v>0</v>
          </cell>
          <cell r="AP2653">
            <v>0</v>
          </cell>
          <cell r="AQ2653">
            <v>12</v>
          </cell>
          <cell r="AR2653">
            <v>12</v>
          </cell>
          <cell r="BF2653">
            <v>48</v>
          </cell>
          <cell r="BG2653">
            <v>102.24</v>
          </cell>
          <cell r="BH2653">
            <v>102.24</v>
          </cell>
          <cell r="BI2653">
            <v>12</v>
          </cell>
          <cell r="BJ2653">
            <v>12</v>
          </cell>
        </row>
        <row r="2654">
          <cell r="D2654" t="str">
            <v>Žilinská univerzita v Žiline</v>
          </cell>
          <cell r="E2654" t="str">
            <v>Fakulta elektrotechniky a informačných technológií</v>
          </cell>
          <cell r="AN2654">
            <v>4</v>
          </cell>
          <cell r="AO2654">
            <v>0</v>
          </cell>
          <cell r="AP2654">
            <v>0</v>
          </cell>
          <cell r="AQ2654">
            <v>4</v>
          </cell>
          <cell r="AR2654">
            <v>4</v>
          </cell>
          <cell r="BF2654">
            <v>16</v>
          </cell>
          <cell r="BG2654">
            <v>34.08</v>
          </cell>
          <cell r="BH2654">
            <v>34.08</v>
          </cell>
          <cell r="BI2654">
            <v>4</v>
          </cell>
          <cell r="BJ2654">
            <v>4</v>
          </cell>
        </row>
        <row r="2655">
          <cell r="D2655" t="str">
            <v>Žilinská univerzita v Žiline</v>
          </cell>
          <cell r="E2655" t="str">
            <v>Fakulta riadenia a informatiky</v>
          </cell>
          <cell r="AN2655">
            <v>4</v>
          </cell>
          <cell r="AO2655">
            <v>0</v>
          </cell>
          <cell r="AP2655">
            <v>0</v>
          </cell>
          <cell r="AQ2655">
            <v>0</v>
          </cell>
          <cell r="AR2655">
            <v>4</v>
          </cell>
          <cell r="BF2655">
            <v>16</v>
          </cell>
          <cell r="BG2655">
            <v>34.08</v>
          </cell>
          <cell r="BH2655">
            <v>27.263999999999999</v>
          </cell>
          <cell r="BI2655">
            <v>4</v>
          </cell>
          <cell r="BJ2655">
            <v>4</v>
          </cell>
        </row>
        <row r="2656">
          <cell r="D2656" t="str">
            <v>Žilinská univerzita v Žiline</v>
          </cell>
          <cell r="E2656" t="str">
            <v>Fakulta elektrotechniky a informačných technológií</v>
          </cell>
          <cell r="AN2656">
            <v>47</v>
          </cell>
          <cell r="AO2656">
            <v>48</v>
          </cell>
          <cell r="AP2656">
            <v>0</v>
          </cell>
          <cell r="AQ2656">
            <v>0</v>
          </cell>
          <cell r="AR2656">
            <v>47</v>
          </cell>
          <cell r="BF2656">
            <v>70.5</v>
          </cell>
          <cell r="BG2656">
            <v>104.34</v>
          </cell>
          <cell r="BH2656">
            <v>96.887142857142862</v>
          </cell>
          <cell r="BI2656">
            <v>48</v>
          </cell>
          <cell r="BJ2656">
            <v>0</v>
          </cell>
        </row>
        <row r="2657">
          <cell r="D2657" t="str">
            <v>Žilinská univerzita v Žiline</v>
          </cell>
          <cell r="E2657" t="str">
            <v>Strojnícka fakulta</v>
          </cell>
          <cell r="AN2657">
            <v>40</v>
          </cell>
          <cell r="AO2657">
            <v>41</v>
          </cell>
          <cell r="AP2657">
            <v>41</v>
          </cell>
          <cell r="AQ2657">
            <v>40</v>
          </cell>
          <cell r="AR2657">
            <v>40</v>
          </cell>
          <cell r="BF2657">
            <v>60</v>
          </cell>
          <cell r="BG2657">
            <v>88.8</v>
          </cell>
          <cell r="BH2657">
            <v>84.126315789473693</v>
          </cell>
          <cell r="BI2657">
            <v>41</v>
          </cell>
          <cell r="BJ2657">
            <v>0</v>
          </cell>
        </row>
        <row r="2658">
          <cell r="D2658" t="str">
            <v>Žilinská univerzita v Žiline</v>
          </cell>
          <cell r="E2658" t="str">
            <v>Fakulta elektrotechniky a informačných technológií</v>
          </cell>
          <cell r="AN2658">
            <v>3</v>
          </cell>
          <cell r="AO2658">
            <v>0</v>
          </cell>
          <cell r="AP2658">
            <v>0</v>
          </cell>
          <cell r="AQ2658">
            <v>3</v>
          </cell>
          <cell r="AR2658">
            <v>3</v>
          </cell>
          <cell r="BF2658">
            <v>12</v>
          </cell>
          <cell r="BG2658">
            <v>25.56</v>
          </cell>
          <cell r="BH2658">
            <v>25.56</v>
          </cell>
          <cell r="BI2658">
            <v>3</v>
          </cell>
          <cell r="BJ2658">
            <v>3</v>
          </cell>
        </row>
        <row r="2659">
          <cell r="D2659" t="str">
            <v>Žilinská univerzita v Žiline</v>
          </cell>
          <cell r="E2659" t="str">
            <v>Stavebná fakulta</v>
          </cell>
          <cell r="AN2659">
            <v>23</v>
          </cell>
          <cell r="AO2659">
            <v>26</v>
          </cell>
          <cell r="AP2659">
            <v>0</v>
          </cell>
          <cell r="AQ2659">
            <v>0</v>
          </cell>
          <cell r="AR2659">
            <v>23</v>
          </cell>
          <cell r="BF2659">
            <v>34.5</v>
          </cell>
          <cell r="BG2659">
            <v>51.06</v>
          </cell>
          <cell r="BH2659">
            <v>40.848000000000006</v>
          </cell>
          <cell r="BI2659">
            <v>26</v>
          </cell>
          <cell r="BJ2659">
            <v>0</v>
          </cell>
        </row>
        <row r="2660">
          <cell r="D2660" t="str">
            <v>Žilinská univerzita v Žiline</v>
          </cell>
          <cell r="E2660" t="str">
            <v>Stavebná fakulta</v>
          </cell>
          <cell r="AN2660">
            <v>22</v>
          </cell>
          <cell r="AO2660">
            <v>23</v>
          </cell>
          <cell r="AP2660">
            <v>23</v>
          </cell>
          <cell r="AQ2660">
            <v>22</v>
          </cell>
          <cell r="AR2660">
            <v>22</v>
          </cell>
          <cell r="BF2660">
            <v>33</v>
          </cell>
          <cell r="BG2660">
            <v>48.839999999999996</v>
          </cell>
          <cell r="BH2660">
            <v>46.269473684210524</v>
          </cell>
          <cell r="BI2660">
            <v>23</v>
          </cell>
          <cell r="BJ2660">
            <v>0</v>
          </cell>
        </row>
        <row r="2661">
          <cell r="D2661" t="str">
            <v>Žilinská univerzita v Žiline</v>
          </cell>
          <cell r="E2661" t="str">
            <v>Stavebná fakulta</v>
          </cell>
          <cell r="AN2661">
            <v>6</v>
          </cell>
          <cell r="AO2661">
            <v>0</v>
          </cell>
          <cell r="AP2661">
            <v>0</v>
          </cell>
          <cell r="AQ2661">
            <v>6</v>
          </cell>
          <cell r="AR2661">
            <v>6</v>
          </cell>
          <cell r="BF2661">
            <v>24</v>
          </cell>
          <cell r="BG2661">
            <v>51.12</v>
          </cell>
          <cell r="BH2661">
            <v>51.12</v>
          </cell>
          <cell r="BI2661">
            <v>6</v>
          </cell>
          <cell r="BJ2661">
            <v>6</v>
          </cell>
        </row>
        <row r="2662">
          <cell r="D2662" t="str">
            <v>Žilinská univerzita v Žiline</v>
          </cell>
          <cell r="E2662" t="str">
            <v>Strojnícka fakulta</v>
          </cell>
          <cell r="AN2662">
            <v>6</v>
          </cell>
          <cell r="AO2662">
            <v>7</v>
          </cell>
          <cell r="AP2662">
            <v>0</v>
          </cell>
          <cell r="AQ2662">
            <v>0</v>
          </cell>
          <cell r="AR2662">
            <v>6</v>
          </cell>
          <cell r="BF2662">
            <v>9</v>
          </cell>
          <cell r="BG2662">
            <v>13.32</v>
          </cell>
          <cell r="BH2662">
            <v>11.655000000000001</v>
          </cell>
          <cell r="BI2662">
            <v>7</v>
          </cell>
          <cell r="BJ2662">
            <v>0</v>
          </cell>
        </row>
        <row r="2663">
          <cell r="D2663" t="str">
            <v>Žilinská univerzita v Žiline</v>
          </cell>
          <cell r="E2663" t="str">
            <v>Fakulta elektrotechniky a informačných technológií</v>
          </cell>
          <cell r="AN2663">
            <v>52</v>
          </cell>
          <cell r="AO2663">
            <v>58</v>
          </cell>
          <cell r="AP2663">
            <v>58</v>
          </cell>
          <cell r="AQ2663">
            <v>52</v>
          </cell>
          <cell r="AR2663">
            <v>52</v>
          </cell>
          <cell r="BF2663">
            <v>43.3</v>
          </cell>
          <cell r="BG2663">
            <v>64.083999999999989</v>
          </cell>
          <cell r="BH2663">
            <v>64.083999999999989</v>
          </cell>
          <cell r="BI2663">
            <v>58</v>
          </cell>
          <cell r="BJ2663">
            <v>0</v>
          </cell>
        </row>
        <row r="2664">
          <cell r="D2664" t="str">
            <v>Žilinská univerzita v Žiline</v>
          </cell>
          <cell r="E2664" t="str">
            <v>Fakulta prevádzky a ekonomiky dopravy a spojov</v>
          </cell>
          <cell r="AN2664">
            <v>10</v>
          </cell>
          <cell r="AO2664">
            <v>13</v>
          </cell>
          <cell r="AP2664">
            <v>0</v>
          </cell>
          <cell r="AQ2664">
            <v>10</v>
          </cell>
          <cell r="AR2664">
            <v>10</v>
          </cell>
          <cell r="BF2664">
            <v>10</v>
          </cell>
          <cell r="BG2664">
            <v>14.8</v>
          </cell>
          <cell r="BH2664">
            <v>14.8</v>
          </cell>
          <cell r="BI2664">
            <v>13</v>
          </cell>
          <cell r="BJ2664">
            <v>0</v>
          </cell>
        </row>
        <row r="2665">
          <cell r="D2665" t="str">
            <v>Žilinská univerzita v Žiline</v>
          </cell>
          <cell r="E2665" t="str">
            <v>Fakulta elektrotechniky a informačných technológií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BF2665">
            <v>0</v>
          </cell>
          <cell r="BG2665">
            <v>0</v>
          </cell>
          <cell r="BH2665">
            <v>0</v>
          </cell>
          <cell r="BI2665">
            <v>1</v>
          </cell>
          <cell r="BJ2665">
            <v>0</v>
          </cell>
        </row>
        <row r="2666">
          <cell r="D2666" t="str">
            <v>Žilinská univerzita v Žiline</v>
          </cell>
          <cell r="E2666" t="str">
            <v>Fakulta bezpečnostného inžinierstva</v>
          </cell>
          <cell r="AN2666">
            <v>31</v>
          </cell>
          <cell r="AO2666">
            <v>35</v>
          </cell>
          <cell r="AP2666">
            <v>0</v>
          </cell>
          <cell r="AQ2666">
            <v>0</v>
          </cell>
          <cell r="AR2666">
            <v>31</v>
          </cell>
          <cell r="BF2666">
            <v>24.099999999999998</v>
          </cell>
          <cell r="BG2666">
            <v>35.667999999999999</v>
          </cell>
          <cell r="BH2666">
            <v>35.667999999999999</v>
          </cell>
          <cell r="BI2666">
            <v>35</v>
          </cell>
          <cell r="BJ2666">
            <v>0</v>
          </cell>
        </row>
        <row r="2667">
          <cell r="D2667" t="str">
            <v>Žilinská univerzita v Žiline</v>
          </cell>
          <cell r="E2667" t="str">
            <v>Stavebná fakulta</v>
          </cell>
          <cell r="AN2667">
            <v>0</v>
          </cell>
          <cell r="AO2667">
            <v>0</v>
          </cell>
          <cell r="AP2667">
            <v>0</v>
          </cell>
          <cell r="AQ2667">
            <v>0</v>
          </cell>
          <cell r="AR2667">
            <v>0</v>
          </cell>
          <cell r="BF2667">
            <v>0</v>
          </cell>
          <cell r="BG2667">
            <v>0</v>
          </cell>
          <cell r="BH2667">
            <v>0</v>
          </cell>
          <cell r="BI2667">
            <v>15</v>
          </cell>
          <cell r="BJ2667">
            <v>0</v>
          </cell>
        </row>
        <row r="2668">
          <cell r="D2668" t="str">
            <v>Žilinská univerzita v Žiline</v>
          </cell>
          <cell r="E2668" t="str">
            <v>Fakulta bezpečnostného inžinierstva</v>
          </cell>
          <cell r="AN2668">
            <v>21</v>
          </cell>
          <cell r="AO2668">
            <v>21</v>
          </cell>
          <cell r="AP2668">
            <v>0</v>
          </cell>
          <cell r="AQ2668">
            <v>0</v>
          </cell>
          <cell r="AR2668">
            <v>21</v>
          </cell>
          <cell r="BF2668">
            <v>31.5</v>
          </cell>
          <cell r="BG2668">
            <v>46.62</v>
          </cell>
          <cell r="BH2668">
            <v>37.295999999999999</v>
          </cell>
          <cell r="BI2668">
            <v>21</v>
          </cell>
          <cell r="BJ2668">
            <v>0</v>
          </cell>
        </row>
        <row r="2669">
          <cell r="D2669" t="str">
            <v>Žilinská univerzita v Žiline</v>
          </cell>
          <cell r="E2669" t="str">
            <v>Strojnícka fakulta</v>
          </cell>
          <cell r="AN2669">
            <v>39</v>
          </cell>
          <cell r="AO2669">
            <v>43</v>
          </cell>
          <cell r="AP2669">
            <v>43</v>
          </cell>
          <cell r="AQ2669">
            <v>39</v>
          </cell>
          <cell r="AR2669">
            <v>39</v>
          </cell>
          <cell r="BF2669">
            <v>34.200000000000003</v>
          </cell>
          <cell r="BG2669">
            <v>50.616000000000007</v>
          </cell>
          <cell r="BH2669">
            <v>50.616000000000007</v>
          </cell>
          <cell r="BI2669">
            <v>43</v>
          </cell>
          <cell r="BJ2669">
            <v>0</v>
          </cell>
        </row>
        <row r="2670">
          <cell r="D2670" t="str">
            <v>Žilinská univerzita v Žiline</v>
          </cell>
          <cell r="E2670" t="str">
            <v>Stavebná fakulta</v>
          </cell>
          <cell r="AN2670">
            <v>25</v>
          </cell>
          <cell r="AO2670">
            <v>30</v>
          </cell>
          <cell r="AP2670">
            <v>0</v>
          </cell>
          <cell r="AQ2670">
            <v>25</v>
          </cell>
          <cell r="AR2670">
            <v>25</v>
          </cell>
          <cell r="BF2670">
            <v>21.1</v>
          </cell>
          <cell r="BG2670">
            <v>31.650000000000002</v>
          </cell>
          <cell r="BH2670">
            <v>31.650000000000002</v>
          </cell>
          <cell r="BI2670">
            <v>30</v>
          </cell>
          <cell r="BJ2670">
            <v>0</v>
          </cell>
        </row>
        <row r="2671">
          <cell r="D2671" t="str">
            <v>Žilinská univerzita v Žiline</v>
          </cell>
          <cell r="E2671" t="str">
            <v>Strojnícka fakulta</v>
          </cell>
          <cell r="AN2671">
            <v>1</v>
          </cell>
          <cell r="AO2671">
            <v>0</v>
          </cell>
          <cell r="AP2671">
            <v>0</v>
          </cell>
          <cell r="AQ2671">
            <v>0</v>
          </cell>
          <cell r="AR2671">
            <v>0</v>
          </cell>
          <cell r="BF2671">
            <v>0</v>
          </cell>
          <cell r="BG2671">
            <v>0</v>
          </cell>
          <cell r="BH2671">
            <v>0</v>
          </cell>
          <cell r="BI2671">
            <v>5</v>
          </cell>
          <cell r="BJ2671">
            <v>0</v>
          </cell>
        </row>
        <row r="2672">
          <cell r="D2672" t="str">
            <v>Univerzita Komenského v Bratislave</v>
          </cell>
          <cell r="E2672" t="str">
            <v>Právnická fakulta</v>
          </cell>
          <cell r="AN2672">
            <v>0</v>
          </cell>
          <cell r="AO2672">
            <v>0</v>
          </cell>
          <cell r="AP2672">
            <v>0</v>
          </cell>
          <cell r="AQ2672">
            <v>0</v>
          </cell>
          <cell r="AR2672">
            <v>0</v>
          </cell>
          <cell r="BF2672">
            <v>0</v>
          </cell>
          <cell r="BG2672">
            <v>0</v>
          </cell>
          <cell r="BH2672">
            <v>0</v>
          </cell>
          <cell r="BI2672">
            <v>10</v>
          </cell>
          <cell r="BJ2672">
            <v>0</v>
          </cell>
        </row>
        <row r="2673">
          <cell r="D2673" t="str">
            <v>Univerzita Komenského v Bratislave</v>
          </cell>
          <cell r="E2673" t="str">
            <v>Právnická fakulta</v>
          </cell>
          <cell r="AN2673">
            <v>0</v>
          </cell>
          <cell r="AO2673">
            <v>0</v>
          </cell>
          <cell r="AP2673">
            <v>0</v>
          </cell>
          <cell r="AQ2673">
            <v>0</v>
          </cell>
          <cell r="AR2673">
            <v>0</v>
          </cell>
          <cell r="BF2673">
            <v>0</v>
          </cell>
          <cell r="BG2673">
            <v>0</v>
          </cell>
          <cell r="BH2673">
            <v>0</v>
          </cell>
          <cell r="BI2673">
            <v>2</v>
          </cell>
          <cell r="BJ2673">
            <v>0</v>
          </cell>
        </row>
        <row r="2674">
          <cell r="D2674" t="str">
            <v>Univerzita Komenského v Bratislave</v>
          </cell>
          <cell r="E2674" t="str">
            <v>Právnická fakulta</v>
          </cell>
          <cell r="AN2674">
            <v>0</v>
          </cell>
          <cell r="AO2674">
            <v>9</v>
          </cell>
          <cell r="AP2674">
            <v>0</v>
          </cell>
          <cell r="AQ2674">
            <v>0</v>
          </cell>
          <cell r="AR2674">
            <v>0</v>
          </cell>
          <cell r="BF2674">
            <v>0</v>
          </cell>
          <cell r="BG2674">
            <v>0</v>
          </cell>
          <cell r="BH2674">
            <v>0</v>
          </cell>
          <cell r="BI2674">
            <v>9</v>
          </cell>
          <cell r="BJ2674">
            <v>0</v>
          </cell>
        </row>
        <row r="2675">
          <cell r="D2675" t="str">
            <v>Univerzita Komenského v Bratislave</v>
          </cell>
          <cell r="E2675" t="str">
            <v>Fakulta sociálnych a ekonomických vied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R2675">
            <v>0</v>
          </cell>
          <cell r="BF2675">
            <v>0</v>
          </cell>
          <cell r="BG2675">
            <v>0</v>
          </cell>
          <cell r="BH2675">
            <v>0</v>
          </cell>
          <cell r="BI2675">
            <v>11</v>
          </cell>
          <cell r="BJ2675">
            <v>0</v>
          </cell>
        </row>
        <row r="2676">
          <cell r="D2676" t="str">
            <v>Univerzita Komenského v Bratislave</v>
          </cell>
          <cell r="E2676" t="str">
            <v>Fakulta sociálnych a ekonomických vied</v>
          </cell>
          <cell r="AN2676">
            <v>1</v>
          </cell>
          <cell r="AO2676">
            <v>0</v>
          </cell>
          <cell r="AP2676">
            <v>0</v>
          </cell>
          <cell r="AQ2676">
            <v>0</v>
          </cell>
          <cell r="AR2676">
            <v>0</v>
          </cell>
          <cell r="BF2676">
            <v>0</v>
          </cell>
          <cell r="BG2676">
            <v>0</v>
          </cell>
          <cell r="BH2676">
            <v>0</v>
          </cell>
          <cell r="BI2676">
            <v>1</v>
          </cell>
          <cell r="BJ2676">
            <v>0</v>
          </cell>
        </row>
        <row r="2677">
          <cell r="D2677" t="str">
            <v>Trnavská univerzita v Trnave</v>
          </cell>
          <cell r="E2677" t="str">
            <v>Právnická fakulta</v>
          </cell>
          <cell r="AN2677">
            <v>0</v>
          </cell>
          <cell r="AO2677">
            <v>0</v>
          </cell>
          <cell r="AP2677">
            <v>0</v>
          </cell>
          <cell r="AQ2677">
            <v>0</v>
          </cell>
          <cell r="AR2677">
            <v>0</v>
          </cell>
          <cell r="BF2677">
            <v>0</v>
          </cell>
          <cell r="BG2677">
            <v>0</v>
          </cell>
          <cell r="BH2677">
            <v>0</v>
          </cell>
          <cell r="BI2677">
            <v>6</v>
          </cell>
          <cell r="BJ2677">
            <v>0</v>
          </cell>
        </row>
        <row r="2678">
          <cell r="D2678" t="str">
            <v>Trnavská univerzita v Trnave</v>
          </cell>
          <cell r="E2678" t="str">
            <v>Právnická fakulta</v>
          </cell>
          <cell r="AN2678">
            <v>3</v>
          </cell>
          <cell r="AO2678">
            <v>0</v>
          </cell>
          <cell r="AP2678">
            <v>0</v>
          </cell>
          <cell r="AQ2678">
            <v>0</v>
          </cell>
          <cell r="AR2678">
            <v>3</v>
          </cell>
          <cell r="BF2678">
            <v>12</v>
          </cell>
          <cell r="BG2678">
            <v>13.200000000000001</v>
          </cell>
          <cell r="BH2678">
            <v>13.200000000000001</v>
          </cell>
          <cell r="BI2678">
            <v>3</v>
          </cell>
          <cell r="BJ2678">
            <v>3</v>
          </cell>
        </row>
        <row r="2679">
          <cell r="D2679" t="str">
            <v>Univerzita Konštantína Filozofa v Nitre</v>
          </cell>
          <cell r="E2679" t="str">
            <v>Filozofická fakulta</v>
          </cell>
          <cell r="AN2679">
            <v>6</v>
          </cell>
          <cell r="AO2679">
            <v>7</v>
          </cell>
          <cell r="AP2679">
            <v>0</v>
          </cell>
          <cell r="AQ2679">
            <v>0</v>
          </cell>
          <cell r="AR2679">
            <v>6</v>
          </cell>
          <cell r="BF2679">
            <v>5.0999999999999996</v>
          </cell>
          <cell r="BG2679">
            <v>5.202</v>
          </cell>
          <cell r="BH2679">
            <v>4.8932054794520541</v>
          </cell>
          <cell r="BI2679">
            <v>7</v>
          </cell>
          <cell r="BJ2679">
            <v>0</v>
          </cell>
        </row>
        <row r="2680">
          <cell r="D2680" t="str">
            <v>Univerzita Konštantína Filozofa v Nitre</v>
          </cell>
          <cell r="E2680" t="str">
            <v>Filozofická fakulta</v>
          </cell>
          <cell r="AN2680">
            <v>3</v>
          </cell>
          <cell r="AO2680">
            <v>0</v>
          </cell>
          <cell r="AP2680">
            <v>0</v>
          </cell>
          <cell r="AQ2680">
            <v>0</v>
          </cell>
          <cell r="AR2680">
            <v>3</v>
          </cell>
          <cell r="BF2680">
            <v>12</v>
          </cell>
          <cell r="BG2680">
            <v>13.200000000000001</v>
          </cell>
          <cell r="BH2680">
            <v>13.200000000000001</v>
          </cell>
          <cell r="BI2680">
            <v>3</v>
          </cell>
          <cell r="BJ2680">
            <v>3</v>
          </cell>
        </row>
        <row r="2681">
          <cell r="D2681" t="str">
            <v>Vysoká škola zdravotníctva a sociálnej práce sv. Alžbety v Bratislave, n. o.</v>
          </cell>
          <cell r="E2681">
            <v>0</v>
          </cell>
          <cell r="AN2681">
            <v>70</v>
          </cell>
          <cell r="AO2681">
            <v>0</v>
          </cell>
          <cell r="AP2681">
            <v>0</v>
          </cell>
          <cell r="AQ2681">
            <v>0</v>
          </cell>
          <cell r="AR2681">
            <v>0</v>
          </cell>
          <cell r="BF2681">
            <v>0</v>
          </cell>
          <cell r="BG2681">
            <v>0</v>
          </cell>
          <cell r="BH2681">
            <v>0</v>
          </cell>
          <cell r="BI2681">
            <v>70</v>
          </cell>
          <cell r="BJ2681">
            <v>0</v>
          </cell>
        </row>
        <row r="2682">
          <cell r="D2682" t="str">
            <v>Vysoká škola zdravotníctva a sociálnej práce sv. Alžbety v Bratislave, n. o.</v>
          </cell>
          <cell r="E2682">
            <v>0</v>
          </cell>
          <cell r="AN2682">
            <v>1</v>
          </cell>
          <cell r="AO2682">
            <v>0</v>
          </cell>
          <cell r="AP2682">
            <v>0</v>
          </cell>
          <cell r="AQ2682">
            <v>0</v>
          </cell>
          <cell r="AR2682">
            <v>1</v>
          </cell>
          <cell r="BF2682">
            <v>4</v>
          </cell>
          <cell r="BG2682">
            <v>4.4000000000000004</v>
          </cell>
          <cell r="BH2682">
            <v>4.4000000000000004</v>
          </cell>
          <cell r="BI2682">
            <v>1</v>
          </cell>
          <cell r="BJ2682">
            <v>1</v>
          </cell>
        </row>
        <row r="2683">
          <cell r="D2683" t="str">
            <v>Prešovská univerzita v Prešove</v>
          </cell>
          <cell r="E2683" t="str">
            <v>Filozofická fakulta</v>
          </cell>
          <cell r="AN2683">
            <v>26</v>
          </cell>
          <cell r="AO2683">
            <v>26</v>
          </cell>
          <cell r="AP2683">
            <v>0</v>
          </cell>
          <cell r="AQ2683">
            <v>0</v>
          </cell>
          <cell r="AR2683">
            <v>26</v>
          </cell>
          <cell r="BF2683">
            <v>39</v>
          </cell>
          <cell r="BG2683">
            <v>46.41</v>
          </cell>
          <cell r="BH2683">
            <v>38.984399999999994</v>
          </cell>
          <cell r="BI2683">
            <v>26</v>
          </cell>
          <cell r="BJ2683">
            <v>0</v>
          </cell>
        </row>
        <row r="2684">
          <cell r="D2684" t="str">
            <v>Prešovská univerzita v Prešove</v>
          </cell>
          <cell r="E2684" t="str">
            <v>Filozofická fakulta</v>
          </cell>
          <cell r="AN2684">
            <v>3</v>
          </cell>
          <cell r="AO2684">
            <v>4</v>
          </cell>
          <cell r="AP2684">
            <v>0</v>
          </cell>
          <cell r="AQ2684">
            <v>0</v>
          </cell>
          <cell r="AR2684">
            <v>3</v>
          </cell>
          <cell r="BF2684">
            <v>2.7</v>
          </cell>
          <cell r="BG2684">
            <v>2.7</v>
          </cell>
          <cell r="BH2684">
            <v>2.7</v>
          </cell>
          <cell r="BI2684">
            <v>4</v>
          </cell>
          <cell r="BJ2684">
            <v>0</v>
          </cell>
        </row>
        <row r="2685">
          <cell r="D2685" t="str">
            <v>Prešovská univerzita v Prešove</v>
          </cell>
          <cell r="E2685" t="str">
            <v>Filozofická fakulta</v>
          </cell>
          <cell r="AN2685">
            <v>6</v>
          </cell>
          <cell r="AO2685">
            <v>7</v>
          </cell>
          <cell r="AP2685">
            <v>0</v>
          </cell>
          <cell r="AQ2685">
            <v>0</v>
          </cell>
          <cell r="AR2685">
            <v>6</v>
          </cell>
          <cell r="BF2685">
            <v>9</v>
          </cell>
          <cell r="BG2685">
            <v>9.81</v>
          </cell>
          <cell r="BH2685">
            <v>7.3574999999999999</v>
          </cell>
          <cell r="BI2685">
            <v>7</v>
          </cell>
          <cell r="BJ2685">
            <v>0</v>
          </cell>
        </row>
        <row r="2686">
          <cell r="D2686" t="str">
            <v>Prešovská univerzita v Prešove</v>
          </cell>
          <cell r="E2686" t="str">
            <v>Filozofická fakulta</v>
          </cell>
          <cell r="AN2686">
            <v>25</v>
          </cell>
          <cell r="AO2686">
            <v>25.5</v>
          </cell>
          <cell r="AP2686">
            <v>0</v>
          </cell>
          <cell r="AQ2686">
            <v>0</v>
          </cell>
          <cell r="AR2686">
            <v>25</v>
          </cell>
          <cell r="BF2686">
            <v>37.5</v>
          </cell>
          <cell r="BG2686">
            <v>40.875</v>
          </cell>
          <cell r="BH2686">
            <v>38.539285714285711</v>
          </cell>
          <cell r="BI2686">
            <v>25.5</v>
          </cell>
          <cell r="BJ2686">
            <v>0</v>
          </cell>
        </row>
        <row r="2687">
          <cell r="D2687" t="str">
            <v>Prešovská univerzita v Prešove</v>
          </cell>
          <cell r="E2687" t="str">
            <v>Filozofická fakulta</v>
          </cell>
          <cell r="AN2687">
            <v>12.5</v>
          </cell>
          <cell r="AO2687">
            <v>15</v>
          </cell>
          <cell r="AP2687">
            <v>0</v>
          </cell>
          <cell r="AQ2687">
            <v>0</v>
          </cell>
          <cell r="AR2687">
            <v>12.5</v>
          </cell>
          <cell r="BF2687">
            <v>10.25</v>
          </cell>
          <cell r="BG2687">
            <v>11.172500000000001</v>
          </cell>
          <cell r="BH2687">
            <v>11.172500000000001</v>
          </cell>
          <cell r="BI2687">
            <v>15</v>
          </cell>
          <cell r="BJ2687">
            <v>0</v>
          </cell>
        </row>
        <row r="2688">
          <cell r="D2688" t="str">
            <v>Prešovská univerzita v Prešove</v>
          </cell>
          <cell r="E2688" t="str">
            <v>Filozofická fakulta</v>
          </cell>
          <cell r="AN2688">
            <v>46</v>
          </cell>
          <cell r="AO2688">
            <v>46.5</v>
          </cell>
          <cell r="AP2688">
            <v>0</v>
          </cell>
          <cell r="AQ2688">
            <v>0</v>
          </cell>
          <cell r="AR2688">
            <v>46</v>
          </cell>
          <cell r="BF2688">
            <v>69</v>
          </cell>
          <cell r="BG2688">
            <v>75.210000000000008</v>
          </cell>
          <cell r="BH2688">
            <v>62.966511627906975</v>
          </cell>
          <cell r="BI2688">
            <v>46.5</v>
          </cell>
          <cell r="BJ2688">
            <v>0</v>
          </cell>
        </row>
        <row r="2689">
          <cell r="D2689" t="str">
            <v>Prešovská univerzita v Prešove</v>
          </cell>
          <cell r="E2689" t="str">
            <v>Filozofická fakulta</v>
          </cell>
          <cell r="AN2689">
            <v>30.5</v>
          </cell>
          <cell r="AO2689">
            <v>30.5</v>
          </cell>
          <cell r="AP2689">
            <v>0</v>
          </cell>
          <cell r="AQ2689">
            <v>0</v>
          </cell>
          <cell r="AR2689">
            <v>30.5</v>
          </cell>
          <cell r="BF2689">
            <v>45.75</v>
          </cell>
          <cell r="BG2689">
            <v>49.867500000000007</v>
          </cell>
          <cell r="BH2689">
            <v>42.909244186046514</v>
          </cell>
          <cell r="BI2689">
            <v>30.5</v>
          </cell>
          <cell r="BJ2689">
            <v>0</v>
          </cell>
        </row>
        <row r="2690">
          <cell r="D2690" t="str">
            <v>Prešovská univerzita v Prešove</v>
          </cell>
          <cell r="E2690" t="str">
            <v>Filozofická fakulta</v>
          </cell>
          <cell r="AN2690">
            <v>7</v>
          </cell>
          <cell r="AO2690">
            <v>9</v>
          </cell>
          <cell r="AP2690">
            <v>0</v>
          </cell>
          <cell r="AQ2690">
            <v>0</v>
          </cell>
          <cell r="AR2690">
            <v>7</v>
          </cell>
          <cell r="BF2690">
            <v>10.5</v>
          </cell>
          <cell r="BG2690">
            <v>10.5</v>
          </cell>
          <cell r="BH2690">
            <v>7.5</v>
          </cell>
          <cell r="BI2690">
            <v>9</v>
          </cell>
          <cell r="BJ2690">
            <v>0</v>
          </cell>
        </row>
        <row r="2691">
          <cell r="D2691" t="str">
            <v>Prešovská univerzita v Prešove</v>
          </cell>
          <cell r="E2691" t="str">
            <v>Filozofická fakulta</v>
          </cell>
          <cell r="AN2691">
            <v>16.5</v>
          </cell>
          <cell r="AO2691">
            <v>17.5</v>
          </cell>
          <cell r="AP2691">
            <v>0</v>
          </cell>
          <cell r="AQ2691">
            <v>0</v>
          </cell>
          <cell r="AR2691">
            <v>16.5</v>
          </cell>
          <cell r="BF2691">
            <v>24.75</v>
          </cell>
          <cell r="BG2691">
            <v>37.125</v>
          </cell>
          <cell r="BH2691">
            <v>33.217105263157897</v>
          </cell>
          <cell r="BI2691">
            <v>17.5</v>
          </cell>
          <cell r="BJ2691">
            <v>0</v>
          </cell>
        </row>
        <row r="2692">
          <cell r="D2692" t="str">
            <v>Prešovská univerzita v Prešove</v>
          </cell>
          <cell r="E2692" t="str">
            <v>Filozofická fakulta</v>
          </cell>
          <cell r="AN2692">
            <v>5</v>
          </cell>
          <cell r="AO2692">
            <v>6</v>
          </cell>
          <cell r="AP2692">
            <v>0</v>
          </cell>
          <cell r="AQ2692">
            <v>0</v>
          </cell>
          <cell r="AR2692">
            <v>5</v>
          </cell>
          <cell r="BF2692">
            <v>7.5</v>
          </cell>
          <cell r="BG2692">
            <v>11.25</v>
          </cell>
          <cell r="BH2692">
            <v>10</v>
          </cell>
          <cell r="BI2692">
            <v>6</v>
          </cell>
          <cell r="BJ2692">
            <v>0</v>
          </cell>
        </row>
        <row r="2693">
          <cell r="D2693" t="str">
            <v>Prešovská univerzita v Prešove</v>
          </cell>
          <cell r="E2693" t="str">
            <v>Filozofická fakulta</v>
          </cell>
          <cell r="AN2693">
            <v>20</v>
          </cell>
          <cell r="AO2693">
            <v>22</v>
          </cell>
          <cell r="AP2693">
            <v>0</v>
          </cell>
          <cell r="AQ2693">
            <v>0</v>
          </cell>
          <cell r="AR2693">
            <v>20</v>
          </cell>
          <cell r="BF2693">
            <v>30</v>
          </cell>
          <cell r="BG2693">
            <v>31.200000000000003</v>
          </cell>
          <cell r="BH2693">
            <v>31.200000000000003</v>
          </cell>
          <cell r="BI2693">
            <v>22</v>
          </cell>
          <cell r="BJ2693">
            <v>0</v>
          </cell>
        </row>
        <row r="2694">
          <cell r="D2694" t="str">
            <v>Prešovská univerzita v Prešove</v>
          </cell>
          <cell r="E2694" t="str">
            <v>Filozofická fakulta</v>
          </cell>
          <cell r="AN2694">
            <v>15</v>
          </cell>
          <cell r="AO2694">
            <v>19</v>
          </cell>
          <cell r="AP2694">
            <v>0</v>
          </cell>
          <cell r="AQ2694">
            <v>0</v>
          </cell>
          <cell r="AR2694">
            <v>15</v>
          </cell>
          <cell r="BF2694">
            <v>12.899999999999999</v>
          </cell>
          <cell r="BG2694">
            <v>12.899999999999999</v>
          </cell>
          <cell r="BH2694">
            <v>12.899999999999999</v>
          </cell>
          <cell r="BI2694">
            <v>19</v>
          </cell>
          <cell r="BJ2694">
            <v>0</v>
          </cell>
        </row>
        <row r="2695">
          <cell r="D2695" t="str">
            <v>Prešovská univerzita v Prešove</v>
          </cell>
          <cell r="E2695" t="str">
            <v>Filozofická fakulta</v>
          </cell>
          <cell r="AN2695">
            <v>68</v>
          </cell>
          <cell r="AO2695">
            <v>71</v>
          </cell>
          <cell r="AP2695">
            <v>0</v>
          </cell>
          <cell r="AQ2695">
            <v>0</v>
          </cell>
          <cell r="AR2695">
            <v>68</v>
          </cell>
          <cell r="BF2695">
            <v>61.099999999999994</v>
          </cell>
          <cell r="BG2695">
            <v>72.708999999999989</v>
          </cell>
          <cell r="BH2695">
            <v>72.708999999999989</v>
          </cell>
          <cell r="BI2695">
            <v>71</v>
          </cell>
          <cell r="BJ2695">
            <v>0</v>
          </cell>
        </row>
        <row r="2696">
          <cell r="D2696" t="str">
            <v>Prešovská univerzita v Prešove</v>
          </cell>
          <cell r="E2696" t="str">
            <v>Filozofická fakulta</v>
          </cell>
          <cell r="AN2696">
            <v>4.5</v>
          </cell>
          <cell r="AO2696">
            <v>6.5</v>
          </cell>
          <cell r="AP2696">
            <v>0</v>
          </cell>
          <cell r="AQ2696">
            <v>0</v>
          </cell>
          <cell r="AR2696">
            <v>4.5</v>
          </cell>
          <cell r="BF2696">
            <v>3.75</v>
          </cell>
          <cell r="BG2696">
            <v>4.0875000000000004</v>
          </cell>
          <cell r="BH2696">
            <v>4.0875000000000004</v>
          </cell>
          <cell r="BI2696">
            <v>6.5</v>
          </cell>
          <cell r="BJ2696">
            <v>0</v>
          </cell>
        </row>
        <row r="2697">
          <cell r="D2697" t="str">
            <v>Prešovská univerzita v Prešove</v>
          </cell>
          <cell r="E2697" t="str">
            <v>Filozofická fakulta</v>
          </cell>
          <cell r="AN2697">
            <v>1</v>
          </cell>
          <cell r="AO2697">
            <v>3</v>
          </cell>
          <cell r="AP2697">
            <v>0</v>
          </cell>
          <cell r="AQ2697">
            <v>0</v>
          </cell>
          <cell r="AR2697">
            <v>1</v>
          </cell>
          <cell r="BF2697">
            <v>1</v>
          </cell>
          <cell r="BG2697">
            <v>1.04</v>
          </cell>
          <cell r="BH2697">
            <v>1.04</v>
          </cell>
          <cell r="BI2697">
            <v>3</v>
          </cell>
          <cell r="BJ2697">
            <v>0</v>
          </cell>
        </row>
        <row r="2698">
          <cell r="D2698" t="str">
            <v>Prešovská univerzita v Prešove</v>
          </cell>
          <cell r="E2698" t="str">
            <v>Filozofická fakulta</v>
          </cell>
          <cell r="AN2698">
            <v>44</v>
          </cell>
          <cell r="AO2698">
            <v>47</v>
          </cell>
          <cell r="AP2698">
            <v>0</v>
          </cell>
          <cell r="AQ2698">
            <v>0</v>
          </cell>
          <cell r="AR2698">
            <v>44</v>
          </cell>
          <cell r="BF2698">
            <v>37.700000000000003</v>
          </cell>
          <cell r="BG2698">
            <v>37.700000000000003</v>
          </cell>
          <cell r="BH2698">
            <v>37.700000000000003</v>
          </cell>
          <cell r="BI2698">
            <v>47</v>
          </cell>
          <cell r="BJ2698">
            <v>0</v>
          </cell>
        </row>
        <row r="2699">
          <cell r="D2699" t="str">
            <v>Prešovská univerzita v Prešove</v>
          </cell>
          <cell r="E2699" t="str">
            <v>Filozofická fakulta</v>
          </cell>
          <cell r="AN2699">
            <v>16</v>
          </cell>
          <cell r="AO2699">
            <v>17</v>
          </cell>
          <cell r="AP2699">
            <v>0</v>
          </cell>
          <cell r="AQ2699">
            <v>0</v>
          </cell>
          <cell r="AR2699">
            <v>16</v>
          </cell>
          <cell r="BF2699">
            <v>24</v>
          </cell>
          <cell r="BG2699">
            <v>24</v>
          </cell>
          <cell r="BH2699">
            <v>8</v>
          </cell>
          <cell r="BI2699">
            <v>17</v>
          </cell>
          <cell r="BJ2699">
            <v>0</v>
          </cell>
        </row>
        <row r="2700">
          <cell r="D2700" t="str">
            <v>Prešovská univerzita v Prešove</v>
          </cell>
          <cell r="E2700" t="str">
            <v>Filozofická fakulta</v>
          </cell>
          <cell r="AN2700">
            <v>17</v>
          </cell>
          <cell r="AO2700">
            <v>19</v>
          </cell>
          <cell r="AP2700">
            <v>0</v>
          </cell>
          <cell r="AQ2700">
            <v>0</v>
          </cell>
          <cell r="AR2700">
            <v>17</v>
          </cell>
          <cell r="BF2700">
            <v>12.799999999999999</v>
          </cell>
          <cell r="BG2700">
            <v>12.799999999999999</v>
          </cell>
          <cell r="BH2700">
            <v>12.799999999999999</v>
          </cell>
          <cell r="BI2700">
            <v>19</v>
          </cell>
          <cell r="BJ2700">
            <v>0</v>
          </cell>
        </row>
        <row r="2701">
          <cell r="D2701" t="str">
            <v>Prešovská univerzita v Prešove</v>
          </cell>
          <cell r="E2701" t="str">
            <v>Filozofická fakulta</v>
          </cell>
          <cell r="AN2701">
            <v>10</v>
          </cell>
          <cell r="AO2701">
            <v>11</v>
          </cell>
          <cell r="AP2701">
            <v>0</v>
          </cell>
          <cell r="AQ2701">
            <v>0</v>
          </cell>
          <cell r="AR2701">
            <v>10</v>
          </cell>
          <cell r="BF2701">
            <v>7.8999999999999995</v>
          </cell>
          <cell r="BG2701">
            <v>7.8999999999999995</v>
          </cell>
          <cell r="BH2701">
            <v>7.8999999999999995</v>
          </cell>
          <cell r="BI2701">
            <v>11</v>
          </cell>
          <cell r="BJ2701">
            <v>0</v>
          </cell>
        </row>
        <row r="2702">
          <cell r="D2702" t="str">
            <v>Prešovská univerzita v Prešove</v>
          </cell>
          <cell r="E2702" t="str">
            <v>Filozofická fakulta</v>
          </cell>
          <cell r="AN2702">
            <v>4</v>
          </cell>
          <cell r="AO2702">
            <v>4</v>
          </cell>
          <cell r="AP2702">
            <v>0</v>
          </cell>
          <cell r="AQ2702">
            <v>0</v>
          </cell>
          <cell r="AR2702">
            <v>4</v>
          </cell>
          <cell r="BF2702">
            <v>3.7</v>
          </cell>
          <cell r="BG2702">
            <v>3.7</v>
          </cell>
          <cell r="BH2702">
            <v>2.8366666666666669</v>
          </cell>
          <cell r="BI2702">
            <v>4</v>
          </cell>
          <cell r="BJ2702">
            <v>0</v>
          </cell>
        </row>
        <row r="2703">
          <cell r="D2703" t="str">
            <v>Prešovská univerzita v Prešove</v>
          </cell>
          <cell r="E2703" t="str">
            <v>Filozofická fakulta</v>
          </cell>
          <cell r="AN2703">
            <v>58</v>
          </cell>
          <cell r="AO2703">
            <v>61</v>
          </cell>
          <cell r="AP2703">
            <v>0</v>
          </cell>
          <cell r="AQ2703">
            <v>0</v>
          </cell>
          <cell r="AR2703">
            <v>58</v>
          </cell>
          <cell r="BF2703">
            <v>50.8</v>
          </cell>
          <cell r="BG2703">
            <v>50.8</v>
          </cell>
          <cell r="BH2703">
            <v>50.8</v>
          </cell>
          <cell r="BI2703">
            <v>61</v>
          </cell>
          <cell r="BJ2703">
            <v>0</v>
          </cell>
        </row>
        <row r="2704">
          <cell r="D2704" t="str">
            <v>Prešovská univerzita v Prešove</v>
          </cell>
          <cell r="E2704" t="str">
            <v>Filozofická fakulta</v>
          </cell>
          <cell r="AN2704">
            <v>7.5</v>
          </cell>
          <cell r="AO2704">
            <v>8</v>
          </cell>
          <cell r="AP2704">
            <v>0</v>
          </cell>
          <cell r="AQ2704">
            <v>0</v>
          </cell>
          <cell r="AR2704">
            <v>7.5</v>
          </cell>
          <cell r="BF2704">
            <v>6.4499999999999993</v>
          </cell>
          <cell r="BG2704">
            <v>9.6749999999999989</v>
          </cell>
          <cell r="BH2704">
            <v>9.6749999999999989</v>
          </cell>
          <cell r="BI2704">
            <v>8</v>
          </cell>
          <cell r="BJ2704">
            <v>0</v>
          </cell>
        </row>
        <row r="2705">
          <cell r="D2705" t="str">
            <v>Prešovská univerzita v Prešove</v>
          </cell>
          <cell r="E2705" t="str">
            <v>Filozofická fakulta</v>
          </cell>
          <cell r="AN2705">
            <v>7</v>
          </cell>
          <cell r="AO2705">
            <v>7</v>
          </cell>
          <cell r="AP2705">
            <v>0</v>
          </cell>
          <cell r="AQ2705">
            <v>0</v>
          </cell>
          <cell r="AR2705">
            <v>7</v>
          </cell>
          <cell r="BF2705">
            <v>5.1999999999999993</v>
          </cell>
          <cell r="BG2705">
            <v>5.1999999999999993</v>
          </cell>
          <cell r="BH2705">
            <v>4.4296296296296287</v>
          </cell>
          <cell r="BI2705">
            <v>7</v>
          </cell>
          <cell r="BJ2705">
            <v>0</v>
          </cell>
        </row>
        <row r="2706">
          <cell r="D2706" t="str">
            <v>Prešovská univerzita v Prešove</v>
          </cell>
          <cell r="E2706" t="str">
            <v>Filozofická fakulta</v>
          </cell>
          <cell r="AN2706">
            <v>9</v>
          </cell>
          <cell r="AO2706">
            <v>10</v>
          </cell>
          <cell r="AP2706">
            <v>0</v>
          </cell>
          <cell r="AQ2706">
            <v>0</v>
          </cell>
          <cell r="AR2706">
            <v>9</v>
          </cell>
          <cell r="BF2706">
            <v>8.4</v>
          </cell>
          <cell r="BG2706">
            <v>8.4</v>
          </cell>
          <cell r="BH2706">
            <v>8.4</v>
          </cell>
          <cell r="BI2706">
            <v>10</v>
          </cell>
          <cell r="BJ2706">
            <v>0</v>
          </cell>
        </row>
        <row r="2707">
          <cell r="D2707" t="str">
            <v>Prešovská univerzita v Prešove</v>
          </cell>
          <cell r="E2707" t="str">
            <v>Gréckokatolícka teologická fakulta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R2707">
            <v>0</v>
          </cell>
          <cell r="BF2707">
            <v>0</v>
          </cell>
          <cell r="BG2707">
            <v>0</v>
          </cell>
          <cell r="BH2707">
            <v>0</v>
          </cell>
          <cell r="BI2707">
            <v>63</v>
          </cell>
          <cell r="BJ2707">
            <v>0</v>
          </cell>
        </row>
        <row r="2708">
          <cell r="D2708" t="str">
            <v>Prešovská univerzita v Prešove</v>
          </cell>
          <cell r="E2708" t="str">
            <v>Gréckokatolícka teologická fakulta</v>
          </cell>
          <cell r="AN2708">
            <v>4</v>
          </cell>
          <cell r="AO2708">
            <v>5</v>
          </cell>
          <cell r="AP2708">
            <v>0</v>
          </cell>
          <cell r="AQ2708">
            <v>0</v>
          </cell>
          <cell r="AR2708">
            <v>4</v>
          </cell>
          <cell r="BF2708">
            <v>4</v>
          </cell>
          <cell r="BG2708">
            <v>4</v>
          </cell>
          <cell r="BH2708">
            <v>3.0666666666666669</v>
          </cell>
          <cell r="BI2708">
            <v>5</v>
          </cell>
          <cell r="BJ2708">
            <v>0</v>
          </cell>
        </row>
        <row r="2709">
          <cell r="D2709" t="str">
            <v>Prešovská univerzita v Prešove</v>
          </cell>
          <cell r="E2709" t="str">
            <v>Gréckokatolícka teologická fakulta</v>
          </cell>
          <cell r="AN2709">
            <v>0</v>
          </cell>
          <cell r="AO2709">
            <v>0</v>
          </cell>
          <cell r="AP2709">
            <v>0</v>
          </cell>
          <cell r="AQ2709">
            <v>0</v>
          </cell>
          <cell r="AR2709">
            <v>0</v>
          </cell>
          <cell r="BF2709">
            <v>0</v>
          </cell>
          <cell r="BG2709">
            <v>0</v>
          </cell>
          <cell r="BH2709">
            <v>0</v>
          </cell>
          <cell r="BI2709">
            <v>32</v>
          </cell>
          <cell r="BJ2709">
            <v>0</v>
          </cell>
        </row>
        <row r="2710">
          <cell r="D2710" t="str">
            <v>Prešovská univerzita v Prešove</v>
          </cell>
          <cell r="E2710" t="str">
            <v>Gréckokatolícka teologická fakulta</v>
          </cell>
          <cell r="AN2710">
            <v>9</v>
          </cell>
          <cell r="AO2710">
            <v>10</v>
          </cell>
          <cell r="AP2710">
            <v>0</v>
          </cell>
          <cell r="AQ2710">
            <v>0</v>
          </cell>
          <cell r="AR2710">
            <v>9</v>
          </cell>
          <cell r="BF2710">
            <v>13.5</v>
          </cell>
          <cell r="BG2710">
            <v>13.5</v>
          </cell>
          <cell r="BH2710">
            <v>6.75</v>
          </cell>
          <cell r="BI2710">
            <v>10</v>
          </cell>
          <cell r="BJ2710">
            <v>0</v>
          </cell>
        </row>
        <row r="2711">
          <cell r="D2711" t="str">
            <v>Prešovská univerzita v Prešove</v>
          </cell>
          <cell r="E2711" t="str">
            <v>Gréckokatolícka teologická fakulta</v>
          </cell>
          <cell r="AN2711">
            <v>38</v>
          </cell>
          <cell r="AO2711">
            <v>41</v>
          </cell>
          <cell r="AP2711">
            <v>0</v>
          </cell>
          <cell r="AQ2711">
            <v>0</v>
          </cell>
          <cell r="AR2711">
            <v>38</v>
          </cell>
          <cell r="BF2711">
            <v>57</v>
          </cell>
          <cell r="BG2711">
            <v>57</v>
          </cell>
          <cell r="BH2711">
            <v>35.205882352941181</v>
          </cell>
          <cell r="BI2711">
            <v>41</v>
          </cell>
          <cell r="BJ2711">
            <v>0</v>
          </cell>
        </row>
        <row r="2712">
          <cell r="D2712" t="str">
            <v>Prešovská univerzita v Prešove</v>
          </cell>
          <cell r="E2712" t="str">
            <v>Gréckokatolícka teologická fakulta</v>
          </cell>
          <cell r="AN2712">
            <v>0</v>
          </cell>
          <cell r="AO2712">
            <v>0</v>
          </cell>
          <cell r="AP2712">
            <v>0</v>
          </cell>
          <cell r="AQ2712">
            <v>0</v>
          </cell>
          <cell r="AR2712">
            <v>0</v>
          </cell>
          <cell r="BF2712">
            <v>0</v>
          </cell>
          <cell r="BG2712">
            <v>0</v>
          </cell>
          <cell r="BH2712">
            <v>0</v>
          </cell>
          <cell r="BI2712">
            <v>11</v>
          </cell>
          <cell r="BJ2712">
            <v>0</v>
          </cell>
        </row>
        <row r="2713">
          <cell r="D2713" t="str">
            <v>Prešovská univerzita v Prešove</v>
          </cell>
          <cell r="E2713" t="str">
            <v>Gréckokatolícka teologická fakulta</v>
          </cell>
          <cell r="AN2713">
            <v>0</v>
          </cell>
          <cell r="AO2713">
            <v>0</v>
          </cell>
          <cell r="AP2713">
            <v>0</v>
          </cell>
          <cell r="AQ2713">
            <v>0</v>
          </cell>
          <cell r="AR2713">
            <v>0</v>
          </cell>
          <cell r="BF2713">
            <v>0</v>
          </cell>
          <cell r="BG2713">
            <v>0</v>
          </cell>
          <cell r="BH2713">
            <v>0</v>
          </cell>
          <cell r="BI2713">
            <v>4</v>
          </cell>
          <cell r="BJ2713">
            <v>0</v>
          </cell>
        </row>
        <row r="2714">
          <cell r="D2714" t="str">
            <v>Prešovská univerzita v Prešove</v>
          </cell>
          <cell r="E2714" t="str">
            <v>Fakulta humanitných a prírodných vied</v>
          </cell>
          <cell r="AN2714">
            <v>0</v>
          </cell>
          <cell r="AO2714">
            <v>0</v>
          </cell>
          <cell r="AP2714">
            <v>0</v>
          </cell>
          <cell r="AQ2714">
            <v>0</v>
          </cell>
          <cell r="AR2714">
            <v>0</v>
          </cell>
          <cell r="BF2714">
            <v>0</v>
          </cell>
          <cell r="BG2714">
            <v>0</v>
          </cell>
          <cell r="BH2714">
            <v>0</v>
          </cell>
          <cell r="BI2714">
            <v>30</v>
          </cell>
          <cell r="BJ2714">
            <v>0</v>
          </cell>
        </row>
        <row r="2715">
          <cell r="D2715" t="str">
            <v>Prešovská univerzita v Prešove</v>
          </cell>
          <cell r="E2715" t="str">
            <v>Fakulta humanitných a prírodných vied</v>
          </cell>
          <cell r="AN2715">
            <v>16</v>
          </cell>
          <cell r="AO2715">
            <v>16.5</v>
          </cell>
          <cell r="AP2715">
            <v>0</v>
          </cell>
          <cell r="AQ2715">
            <v>0</v>
          </cell>
          <cell r="AR2715">
            <v>16</v>
          </cell>
          <cell r="BF2715">
            <v>24</v>
          </cell>
          <cell r="BG2715">
            <v>28.56</v>
          </cell>
          <cell r="BH2715">
            <v>19.634999999999998</v>
          </cell>
          <cell r="BI2715">
            <v>16.5</v>
          </cell>
          <cell r="BJ2715">
            <v>0</v>
          </cell>
        </row>
        <row r="2716">
          <cell r="D2716" t="str">
            <v>Prešovská univerzita v Prešove</v>
          </cell>
          <cell r="E2716" t="str">
            <v>Fakulta humanitných a prírodných vied</v>
          </cell>
          <cell r="AN2716">
            <v>29</v>
          </cell>
          <cell r="AO2716">
            <v>30</v>
          </cell>
          <cell r="AP2716">
            <v>0</v>
          </cell>
          <cell r="AQ2716">
            <v>0</v>
          </cell>
          <cell r="AR2716">
            <v>29</v>
          </cell>
          <cell r="BF2716">
            <v>43.5</v>
          </cell>
          <cell r="BG2716">
            <v>64.38</v>
          </cell>
          <cell r="BH2716">
            <v>40.969090909090909</v>
          </cell>
          <cell r="BI2716">
            <v>30</v>
          </cell>
          <cell r="BJ2716">
            <v>0</v>
          </cell>
        </row>
        <row r="2717">
          <cell r="D2717" t="str">
            <v>Prešovská univerzita v Prešove</v>
          </cell>
          <cell r="E2717" t="str">
            <v>Fakulta humanitných a prírodných vied</v>
          </cell>
          <cell r="AN2717">
            <v>38.5</v>
          </cell>
          <cell r="AO2717">
            <v>40</v>
          </cell>
          <cell r="AP2717">
            <v>0</v>
          </cell>
          <cell r="AQ2717">
            <v>0</v>
          </cell>
          <cell r="AR2717">
            <v>38.5</v>
          </cell>
          <cell r="BF2717">
            <v>57.75</v>
          </cell>
          <cell r="BG2717">
            <v>83.16</v>
          </cell>
          <cell r="BH2717">
            <v>69.674594594594595</v>
          </cell>
          <cell r="BI2717">
            <v>40</v>
          </cell>
          <cell r="BJ2717">
            <v>0</v>
          </cell>
        </row>
        <row r="2718">
          <cell r="D2718" t="str">
            <v>Prešovská univerzita v Prešove</v>
          </cell>
          <cell r="E2718" t="str">
            <v>Fakulta humanitných a prírodných vied</v>
          </cell>
          <cell r="AN2718">
            <v>12</v>
          </cell>
          <cell r="AO2718">
            <v>15.5</v>
          </cell>
          <cell r="AP2718">
            <v>0</v>
          </cell>
          <cell r="AQ2718">
            <v>0</v>
          </cell>
          <cell r="AR2718">
            <v>12</v>
          </cell>
          <cell r="BF2718">
            <v>10.5</v>
          </cell>
          <cell r="BG2718">
            <v>15.12</v>
          </cell>
          <cell r="BH2718">
            <v>15.12</v>
          </cell>
          <cell r="BI2718">
            <v>15.5</v>
          </cell>
          <cell r="BJ2718">
            <v>0</v>
          </cell>
        </row>
        <row r="2719">
          <cell r="D2719" t="str">
            <v>Prešovská univerzita v Prešove</v>
          </cell>
          <cell r="E2719" t="str">
            <v>Fakulta humanitných a prírodných vied</v>
          </cell>
          <cell r="AN2719">
            <v>20</v>
          </cell>
          <cell r="AO2719">
            <v>21</v>
          </cell>
          <cell r="AP2719">
            <v>0</v>
          </cell>
          <cell r="AQ2719">
            <v>0</v>
          </cell>
          <cell r="AR2719">
            <v>20</v>
          </cell>
          <cell r="BF2719">
            <v>15.2</v>
          </cell>
          <cell r="BG2719">
            <v>18.087999999999997</v>
          </cell>
          <cell r="BH2719">
            <v>18.087999999999997</v>
          </cell>
          <cell r="BI2719">
            <v>21</v>
          </cell>
          <cell r="BJ2719">
            <v>0</v>
          </cell>
        </row>
        <row r="2720">
          <cell r="D2720" t="str">
            <v>Prešovská univerzita v Prešove</v>
          </cell>
          <cell r="E2720" t="str">
            <v>Fakulta humanitných a prírodných vied</v>
          </cell>
          <cell r="AN2720">
            <v>13</v>
          </cell>
          <cell r="AO2720">
            <v>16</v>
          </cell>
          <cell r="AP2720">
            <v>16</v>
          </cell>
          <cell r="AQ2720">
            <v>13</v>
          </cell>
          <cell r="AR2720">
            <v>13</v>
          </cell>
          <cell r="BF2720">
            <v>11.8</v>
          </cell>
          <cell r="BG2720">
            <v>17.464000000000002</v>
          </cell>
          <cell r="BH2720">
            <v>17.464000000000002</v>
          </cell>
          <cell r="BI2720">
            <v>16</v>
          </cell>
          <cell r="BJ2720">
            <v>0</v>
          </cell>
        </row>
        <row r="2721">
          <cell r="D2721" t="str">
            <v>Prešovská univerzita v Prešove</v>
          </cell>
          <cell r="E2721" t="str">
            <v>Fakulta humanitných a prírodných vied</v>
          </cell>
          <cell r="AN2721">
            <v>4</v>
          </cell>
          <cell r="AO2721">
            <v>4</v>
          </cell>
          <cell r="AP2721">
            <v>4</v>
          </cell>
          <cell r="AQ2721">
            <v>4</v>
          </cell>
          <cell r="AR2721">
            <v>4</v>
          </cell>
          <cell r="BF2721">
            <v>3.4</v>
          </cell>
          <cell r="BG2721">
            <v>5.032</v>
          </cell>
          <cell r="BH2721">
            <v>5.032</v>
          </cell>
          <cell r="BI2721">
            <v>4</v>
          </cell>
          <cell r="BJ2721">
            <v>0</v>
          </cell>
        </row>
        <row r="2722">
          <cell r="D2722" t="str">
            <v>Prešovská univerzita v Prešove</v>
          </cell>
          <cell r="E2722" t="str">
            <v>Fakulta manažmentu</v>
          </cell>
          <cell r="AN2722">
            <v>2</v>
          </cell>
          <cell r="AO2722">
            <v>0</v>
          </cell>
          <cell r="AP2722">
            <v>0</v>
          </cell>
          <cell r="AQ2722">
            <v>0</v>
          </cell>
          <cell r="AR2722">
            <v>2</v>
          </cell>
          <cell r="BF2722">
            <v>6</v>
          </cell>
          <cell r="BG2722">
            <v>12.78</v>
          </cell>
          <cell r="BH2722">
            <v>11.2464</v>
          </cell>
          <cell r="BI2722">
            <v>2</v>
          </cell>
          <cell r="BJ2722">
            <v>2</v>
          </cell>
        </row>
        <row r="2723">
          <cell r="D2723" t="str">
            <v>Prešovská univerzita v Prešove</v>
          </cell>
          <cell r="E2723" t="str">
            <v>Fakulta manažmentu</v>
          </cell>
          <cell r="AN2723">
            <v>18</v>
          </cell>
          <cell r="AO2723">
            <v>19</v>
          </cell>
          <cell r="AP2723">
            <v>0</v>
          </cell>
          <cell r="AQ2723">
            <v>0</v>
          </cell>
          <cell r="AR2723">
            <v>18</v>
          </cell>
          <cell r="BF2723">
            <v>27</v>
          </cell>
          <cell r="BG2723">
            <v>39.96</v>
          </cell>
          <cell r="BH2723">
            <v>27.971999999999998</v>
          </cell>
          <cell r="BI2723">
            <v>19</v>
          </cell>
          <cell r="BJ2723">
            <v>0</v>
          </cell>
        </row>
        <row r="2724">
          <cell r="D2724" t="str">
            <v>Prešovská univerzita v Prešove</v>
          </cell>
          <cell r="E2724" t="str">
            <v>Fakulta manažmentu</v>
          </cell>
          <cell r="AN2724">
            <v>20</v>
          </cell>
          <cell r="AO2724">
            <v>24</v>
          </cell>
          <cell r="AP2724">
            <v>24</v>
          </cell>
          <cell r="AQ2724">
            <v>20</v>
          </cell>
          <cell r="AR2724">
            <v>20</v>
          </cell>
          <cell r="BF2724">
            <v>17.899999999999999</v>
          </cell>
          <cell r="BG2724">
            <v>26.491999999999997</v>
          </cell>
          <cell r="BH2724">
            <v>26.491999999999997</v>
          </cell>
          <cell r="BI2724">
            <v>24</v>
          </cell>
          <cell r="BJ2724">
            <v>0</v>
          </cell>
        </row>
        <row r="2725">
          <cell r="D2725" t="str">
            <v>Prešovská univerzita v Prešove</v>
          </cell>
          <cell r="E2725" t="str">
            <v>Pedagogická fakulta</v>
          </cell>
          <cell r="AN2725">
            <v>0</v>
          </cell>
          <cell r="AO2725">
            <v>0</v>
          </cell>
          <cell r="AP2725">
            <v>0</v>
          </cell>
          <cell r="AQ2725">
            <v>0</v>
          </cell>
          <cell r="AR2725">
            <v>0</v>
          </cell>
          <cell r="BF2725">
            <v>0</v>
          </cell>
          <cell r="BG2725">
            <v>0</v>
          </cell>
          <cell r="BH2725">
            <v>0</v>
          </cell>
          <cell r="BI2725">
            <v>80</v>
          </cell>
          <cell r="BJ2725">
            <v>0</v>
          </cell>
        </row>
        <row r="2726">
          <cell r="D2726" t="str">
            <v>Prešovská univerzita v Prešove</v>
          </cell>
          <cell r="E2726" t="str">
            <v>Pedagogická fakulta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BF2726">
            <v>0</v>
          </cell>
          <cell r="BG2726">
            <v>0</v>
          </cell>
          <cell r="BH2726">
            <v>0</v>
          </cell>
          <cell r="BI2726">
            <v>22</v>
          </cell>
          <cell r="BJ2726">
            <v>0</v>
          </cell>
        </row>
        <row r="2727">
          <cell r="D2727" t="str">
            <v>Prešovská univerzita v Prešove</v>
          </cell>
          <cell r="E2727" t="str">
            <v>Pedagogická fakulta</v>
          </cell>
          <cell r="AN2727">
            <v>10</v>
          </cell>
          <cell r="AO2727">
            <v>0</v>
          </cell>
          <cell r="AP2727">
            <v>0</v>
          </cell>
          <cell r="AQ2727">
            <v>0</v>
          </cell>
          <cell r="AR2727">
            <v>10</v>
          </cell>
          <cell r="BF2727">
            <v>40</v>
          </cell>
          <cell r="BG2727">
            <v>44</v>
          </cell>
          <cell r="BH2727">
            <v>44</v>
          </cell>
          <cell r="BI2727">
            <v>10</v>
          </cell>
          <cell r="BJ2727">
            <v>10</v>
          </cell>
        </row>
        <row r="2728">
          <cell r="D2728" t="str">
            <v>Prešovská univerzita v Prešove</v>
          </cell>
          <cell r="E2728" t="str">
            <v>Pedagogická fakulta</v>
          </cell>
          <cell r="AN2728">
            <v>3</v>
          </cell>
          <cell r="AO2728">
            <v>0</v>
          </cell>
          <cell r="AP2728">
            <v>0</v>
          </cell>
          <cell r="AQ2728">
            <v>0</v>
          </cell>
          <cell r="AR2728">
            <v>3</v>
          </cell>
          <cell r="BF2728">
            <v>12</v>
          </cell>
          <cell r="BG2728">
            <v>13.200000000000001</v>
          </cell>
          <cell r="BH2728">
            <v>13.200000000000001</v>
          </cell>
          <cell r="BI2728">
            <v>3</v>
          </cell>
          <cell r="BJ2728">
            <v>3</v>
          </cell>
        </row>
        <row r="2729">
          <cell r="D2729" t="str">
            <v>Prešovská univerzita v Prešove</v>
          </cell>
          <cell r="E2729" t="str">
            <v>Pedagogická fakulta</v>
          </cell>
          <cell r="AN2729">
            <v>0</v>
          </cell>
          <cell r="AO2729">
            <v>0</v>
          </cell>
          <cell r="AP2729">
            <v>0</v>
          </cell>
          <cell r="AQ2729">
            <v>0</v>
          </cell>
          <cell r="AR2729">
            <v>0</v>
          </cell>
          <cell r="BF2729">
            <v>0</v>
          </cell>
          <cell r="BG2729">
            <v>0</v>
          </cell>
          <cell r="BH2729">
            <v>0</v>
          </cell>
          <cell r="BI2729">
            <v>17</v>
          </cell>
          <cell r="BJ2729">
            <v>0</v>
          </cell>
        </row>
        <row r="2730">
          <cell r="D2730" t="str">
            <v>Prešovská univerzita v Prešove</v>
          </cell>
          <cell r="E2730" t="str">
            <v>Pedagogická fakulta</v>
          </cell>
          <cell r="AN2730">
            <v>0</v>
          </cell>
          <cell r="AO2730">
            <v>0</v>
          </cell>
          <cell r="AP2730">
            <v>0</v>
          </cell>
          <cell r="AQ2730">
            <v>0</v>
          </cell>
          <cell r="AR2730">
            <v>0</v>
          </cell>
          <cell r="BF2730">
            <v>0</v>
          </cell>
          <cell r="BG2730">
            <v>0</v>
          </cell>
          <cell r="BH2730">
            <v>0</v>
          </cell>
          <cell r="BI2730">
            <v>18</v>
          </cell>
          <cell r="BJ2730">
            <v>0</v>
          </cell>
        </row>
        <row r="2731">
          <cell r="D2731" t="str">
            <v>Prešovská univerzita v Prešove</v>
          </cell>
          <cell r="E2731" t="str">
            <v>Pedagogická fakulta</v>
          </cell>
          <cell r="AN2731">
            <v>37</v>
          </cell>
          <cell r="AO2731">
            <v>37</v>
          </cell>
          <cell r="AP2731">
            <v>0</v>
          </cell>
          <cell r="AQ2731">
            <v>0</v>
          </cell>
          <cell r="AR2731">
            <v>37</v>
          </cell>
          <cell r="BF2731">
            <v>55.5</v>
          </cell>
          <cell r="BG2731">
            <v>66.045000000000002</v>
          </cell>
          <cell r="BH2731">
            <v>63.843499999999999</v>
          </cell>
          <cell r="BI2731">
            <v>37</v>
          </cell>
          <cell r="BJ2731">
            <v>0</v>
          </cell>
        </row>
        <row r="2732">
          <cell r="D2732" t="str">
            <v>Prešovská univerzita v Prešove</v>
          </cell>
          <cell r="E2732" t="str">
            <v>Pedagogická fakulta</v>
          </cell>
          <cell r="AN2732">
            <v>52</v>
          </cell>
          <cell r="AO2732">
            <v>53</v>
          </cell>
          <cell r="AP2732">
            <v>0</v>
          </cell>
          <cell r="AQ2732">
            <v>0</v>
          </cell>
          <cell r="AR2732">
            <v>52</v>
          </cell>
          <cell r="BF2732">
            <v>78</v>
          </cell>
          <cell r="BG2732">
            <v>92.82</v>
          </cell>
          <cell r="BH2732">
            <v>92.82</v>
          </cell>
          <cell r="BI2732">
            <v>53</v>
          </cell>
          <cell r="BJ2732">
            <v>0</v>
          </cell>
        </row>
        <row r="2733">
          <cell r="D2733" t="str">
            <v>Prešovská univerzita v Prešove</v>
          </cell>
          <cell r="E2733" t="str">
            <v>Pedagogická fakulta</v>
          </cell>
          <cell r="AN2733">
            <v>83</v>
          </cell>
          <cell r="AO2733">
            <v>84</v>
          </cell>
          <cell r="AP2733">
            <v>0</v>
          </cell>
          <cell r="AQ2733">
            <v>0</v>
          </cell>
          <cell r="AR2733">
            <v>83</v>
          </cell>
          <cell r="BF2733">
            <v>74.3</v>
          </cell>
          <cell r="BG2733">
            <v>88.416999999999987</v>
          </cell>
          <cell r="BH2733">
            <v>88.416999999999987</v>
          </cell>
          <cell r="BI2733">
            <v>84</v>
          </cell>
          <cell r="BJ2733">
            <v>0</v>
          </cell>
        </row>
        <row r="2734">
          <cell r="D2734" t="str">
            <v>Prešovská univerzita v Prešove</v>
          </cell>
          <cell r="E2734" t="str">
            <v>Pravoslávna bohoslovecká fakulta</v>
          </cell>
          <cell r="AN2734">
            <v>1</v>
          </cell>
          <cell r="AO2734">
            <v>0</v>
          </cell>
          <cell r="AP2734">
            <v>0</v>
          </cell>
          <cell r="AQ2734">
            <v>0</v>
          </cell>
          <cell r="AR2734">
            <v>1</v>
          </cell>
          <cell r="BF2734">
            <v>3</v>
          </cell>
          <cell r="BG2734">
            <v>3.3000000000000003</v>
          </cell>
          <cell r="BH2734">
            <v>3.3000000000000003</v>
          </cell>
          <cell r="BI2734">
            <v>1</v>
          </cell>
          <cell r="BJ2734">
            <v>1</v>
          </cell>
        </row>
        <row r="2735">
          <cell r="D2735" t="str">
            <v>Prešovská univerzita v Prešove</v>
          </cell>
          <cell r="E2735" t="str">
            <v>Pravoslávna bohoslovecká fakulta</v>
          </cell>
          <cell r="AN2735">
            <v>39</v>
          </cell>
          <cell r="AO2735">
            <v>42</v>
          </cell>
          <cell r="AP2735">
            <v>0</v>
          </cell>
          <cell r="AQ2735">
            <v>0</v>
          </cell>
          <cell r="AR2735">
            <v>39</v>
          </cell>
          <cell r="BF2735">
            <v>58.5</v>
          </cell>
          <cell r="BG2735">
            <v>58.5</v>
          </cell>
          <cell r="BH2735">
            <v>48.326086956521742</v>
          </cell>
          <cell r="BI2735">
            <v>42</v>
          </cell>
          <cell r="BJ2735">
            <v>0</v>
          </cell>
        </row>
        <row r="2736">
          <cell r="D2736" t="str">
            <v>Prešovská univerzita v Prešove</v>
          </cell>
          <cell r="E2736" t="str">
            <v>Fakulta športu</v>
          </cell>
          <cell r="AN2736">
            <v>16</v>
          </cell>
          <cell r="AO2736">
            <v>17</v>
          </cell>
          <cell r="AP2736">
            <v>0</v>
          </cell>
          <cell r="AQ2736">
            <v>0</v>
          </cell>
          <cell r="AR2736">
            <v>16</v>
          </cell>
          <cell r="BF2736">
            <v>24</v>
          </cell>
          <cell r="BG2736">
            <v>28.56</v>
          </cell>
          <cell r="BH2736">
            <v>28.56</v>
          </cell>
          <cell r="BI2736">
            <v>17</v>
          </cell>
          <cell r="BJ2736">
            <v>0</v>
          </cell>
        </row>
        <row r="2737">
          <cell r="D2737" t="str">
            <v>Prešovská univerzita v Prešove</v>
          </cell>
          <cell r="E2737" t="str">
            <v>Fakulta športu</v>
          </cell>
          <cell r="AN2737">
            <v>75</v>
          </cell>
          <cell r="AO2737">
            <v>81</v>
          </cell>
          <cell r="AP2737">
            <v>0</v>
          </cell>
          <cell r="AQ2737">
            <v>0</v>
          </cell>
          <cell r="AR2737">
            <v>75</v>
          </cell>
          <cell r="BF2737">
            <v>112.5</v>
          </cell>
          <cell r="BG2737">
            <v>133.875</v>
          </cell>
          <cell r="BH2737">
            <v>117.140625</v>
          </cell>
          <cell r="BI2737">
            <v>81</v>
          </cell>
          <cell r="BJ2737">
            <v>0</v>
          </cell>
        </row>
        <row r="2738">
          <cell r="D2738" t="str">
            <v>Prešovská univerzita v Prešove</v>
          </cell>
          <cell r="E2738" t="str">
            <v>Fakulta zdravotníckych odborov</v>
          </cell>
          <cell r="AN2738">
            <v>0</v>
          </cell>
          <cell r="AO2738">
            <v>0</v>
          </cell>
          <cell r="AP2738">
            <v>0</v>
          </cell>
          <cell r="AQ2738">
            <v>0</v>
          </cell>
          <cell r="AR2738">
            <v>0</v>
          </cell>
          <cell r="BF2738">
            <v>0</v>
          </cell>
          <cell r="BG2738">
            <v>0</v>
          </cell>
          <cell r="BH2738">
            <v>0</v>
          </cell>
          <cell r="BI2738">
            <v>40</v>
          </cell>
          <cell r="BJ2738">
            <v>0</v>
          </cell>
        </row>
        <row r="2739">
          <cell r="D2739" t="str">
            <v>Prešovská univerzita v Prešove</v>
          </cell>
          <cell r="E2739" t="str">
            <v>Fakulta zdravotníckych odborov</v>
          </cell>
          <cell r="AN2739">
            <v>56</v>
          </cell>
          <cell r="AO2739">
            <v>61</v>
          </cell>
          <cell r="AP2739">
            <v>0</v>
          </cell>
          <cell r="AQ2739">
            <v>0</v>
          </cell>
          <cell r="AR2739">
            <v>56</v>
          </cell>
          <cell r="BF2739">
            <v>49.7</v>
          </cell>
          <cell r="BG2739">
            <v>73.555999999999997</v>
          </cell>
          <cell r="BH2739">
            <v>66.550666666666672</v>
          </cell>
          <cell r="BI2739">
            <v>61</v>
          </cell>
          <cell r="BJ2739">
            <v>0</v>
          </cell>
        </row>
        <row r="2740">
          <cell r="D2740" t="str">
            <v>Prešovská univerzita v Prešove</v>
          </cell>
          <cell r="E2740" t="str">
            <v>Fakulta zdravotníckych odborov</v>
          </cell>
          <cell r="AN2740">
            <v>36</v>
          </cell>
          <cell r="AO2740">
            <v>41</v>
          </cell>
          <cell r="AP2740">
            <v>0</v>
          </cell>
          <cell r="AQ2740">
            <v>0</v>
          </cell>
          <cell r="AR2740">
            <v>36</v>
          </cell>
          <cell r="BF2740">
            <v>31.5</v>
          </cell>
          <cell r="BG2740">
            <v>46.62</v>
          </cell>
          <cell r="BH2740">
            <v>43.512</v>
          </cell>
          <cell r="BI2740">
            <v>41</v>
          </cell>
          <cell r="BJ2740">
            <v>0</v>
          </cell>
        </row>
        <row r="2741">
          <cell r="D2741" t="str">
            <v>Prešovská univerzita v Prešove</v>
          </cell>
          <cell r="E2741">
            <v>0</v>
          </cell>
          <cell r="AN2741">
            <v>1</v>
          </cell>
          <cell r="AO2741">
            <v>0</v>
          </cell>
          <cell r="AP2741">
            <v>0</v>
          </cell>
          <cell r="AQ2741">
            <v>0</v>
          </cell>
          <cell r="AR2741">
            <v>1</v>
          </cell>
          <cell r="BF2741">
            <v>3</v>
          </cell>
          <cell r="BG2741">
            <v>3.3000000000000003</v>
          </cell>
          <cell r="BH2741">
            <v>3.3000000000000003</v>
          </cell>
          <cell r="BI2741">
            <v>1</v>
          </cell>
          <cell r="BJ2741">
            <v>1</v>
          </cell>
        </row>
        <row r="2742">
          <cell r="D2742" t="str">
            <v>Prešovská univerzita v Prešove</v>
          </cell>
          <cell r="E2742">
            <v>0</v>
          </cell>
          <cell r="AN2742">
            <v>1.5</v>
          </cell>
          <cell r="AO2742">
            <v>1.5</v>
          </cell>
          <cell r="AP2742">
            <v>0</v>
          </cell>
          <cell r="AQ2742">
            <v>0</v>
          </cell>
          <cell r="AR2742">
            <v>1.5</v>
          </cell>
          <cell r="BF2742">
            <v>1.2</v>
          </cell>
          <cell r="BG2742">
            <v>1.7999999999999998</v>
          </cell>
          <cell r="BH2742">
            <v>0.89999999999999991</v>
          </cell>
          <cell r="BI2742">
            <v>1.5</v>
          </cell>
          <cell r="BJ2742">
            <v>0</v>
          </cell>
        </row>
        <row r="2743">
          <cell r="D2743" t="str">
            <v>Žilinská univerzita v Žiline</v>
          </cell>
          <cell r="E2743" t="str">
            <v>Strojnícka fakulta</v>
          </cell>
          <cell r="AN2743">
            <v>0</v>
          </cell>
          <cell r="AO2743">
            <v>0</v>
          </cell>
          <cell r="AP2743">
            <v>0</v>
          </cell>
          <cell r="AQ2743">
            <v>0</v>
          </cell>
          <cell r="AR2743">
            <v>0</v>
          </cell>
          <cell r="BF2743">
            <v>0</v>
          </cell>
          <cell r="BG2743">
            <v>0</v>
          </cell>
          <cell r="BH2743">
            <v>0</v>
          </cell>
          <cell r="BI2743">
            <v>3</v>
          </cell>
          <cell r="BJ2743">
            <v>0</v>
          </cell>
        </row>
        <row r="2744">
          <cell r="D2744" t="str">
            <v>Vysoká škola DTI</v>
          </cell>
          <cell r="E2744">
            <v>0</v>
          </cell>
          <cell r="AN2744">
            <v>115</v>
          </cell>
          <cell r="AO2744">
            <v>115</v>
          </cell>
          <cell r="AP2744">
            <v>0</v>
          </cell>
          <cell r="AQ2744">
            <v>0</v>
          </cell>
          <cell r="AR2744">
            <v>115</v>
          </cell>
          <cell r="BF2744">
            <v>172.5</v>
          </cell>
          <cell r="BG2744">
            <v>188.02500000000001</v>
          </cell>
          <cell r="BH2744">
            <v>188.02500000000001</v>
          </cell>
          <cell r="BI2744">
            <v>115</v>
          </cell>
          <cell r="BJ2744">
            <v>0</v>
          </cell>
        </row>
        <row r="2745">
          <cell r="D2745" t="str">
            <v>Technická univerzita v Košiciach</v>
          </cell>
          <cell r="E2745" t="str">
            <v>Fakulta baníctva, ekológie, riadenia a geotechnológií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R2745">
            <v>0</v>
          </cell>
          <cell r="BF2745">
            <v>0</v>
          </cell>
          <cell r="BG2745">
            <v>0</v>
          </cell>
          <cell r="BH2745">
            <v>0</v>
          </cell>
          <cell r="BI2745">
            <v>11</v>
          </cell>
          <cell r="BJ2745">
            <v>0</v>
          </cell>
        </row>
        <row r="2746">
          <cell r="D2746" t="str">
            <v>Vysoká škola medzinárodného podnikania ISM Slovakia v Prešove</v>
          </cell>
          <cell r="E2746">
            <v>0</v>
          </cell>
          <cell r="AN2746">
            <v>99</v>
          </cell>
          <cell r="AO2746">
            <v>0</v>
          </cell>
          <cell r="AP2746">
            <v>0</v>
          </cell>
          <cell r="AQ2746">
            <v>0</v>
          </cell>
          <cell r="AR2746">
            <v>0</v>
          </cell>
          <cell r="BF2746">
            <v>0</v>
          </cell>
          <cell r="BG2746">
            <v>0</v>
          </cell>
          <cell r="BH2746">
            <v>0</v>
          </cell>
          <cell r="BI2746">
            <v>99</v>
          </cell>
          <cell r="BJ2746">
            <v>0</v>
          </cell>
        </row>
        <row r="2747">
          <cell r="D2747" t="str">
            <v>Vysoká škola medzinárodného podnikania ISM Slovakia v Prešove</v>
          </cell>
          <cell r="E2747">
            <v>0</v>
          </cell>
          <cell r="AN2747">
            <v>19</v>
          </cell>
          <cell r="AO2747">
            <v>0</v>
          </cell>
          <cell r="AP2747">
            <v>0</v>
          </cell>
          <cell r="AQ2747">
            <v>0</v>
          </cell>
          <cell r="AR2747">
            <v>0</v>
          </cell>
          <cell r="BF2747">
            <v>0</v>
          </cell>
          <cell r="BG2747">
            <v>0</v>
          </cell>
          <cell r="BH2747">
            <v>0</v>
          </cell>
          <cell r="BI2747">
            <v>19</v>
          </cell>
          <cell r="BJ2747">
            <v>0</v>
          </cell>
        </row>
        <row r="2748">
          <cell r="D2748" t="str">
            <v>Vysoká škola medzinárodného podnikania ISM Slovakia v Prešove</v>
          </cell>
          <cell r="E2748">
            <v>0</v>
          </cell>
          <cell r="AN2748">
            <v>18</v>
          </cell>
          <cell r="AO2748">
            <v>18</v>
          </cell>
          <cell r="AP2748">
            <v>0</v>
          </cell>
          <cell r="AQ2748">
            <v>0</v>
          </cell>
          <cell r="AR2748">
            <v>18</v>
          </cell>
          <cell r="BF2748">
            <v>15.899999999999999</v>
          </cell>
          <cell r="BG2748">
            <v>16.535999999999998</v>
          </cell>
          <cell r="BH2748">
            <v>16.535999999999998</v>
          </cell>
          <cell r="BI2748">
            <v>18</v>
          </cell>
          <cell r="BJ2748">
            <v>0</v>
          </cell>
        </row>
        <row r="2749">
          <cell r="D2749" t="str">
            <v>Vysoká škola medzinárodného podnikania ISM Slovakia v Prešove</v>
          </cell>
          <cell r="E2749">
            <v>0</v>
          </cell>
          <cell r="AN2749">
            <v>19</v>
          </cell>
          <cell r="AO2749">
            <v>19</v>
          </cell>
          <cell r="AP2749">
            <v>0</v>
          </cell>
          <cell r="AQ2749">
            <v>0</v>
          </cell>
          <cell r="AR2749">
            <v>19</v>
          </cell>
          <cell r="BF2749">
            <v>18.399999999999999</v>
          </cell>
          <cell r="BG2749">
            <v>18.399999999999999</v>
          </cell>
          <cell r="BH2749">
            <v>18.399999999999999</v>
          </cell>
          <cell r="BI2749">
            <v>19</v>
          </cell>
          <cell r="BJ2749">
            <v>0</v>
          </cell>
        </row>
        <row r="2750">
          <cell r="D2750" t="str">
            <v>Vysoká škola medzinárodného podnikania ISM Slovakia v Prešove</v>
          </cell>
          <cell r="E2750">
            <v>0</v>
          </cell>
          <cell r="AN2750">
            <v>24</v>
          </cell>
          <cell r="AO2750">
            <v>24</v>
          </cell>
          <cell r="AP2750">
            <v>0</v>
          </cell>
          <cell r="AQ2750">
            <v>0</v>
          </cell>
          <cell r="AR2750">
            <v>24</v>
          </cell>
          <cell r="BF2750">
            <v>21</v>
          </cell>
          <cell r="BG2750">
            <v>21</v>
          </cell>
          <cell r="BH2750">
            <v>21</v>
          </cell>
          <cell r="BI2750">
            <v>24</v>
          </cell>
          <cell r="BJ2750">
            <v>0</v>
          </cell>
        </row>
        <row r="2751">
          <cell r="D2751" t="str">
            <v>Technická univerzita v Košiciach</v>
          </cell>
          <cell r="E2751" t="str">
            <v>Strojnícka fakulta</v>
          </cell>
          <cell r="AN2751">
            <v>0</v>
          </cell>
          <cell r="AO2751">
            <v>20</v>
          </cell>
          <cell r="AP2751">
            <v>0</v>
          </cell>
          <cell r="AQ2751">
            <v>0</v>
          </cell>
          <cell r="AR2751">
            <v>0</v>
          </cell>
          <cell r="BF2751">
            <v>0</v>
          </cell>
          <cell r="BG2751">
            <v>0</v>
          </cell>
          <cell r="BH2751">
            <v>0</v>
          </cell>
          <cell r="BI2751">
            <v>20</v>
          </cell>
          <cell r="BJ2751">
            <v>0</v>
          </cell>
        </row>
        <row r="2752">
          <cell r="D2752" t="str">
            <v>Technická univerzita v Košiciach</v>
          </cell>
          <cell r="E2752" t="str">
            <v>Strojnícka fakulta</v>
          </cell>
          <cell r="AN2752">
            <v>0</v>
          </cell>
          <cell r="AO2752">
            <v>52</v>
          </cell>
          <cell r="AP2752">
            <v>52</v>
          </cell>
          <cell r="AQ2752">
            <v>0</v>
          </cell>
          <cell r="AR2752">
            <v>0</v>
          </cell>
          <cell r="BF2752">
            <v>0</v>
          </cell>
          <cell r="BG2752">
            <v>0</v>
          </cell>
          <cell r="BH2752">
            <v>0</v>
          </cell>
          <cell r="BI2752">
            <v>52</v>
          </cell>
          <cell r="BJ2752">
            <v>0</v>
          </cell>
        </row>
        <row r="2753">
          <cell r="D2753" t="str">
            <v>Slovenská technická univerzita v Bratislave</v>
          </cell>
          <cell r="E2753" t="str">
            <v>Stavebná fakulta</v>
          </cell>
          <cell r="AN2753">
            <v>0</v>
          </cell>
          <cell r="AO2753">
            <v>4</v>
          </cell>
          <cell r="AP2753">
            <v>0</v>
          </cell>
          <cell r="AQ2753">
            <v>0</v>
          </cell>
          <cell r="AR2753">
            <v>0</v>
          </cell>
          <cell r="BF2753">
            <v>0</v>
          </cell>
          <cell r="BG2753">
            <v>0</v>
          </cell>
          <cell r="BH2753">
            <v>0</v>
          </cell>
          <cell r="BI2753">
            <v>4</v>
          </cell>
          <cell r="BJ2753">
            <v>0</v>
          </cell>
        </row>
        <row r="2754">
          <cell r="D2754" t="str">
            <v>Univerzita Komenského v Bratislave</v>
          </cell>
          <cell r="E2754" t="str">
            <v>Prírodovedecká fakulta</v>
          </cell>
          <cell r="AN2754">
            <v>47</v>
          </cell>
          <cell r="AO2754">
            <v>48</v>
          </cell>
          <cell r="AP2754">
            <v>0</v>
          </cell>
          <cell r="AQ2754">
            <v>0</v>
          </cell>
          <cell r="AR2754">
            <v>47</v>
          </cell>
          <cell r="BF2754">
            <v>70.5</v>
          </cell>
          <cell r="BG2754">
            <v>104.34</v>
          </cell>
          <cell r="BH2754">
            <v>91.819200000000009</v>
          </cell>
          <cell r="BI2754">
            <v>48</v>
          </cell>
          <cell r="BJ2754">
            <v>0</v>
          </cell>
        </row>
        <row r="2755">
          <cell r="D2755" t="str">
            <v>Technická univerzita v Košiciach</v>
          </cell>
          <cell r="E2755" t="str">
            <v>Fakulta výrobných technológií so sídlom v Prešove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BF2755">
            <v>0</v>
          </cell>
          <cell r="BG2755">
            <v>0</v>
          </cell>
          <cell r="BH2755">
            <v>0</v>
          </cell>
          <cell r="BI2755">
            <v>1</v>
          </cell>
          <cell r="BJ2755">
            <v>0</v>
          </cell>
        </row>
        <row r="2756">
          <cell r="D2756" t="str">
            <v>Univerzita Mateja Bela v Banskej Bystrici</v>
          </cell>
          <cell r="E2756" t="str">
            <v>Fakulta prírodných vied</v>
          </cell>
          <cell r="AN2756">
            <v>3</v>
          </cell>
          <cell r="AO2756">
            <v>0</v>
          </cell>
          <cell r="AP2756">
            <v>0</v>
          </cell>
          <cell r="AQ2756">
            <v>3</v>
          </cell>
          <cell r="AR2756">
            <v>3</v>
          </cell>
          <cell r="BF2756">
            <v>12</v>
          </cell>
          <cell r="BG2756">
            <v>25.56</v>
          </cell>
          <cell r="BH2756">
            <v>25.56</v>
          </cell>
          <cell r="BI2756">
            <v>3</v>
          </cell>
          <cell r="BJ2756">
            <v>3</v>
          </cell>
        </row>
        <row r="2757">
          <cell r="D2757" t="str">
            <v>Technická univerzita v Košiciach</v>
          </cell>
          <cell r="E2757" t="str">
            <v>Fakulta materiálov, metalurgie a recyklácie</v>
          </cell>
          <cell r="AN2757">
            <v>0</v>
          </cell>
          <cell r="AO2757">
            <v>0</v>
          </cell>
          <cell r="AP2757">
            <v>0</v>
          </cell>
          <cell r="AQ2757">
            <v>0</v>
          </cell>
          <cell r="AR2757">
            <v>0</v>
          </cell>
          <cell r="BF2757">
            <v>0</v>
          </cell>
          <cell r="BG2757">
            <v>0</v>
          </cell>
          <cell r="BH2757">
            <v>0</v>
          </cell>
          <cell r="BI2757">
            <v>3</v>
          </cell>
          <cell r="BJ2757">
            <v>0</v>
          </cell>
        </row>
        <row r="2758">
          <cell r="D2758" t="str">
            <v>Slovenská poľnohospodárska univerzita v Nitre</v>
          </cell>
          <cell r="E2758" t="str">
            <v>Fakulta ekonomiky a manažmentu</v>
          </cell>
          <cell r="AN2758">
            <v>4</v>
          </cell>
          <cell r="AO2758">
            <v>4</v>
          </cell>
          <cell r="AP2758">
            <v>0</v>
          </cell>
          <cell r="AQ2758">
            <v>0</v>
          </cell>
          <cell r="AR2758">
            <v>4</v>
          </cell>
          <cell r="BF2758">
            <v>6</v>
          </cell>
          <cell r="BG2758">
            <v>6.24</v>
          </cell>
          <cell r="BH2758">
            <v>5.1807407407407409</v>
          </cell>
          <cell r="BI2758">
            <v>4</v>
          </cell>
          <cell r="BJ2758">
            <v>0</v>
          </cell>
        </row>
        <row r="2759">
          <cell r="D2759" t="str">
            <v>Univerzita Komenského v Bratislave</v>
          </cell>
          <cell r="E2759" t="str">
            <v>Právnická fakulta</v>
          </cell>
          <cell r="AN2759">
            <v>6</v>
          </cell>
          <cell r="AO2759">
            <v>0</v>
          </cell>
          <cell r="AP2759">
            <v>0</v>
          </cell>
          <cell r="AQ2759">
            <v>0</v>
          </cell>
          <cell r="AR2759">
            <v>6</v>
          </cell>
          <cell r="BF2759">
            <v>24</v>
          </cell>
          <cell r="BG2759">
            <v>26.400000000000002</v>
          </cell>
          <cell r="BH2759">
            <v>26.400000000000002</v>
          </cell>
          <cell r="BI2759">
            <v>8</v>
          </cell>
          <cell r="BJ2759">
            <v>6</v>
          </cell>
        </row>
        <row r="2760">
          <cell r="D2760" t="str">
            <v>Univerzita Komenského v Bratislave</v>
          </cell>
          <cell r="E2760" t="str">
            <v>Právnická fakulta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BF2760">
            <v>0</v>
          </cell>
          <cell r="BG2760">
            <v>0</v>
          </cell>
          <cell r="BH2760">
            <v>0</v>
          </cell>
          <cell r="BI2760">
            <v>5</v>
          </cell>
          <cell r="BJ2760">
            <v>0</v>
          </cell>
        </row>
        <row r="2761">
          <cell r="D2761" t="str">
            <v>Slovenská technická univerzita v Bratislave</v>
          </cell>
          <cell r="E2761" t="str">
            <v>Fakulta chemickej a potravinárskej technológie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BF2761">
            <v>0</v>
          </cell>
          <cell r="BG2761">
            <v>0</v>
          </cell>
          <cell r="BH2761">
            <v>0</v>
          </cell>
          <cell r="BI2761">
            <v>2</v>
          </cell>
          <cell r="BJ2761">
            <v>0</v>
          </cell>
        </row>
        <row r="2762">
          <cell r="D2762" t="str">
            <v>Univerzita Mateja Bela v Banskej Bystrici</v>
          </cell>
          <cell r="E2762" t="str">
            <v>Právnická fakulta</v>
          </cell>
          <cell r="AN2762">
            <v>0</v>
          </cell>
          <cell r="AO2762">
            <v>0</v>
          </cell>
          <cell r="AP2762">
            <v>0</v>
          </cell>
          <cell r="AQ2762">
            <v>0</v>
          </cell>
          <cell r="AR2762">
            <v>0</v>
          </cell>
          <cell r="BF2762">
            <v>0</v>
          </cell>
          <cell r="BG2762">
            <v>0</v>
          </cell>
          <cell r="BH2762">
            <v>0</v>
          </cell>
          <cell r="BI2762">
            <v>126</v>
          </cell>
          <cell r="BJ2762">
            <v>0</v>
          </cell>
        </row>
        <row r="2763">
          <cell r="D2763" t="str">
            <v>Univerzita Mateja Bela v Banskej Bystrici</v>
          </cell>
          <cell r="E2763" t="str">
            <v>Právnická fakulta</v>
          </cell>
          <cell r="AN2763">
            <v>0</v>
          </cell>
          <cell r="AO2763">
            <v>0</v>
          </cell>
          <cell r="AP2763">
            <v>0</v>
          </cell>
          <cell r="AQ2763">
            <v>0</v>
          </cell>
          <cell r="AR2763">
            <v>0</v>
          </cell>
          <cell r="BF2763">
            <v>0</v>
          </cell>
          <cell r="BG2763">
            <v>0</v>
          </cell>
          <cell r="BH2763">
            <v>0</v>
          </cell>
          <cell r="BI2763">
            <v>245</v>
          </cell>
          <cell r="BJ2763">
            <v>0</v>
          </cell>
        </row>
        <row r="2764">
          <cell r="D2764" t="str">
            <v>Slovenská technická univerzita v Bratislave</v>
          </cell>
          <cell r="E2764" t="str">
            <v>Fakulta chemickej a potravinárskej technológie</v>
          </cell>
          <cell r="AN2764">
            <v>0</v>
          </cell>
          <cell r="AO2764">
            <v>0</v>
          </cell>
          <cell r="AP2764">
            <v>0</v>
          </cell>
          <cell r="AQ2764">
            <v>0</v>
          </cell>
          <cell r="AR2764">
            <v>0</v>
          </cell>
          <cell r="BF2764">
            <v>0</v>
          </cell>
          <cell r="BG2764">
            <v>0</v>
          </cell>
          <cell r="BH2764">
            <v>0</v>
          </cell>
          <cell r="BI2764">
            <v>1</v>
          </cell>
          <cell r="BJ2764">
            <v>0</v>
          </cell>
        </row>
        <row r="2765">
          <cell r="D2765" t="str">
            <v>Vysoká škola múzických umení v Bratislave</v>
          </cell>
          <cell r="E2765" t="str">
            <v>Divadelná fakulta</v>
          </cell>
          <cell r="AN2765">
            <v>0</v>
          </cell>
          <cell r="AO2765">
            <v>0</v>
          </cell>
          <cell r="AP2765">
            <v>0</v>
          </cell>
          <cell r="AQ2765">
            <v>0</v>
          </cell>
          <cell r="AR2765">
            <v>0</v>
          </cell>
          <cell r="BF2765">
            <v>0</v>
          </cell>
          <cell r="BG2765">
            <v>0</v>
          </cell>
          <cell r="BH2765">
            <v>0</v>
          </cell>
          <cell r="BI2765">
            <v>6</v>
          </cell>
          <cell r="BJ2765">
            <v>0</v>
          </cell>
        </row>
        <row r="2766">
          <cell r="D2766" t="str">
            <v>Vysoká škola manažmentu</v>
          </cell>
          <cell r="E2766">
            <v>0</v>
          </cell>
          <cell r="AN2766">
            <v>8</v>
          </cell>
          <cell r="AO2766">
            <v>8</v>
          </cell>
          <cell r="AP2766">
            <v>0</v>
          </cell>
          <cell r="AQ2766">
            <v>0</v>
          </cell>
          <cell r="AR2766">
            <v>8</v>
          </cell>
          <cell r="BF2766">
            <v>12</v>
          </cell>
          <cell r="BG2766">
            <v>12.48</v>
          </cell>
          <cell r="BH2766">
            <v>12.48</v>
          </cell>
          <cell r="BI2766">
            <v>8</v>
          </cell>
          <cell r="BJ2766">
            <v>0</v>
          </cell>
        </row>
        <row r="2767">
          <cell r="D2767" t="str">
            <v>Univerzita Konštantína Filozofa v Nitre</v>
          </cell>
          <cell r="E2767" t="str">
            <v>Filozofická fakulta</v>
          </cell>
          <cell r="AN2767">
            <v>0</v>
          </cell>
          <cell r="AO2767">
            <v>0</v>
          </cell>
          <cell r="AP2767">
            <v>0</v>
          </cell>
          <cell r="AQ2767">
            <v>0</v>
          </cell>
          <cell r="AR2767">
            <v>0</v>
          </cell>
          <cell r="BF2767">
            <v>0</v>
          </cell>
          <cell r="BG2767">
            <v>0</v>
          </cell>
          <cell r="BH2767">
            <v>0</v>
          </cell>
          <cell r="BI2767">
            <v>1</v>
          </cell>
          <cell r="BJ2767">
            <v>0</v>
          </cell>
        </row>
        <row r="2768">
          <cell r="D2768" t="str">
            <v>Univerzita Konštantína Filozofa v Nitre</v>
          </cell>
          <cell r="E2768" t="str">
            <v>Filozofická fakulta</v>
          </cell>
          <cell r="AN2768">
            <v>17</v>
          </cell>
          <cell r="AO2768">
            <v>18</v>
          </cell>
          <cell r="AP2768">
            <v>0</v>
          </cell>
          <cell r="AQ2768">
            <v>0</v>
          </cell>
          <cell r="AR2768">
            <v>17</v>
          </cell>
          <cell r="BF2768">
            <v>25.5</v>
          </cell>
          <cell r="BG2768">
            <v>26.52</v>
          </cell>
          <cell r="BH2768">
            <v>26.52</v>
          </cell>
          <cell r="BI2768">
            <v>18</v>
          </cell>
          <cell r="BJ2768">
            <v>0</v>
          </cell>
        </row>
        <row r="2769">
          <cell r="D2769" t="str">
            <v>Univerzita Konštantína Filozofa v Nitre</v>
          </cell>
          <cell r="E2769" t="str">
            <v>Filozofická fakulta</v>
          </cell>
          <cell r="AN2769">
            <v>0</v>
          </cell>
          <cell r="AO2769">
            <v>0</v>
          </cell>
          <cell r="AP2769">
            <v>0</v>
          </cell>
          <cell r="AQ2769">
            <v>0</v>
          </cell>
          <cell r="AR2769">
            <v>0</v>
          </cell>
          <cell r="BF2769">
            <v>0</v>
          </cell>
          <cell r="BG2769">
            <v>0</v>
          </cell>
          <cell r="BH2769">
            <v>0</v>
          </cell>
          <cell r="BI2769">
            <v>1</v>
          </cell>
          <cell r="BJ2769">
            <v>0</v>
          </cell>
        </row>
        <row r="2770">
          <cell r="D2770" t="str">
            <v>Univerzita Konštantína Filozofa v Nitre</v>
          </cell>
          <cell r="E2770" t="str">
            <v>Filozofická fakulta</v>
          </cell>
          <cell r="AN2770">
            <v>28</v>
          </cell>
          <cell r="AO2770">
            <v>29.5</v>
          </cell>
          <cell r="AP2770">
            <v>0</v>
          </cell>
          <cell r="AQ2770">
            <v>0</v>
          </cell>
          <cell r="AR2770">
            <v>28</v>
          </cell>
          <cell r="BF2770">
            <v>42</v>
          </cell>
          <cell r="BG2770">
            <v>63</v>
          </cell>
          <cell r="BH2770">
            <v>57.272727272727273</v>
          </cell>
          <cell r="BI2770">
            <v>29.5</v>
          </cell>
          <cell r="BJ2770">
            <v>0</v>
          </cell>
        </row>
        <row r="2771">
          <cell r="D2771" t="str">
            <v>Univerzita Konštantína Filozofa v Nitre</v>
          </cell>
          <cell r="E2771" t="str">
            <v>Filozofická fakulta</v>
          </cell>
          <cell r="AN2771">
            <v>8</v>
          </cell>
          <cell r="AO2771">
            <v>8</v>
          </cell>
          <cell r="AP2771">
            <v>0</v>
          </cell>
          <cell r="AQ2771">
            <v>0</v>
          </cell>
          <cell r="AR2771">
            <v>8</v>
          </cell>
          <cell r="BF2771">
            <v>12</v>
          </cell>
          <cell r="BG2771">
            <v>18</v>
          </cell>
          <cell r="BH2771">
            <v>18</v>
          </cell>
          <cell r="BI2771">
            <v>8</v>
          </cell>
          <cell r="BJ2771">
            <v>0</v>
          </cell>
        </row>
        <row r="2772">
          <cell r="D2772" t="str">
            <v>Univerzita Konštantína Filozofa v Nitre</v>
          </cell>
          <cell r="E2772" t="str">
            <v>Filozofická fakulta</v>
          </cell>
          <cell r="AN2772">
            <v>16</v>
          </cell>
          <cell r="AO2772">
            <v>16</v>
          </cell>
          <cell r="AP2772">
            <v>0</v>
          </cell>
          <cell r="AQ2772">
            <v>0</v>
          </cell>
          <cell r="AR2772">
            <v>16</v>
          </cell>
          <cell r="BF2772">
            <v>24</v>
          </cell>
          <cell r="BG2772">
            <v>24</v>
          </cell>
          <cell r="BH2772">
            <v>13.714285714285714</v>
          </cell>
          <cell r="BI2772">
            <v>16</v>
          </cell>
          <cell r="BJ2772">
            <v>0</v>
          </cell>
        </row>
        <row r="2773">
          <cell r="D2773" t="str">
            <v>Univerzita Konštantína Filozofa v Nitre</v>
          </cell>
          <cell r="E2773" t="str">
            <v>Filozofická fakulta</v>
          </cell>
          <cell r="AN2773">
            <v>0</v>
          </cell>
          <cell r="AO2773">
            <v>0</v>
          </cell>
          <cell r="AP2773">
            <v>0</v>
          </cell>
          <cell r="AQ2773">
            <v>0</v>
          </cell>
          <cell r="AR2773">
            <v>0</v>
          </cell>
          <cell r="BF2773">
            <v>0</v>
          </cell>
          <cell r="BG2773">
            <v>0</v>
          </cell>
          <cell r="BH2773">
            <v>0</v>
          </cell>
          <cell r="BI2773">
            <v>3.5</v>
          </cell>
          <cell r="BJ2773">
            <v>0</v>
          </cell>
        </row>
        <row r="2774">
          <cell r="D2774" t="str">
            <v>Univerzita Konštantína Filozofa v Nitre</v>
          </cell>
          <cell r="E2774" t="str">
            <v>Filozofická fakulta</v>
          </cell>
          <cell r="AN2774">
            <v>32.5</v>
          </cell>
          <cell r="AO2774">
            <v>32.5</v>
          </cell>
          <cell r="AP2774">
            <v>0</v>
          </cell>
          <cell r="AQ2774">
            <v>0</v>
          </cell>
          <cell r="AR2774">
            <v>32.5</v>
          </cell>
          <cell r="BF2774">
            <v>48.75</v>
          </cell>
          <cell r="BG2774">
            <v>53.137500000000003</v>
          </cell>
          <cell r="BH2774">
            <v>51.093750000000007</v>
          </cell>
          <cell r="BI2774">
            <v>32.5</v>
          </cell>
          <cell r="BJ2774">
            <v>0</v>
          </cell>
        </row>
        <row r="2775">
          <cell r="D2775" t="str">
            <v>Univerzita Konštantína Filozofa v Nitre</v>
          </cell>
          <cell r="E2775" t="str">
            <v>Filozofická fakulta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BF2775">
            <v>0</v>
          </cell>
          <cell r="BG2775">
            <v>0</v>
          </cell>
          <cell r="BH2775">
            <v>0</v>
          </cell>
          <cell r="BI2775">
            <v>3</v>
          </cell>
          <cell r="BJ2775">
            <v>0</v>
          </cell>
        </row>
        <row r="2776">
          <cell r="D2776" t="str">
            <v>Univerzita Konštantína Filozofa v Nitre</v>
          </cell>
          <cell r="E2776" t="str">
            <v>Filozofická fakulta</v>
          </cell>
          <cell r="AN2776">
            <v>0</v>
          </cell>
          <cell r="AO2776">
            <v>0</v>
          </cell>
          <cell r="AP2776">
            <v>0</v>
          </cell>
          <cell r="AQ2776">
            <v>0</v>
          </cell>
          <cell r="AR2776">
            <v>0</v>
          </cell>
          <cell r="BF2776">
            <v>0</v>
          </cell>
          <cell r="BG2776">
            <v>0</v>
          </cell>
          <cell r="BH2776">
            <v>0</v>
          </cell>
          <cell r="BI2776">
            <v>4</v>
          </cell>
          <cell r="BJ2776">
            <v>0</v>
          </cell>
        </row>
        <row r="2777">
          <cell r="D2777" t="str">
            <v>Univerzita Konštantína Filozofa v Nitre</v>
          </cell>
          <cell r="E2777" t="str">
            <v>Filozofická fakulta</v>
          </cell>
          <cell r="AN2777">
            <v>3</v>
          </cell>
          <cell r="AO2777">
            <v>3.5</v>
          </cell>
          <cell r="AP2777">
            <v>0</v>
          </cell>
          <cell r="AQ2777">
            <v>0</v>
          </cell>
          <cell r="AR2777">
            <v>3</v>
          </cell>
          <cell r="BF2777">
            <v>4.5</v>
          </cell>
          <cell r="BG2777">
            <v>4.9050000000000002</v>
          </cell>
          <cell r="BH2777">
            <v>4.9050000000000002</v>
          </cell>
          <cell r="BI2777">
            <v>3.5</v>
          </cell>
          <cell r="BJ2777">
            <v>0</v>
          </cell>
        </row>
        <row r="2778">
          <cell r="D2778" t="str">
            <v>Univerzita Konštantína Filozofa v Nitre</v>
          </cell>
          <cell r="E2778" t="str">
            <v>Filozofická fakulta</v>
          </cell>
          <cell r="AN2778">
            <v>17</v>
          </cell>
          <cell r="AO2778">
            <v>17</v>
          </cell>
          <cell r="AP2778">
            <v>0</v>
          </cell>
          <cell r="AQ2778">
            <v>0</v>
          </cell>
          <cell r="AR2778">
            <v>17</v>
          </cell>
          <cell r="BF2778">
            <v>25.5</v>
          </cell>
          <cell r="BG2778">
            <v>25.5</v>
          </cell>
          <cell r="BH2778">
            <v>14.166666666666668</v>
          </cell>
          <cell r="BI2778">
            <v>17</v>
          </cell>
          <cell r="BJ2778">
            <v>0</v>
          </cell>
        </row>
        <row r="2779">
          <cell r="D2779" t="str">
            <v>Univerzita Konštantína Filozofa v Nitre</v>
          </cell>
          <cell r="E2779" t="str">
            <v>Filozofická fakulta</v>
          </cell>
          <cell r="AN2779">
            <v>11</v>
          </cell>
          <cell r="AO2779">
            <v>11</v>
          </cell>
          <cell r="AP2779">
            <v>0</v>
          </cell>
          <cell r="AQ2779">
            <v>0</v>
          </cell>
          <cell r="AR2779">
            <v>11</v>
          </cell>
          <cell r="BF2779">
            <v>16.5</v>
          </cell>
          <cell r="BG2779">
            <v>16.5</v>
          </cell>
          <cell r="BH2779">
            <v>14.142857142857144</v>
          </cell>
          <cell r="BI2779">
            <v>11</v>
          </cell>
          <cell r="BJ2779">
            <v>0</v>
          </cell>
        </row>
        <row r="2780">
          <cell r="D2780" t="str">
            <v>Univerzita Konštantína Filozofa v Nitre</v>
          </cell>
          <cell r="E2780" t="str">
            <v>Filozofická fakulta</v>
          </cell>
          <cell r="AN2780">
            <v>74</v>
          </cell>
          <cell r="AO2780">
            <v>75</v>
          </cell>
          <cell r="AP2780">
            <v>0</v>
          </cell>
          <cell r="AQ2780">
            <v>0</v>
          </cell>
          <cell r="AR2780">
            <v>74</v>
          </cell>
          <cell r="BF2780">
            <v>111</v>
          </cell>
          <cell r="BG2780">
            <v>111</v>
          </cell>
          <cell r="BH2780">
            <v>95.142857142857153</v>
          </cell>
          <cell r="BI2780">
            <v>75</v>
          </cell>
          <cell r="BJ2780">
            <v>0</v>
          </cell>
        </row>
        <row r="2781">
          <cell r="D2781" t="str">
            <v>Univerzita Konštantína Filozofa v Nitre</v>
          </cell>
          <cell r="E2781" t="str">
            <v>Filozofická fakulta</v>
          </cell>
          <cell r="AN2781">
            <v>0</v>
          </cell>
          <cell r="AO2781">
            <v>0</v>
          </cell>
          <cell r="AP2781">
            <v>0</v>
          </cell>
          <cell r="AQ2781">
            <v>0</v>
          </cell>
          <cell r="AR2781">
            <v>0</v>
          </cell>
          <cell r="BF2781">
            <v>0</v>
          </cell>
          <cell r="BG2781">
            <v>0</v>
          </cell>
          <cell r="BH2781">
            <v>0</v>
          </cell>
          <cell r="BI2781">
            <v>6</v>
          </cell>
          <cell r="BJ2781">
            <v>0</v>
          </cell>
        </row>
        <row r="2782">
          <cell r="D2782" t="str">
            <v>Univerzita Konštantína Filozofa v Nitre</v>
          </cell>
          <cell r="E2782" t="str">
            <v>Filozofická fakulta</v>
          </cell>
          <cell r="AN2782">
            <v>4.5</v>
          </cell>
          <cell r="AO2782">
            <v>5</v>
          </cell>
          <cell r="AP2782">
            <v>0</v>
          </cell>
          <cell r="AQ2782">
            <v>0</v>
          </cell>
          <cell r="AR2782">
            <v>4.5</v>
          </cell>
          <cell r="BF2782">
            <v>6.75</v>
          </cell>
          <cell r="BG2782">
            <v>10.125</v>
          </cell>
          <cell r="BH2782">
            <v>10.125</v>
          </cell>
          <cell r="BI2782">
            <v>5</v>
          </cell>
          <cell r="BJ2782">
            <v>0</v>
          </cell>
        </row>
        <row r="2783">
          <cell r="D2783" t="str">
            <v>Univerzita Konštantína Filozofa v Nitre</v>
          </cell>
          <cell r="E2783" t="str">
            <v>Filozofická fakulta</v>
          </cell>
          <cell r="AN2783">
            <v>32</v>
          </cell>
          <cell r="AO2783">
            <v>32</v>
          </cell>
          <cell r="AP2783">
            <v>0</v>
          </cell>
          <cell r="AQ2783">
            <v>0</v>
          </cell>
          <cell r="AR2783">
            <v>32</v>
          </cell>
          <cell r="BF2783">
            <v>48</v>
          </cell>
          <cell r="BG2783">
            <v>49.92</v>
          </cell>
          <cell r="BH2783">
            <v>46.080000000000005</v>
          </cell>
          <cell r="BI2783">
            <v>32</v>
          </cell>
          <cell r="BJ2783">
            <v>0</v>
          </cell>
        </row>
        <row r="2784">
          <cell r="D2784" t="str">
            <v>Univerzita Konštantína Filozofa v Nitre</v>
          </cell>
          <cell r="E2784" t="str">
            <v>Filozofická fakulta</v>
          </cell>
          <cell r="AN2784">
            <v>15</v>
          </cell>
          <cell r="AO2784">
            <v>15</v>
          </cell>
          <cell r="AP2784">
            <v>0</v>
          </cell>
          <cell r="AQ2784">
            <v>0</v>
          </cell>
          <cell r="AR2784">
            <v>15</v>
          </cell>
          <cell r="BF2784">
            <v>22.5</v>
          </cell>
          <cell r="BG2784">
            <v>33.75</v>
          </cell>
          <cell r="BH2784">
            <v>30.68181818181818</v>
          </cell>
          <cell r="BI2784">
            <v>15</v>
          </cell>
          <cell r="BJ2784">
            <v>0</v>
          </cell>
        </row>
        <row r="2785">
          <cell r="D2785" t="str">
            <v>Univerzita Konštantína Filozofa v Nitre</v>
          </cell>
          <cell r="E2785" t="str">
            <v>Filozofická fakulta</v>
          </cell>
          <cell r="AN2785">
            <v>12</v>
          </cell>
          <cell r="AO2785">
            <v>12</v>
          </cell>
          <cell r="AP2785">
            <v>0</v>
          </cell>
          <cell r="AQ2785">
            <v>0</v>
          </cell>
          <cell r="AR2785">
            <v>12</v>
          </cell>
          <cell r="BF2785">
            <v>18</v>
          </cell>
          <cell r="BG2785">
            <v>18</v>
          </cell>
          <cell r="BH2785">
            <v>14.727272727272727</v>
          </cell>
          <cell r="BI2785">
            <v>12</v>
          </cell>
          <cell r="BJ2785">
            <v>0</v>
          </cell>
        </row>
        <row r="2786">
          <cell r="D2786" t="str">
            <v>Univerzita Konštantína Filozofa v Nitre</v>
          </cell>
          <cell r="E2786" t="str">
            <v>Filozofická fakulta</v>
          </cell>
          <cell r="AN2786">
            <v>6</v>
          </cell>
          <cell r="AO2786">
            <v>6</v>
          </cell>
          <cell r="AP2786">
            <v>0</v>
          </cell>
          <cell r="AQ2786">
            <v>0</v>
          </cell>
          <cell r="AR2786">
            <v>6</v>
          </cell>
          <cell r="BF2786">
            <v>9</v>
          </cell>
          <cell r="BG2786">
            <v>9</v>
          </cell>
          <cell r="BH2786">
            <v>9</v>
          </cell>
          <cell r="BI2786">
            <v>6</v>
          </cell>
          <cell r="BJ2786">
            <v>0</v>
          </cell>
        </row>
        <row r="2787">
          <cell r="D2787" t="str">
            <v>Univerzita Konštantína Filozofa v Nitre</v>
          </cell>
          <cell r="E2787" t="str">
            <v>Filozofická fakulta</v>
          </cell>
          <cell r="AN2787">
            <v>6</v>
          </cell>
          <cell r="AO2787">
            <v>6.5</v>
          </cell>
          <cell r="AP2787">
            <v>0</v>
          </cell>
          <cell r="AQ2787">
            <v>0</v>
          </cell>
          <cell r="AR2787">
            <v>6</v>
          </cell>
          <cell r="BF2787">
            <v>9</v>
          </cell>
          <cell r="BG2787">
            <v>13.5</v>
          </cell>
          <cell r="BH2787">
            <v>11.25</v>
          </cell>
          <cell r="BI2787">
            <v>6.5</v>
          </cell>
          <cell r="BJ2787">
            <v>0</v>
          </cell>
        </row>
        <row r="2788">
          <cell r="D2788" t="str">
            <v>Univerzita Konštantína Filozofa v Nitre</v>
          </cell>
          <cell r="E2788" t="str">
            <v>Filozofická fakulta</v>
          </cell>
          <cell r="AN2788">
            <v>6</v>
          </cell>
          <cell r="AO2788">
            <v>7</v>
          </cell>
          <cell r="AP2788">
            <v>0</v>
          </cell>
          <cell r="AQ2788">
            <v>0</v>
          </cell>
          <cell r="AR2788">
            <v>6</v>
          </cell>
          <cell r="BF2788">
            <v>9</v>
          </cell>
          <cell r="BG2788">
            <v>9</v>
          </cell>
          <cell r="BH2788">
            <v>9</v>
          </cell>
          <cell r="BI2788">
            <v>7</v>
          </cell>
          <cell r="BJ2788">
            <v>0</v>
          </cell>
        </row>
        <row r="2789">
          <cell r="D2789" t="str">
            <v>Univerzita Konštantína Filozofa v Nitre</v>
          </cell>
          <cell r="E2789" t="str">
            <v>Filozofická fakulta</v>
          </cell>
          <cell r="AN2789">
            <v>0</v>
          </cell>
          <cell r="AO2789">
            <v>0</v>
          </cell>
          <cell r="AP2789">
            <v>0</v>
          </cell>
          <cell r="AQ2789">
            <v>0</v>
          </cell>
          <cell r="AR2789">
            <v>0</v>
          </cell>
          <cell r="BF2789">
            <v>0</v>
          </cell>
          <cell r="BG2789">
            <v>0</v>
          </cell>
          <cell r="BH2789">
            <v>0</v>
          </cell>
          <cell r="BI2789">
            <v>2</v>
          </cell>
          <cell r="BJ2789">
            <v>0</v>
          </cell>
        </row>
        <row r="2790">
          <cell r="D2790" t="str">
            <v>Univerzita Konštantína Filozofa v Nitre</v>
          </cell>
          <cell r="E2790" t="str">
            <v>Filozofická fakulta</v>
          </cell>
          <cell r="AN2790">
            <v>11</v>
          </cell>
          <cell r="AO2790">
            <v>11</v>
          </cell>
          <cell r="AP2790">
            <v>0</v>
          </cell>
          <cell r="AQ2790">
            <v>0</v>
          </cell>
          <cell r="AR2790">
            <v>11</v>
          </cell>
          <cell r="BF2790">
            <v>8.6</v>
          </cell>
          <cell r="BG2790">
            <v>8.6</v>
          </cell>
          <cell r="BH2790">
            <v>7.1396226415094342</v>
          </cell>
          <cell r="BI2790">
            <v>11</v>
          </cell>
          <cell r="BJ2790">
            <v>0</v>
          </cell>
        </row>
        <row r="2791">
          <cell r="D2791" t="str">
            <v>Univerzita Konštantína Filozofa v Nitre</v>
          </cell>
          <cell r="E2791" t="str">
            <v>Filozofická fakulta</v>
          </cell>
          <cell r="AN2791">
            <v>2</v>
          </cell>
          <cell r="AO2791">
            <v>2</v>
          </cell>
          <cell r="AP2791">
            <v>0</v>
          </cell>
          <cell r="AQ2791">
            <v>0</v>
          </cell>
          <cell r="AR2791">
            <v>2</v>
          </cell>
          <cell r="BF2791">
            <v>2</v>
          </cell>
          <cell r="BG2791">
            <v>2</v>
          </cell>
          <cell r="BH2791">
            <v>1.8333333333333333</v>
          </cell>
          <cell r="BI2791">
            <v>2</v>
          </cell>
          <cell r="BJ2791">
            <v>0</v>
          </cell>
        </row>
        <row r="2792">
          <cell r="D2792" t="str">
            <v>Akadémia umení v Banskej Bystrici</v>
          </cell>
          <cell r="E2792" t="str">
            <v>Fakulta múzických umení</v>
          </cell>
          <cell r="AN2792">
            <v>3</v>
          </cell>
          <cell r="AO2792">
            <v>3</v>
          </cell>
          <cell r="AP2792">
            <v>0</v>
          </cell>
          <cell r="AQ2792">
            <v>0</v>
          </cell>
          <cell r="AR2792">
            <v>3</v>
          </cell>
          <cell r="BF2792">
            <v>4.5</v>
          </cell>
          <cell r="BG2792">
            <v>14.535</v>
          </cell>
          <cell r="BH2792">
            <v>14.535</v>
          </cell>
          <cell r="BI2792">
            <v>3</v>
          </cell>
          <cell r="BJ2792">
            <v>0</v>
          </cell>
        </row>
        <row r="2793">
          <cell r="D2793" t="str">
            <v>Akadémia umení v Banskej Bystrici</v>
          </cell>
          <cell r="E2793" t="str">
            <v>Fakulta múzických umení</v>
          </cell>
          <cell r="AN2793">
            <v>48</v>
          </cell>
          <cell r="AO2793">
            <v>53</v>
          </cell>
          <cell r="AP2793">
            <v>0</v>
          </cell>
          <cell r="AQ2793">
            <v>0</v>
          </cell>
          <cell r="AR2793">
            <v>48</v>
          </cell>
          <cell r="BF2793">
            <v>72</v>
          </cell>
          <cell r="BG2793">
            <v>232.56</v>
          </cell>
          <cell r="BH2793">
            <v>223.2576</v>
          </cell>
          <cell r="BI2793">
            <v>53</v>
          </cell>
          <cell r="BJ2793">
            <v>0</v>
          </cell>
        </row>
        <row r="2794">
          <cell r="D2794" t="str">
            <v>Akadémia umení v Banskej Bystrici</v>
          </cell>
          <cell r="E2794" t="str">
            <v>Fakulta výtvarných umení</v>
          </cell>
          <cell r="AN2794">
            <v>0</v>
          </cell>
          <cell r="AO2794">
            <v>0</v>
          </cell>
          <cell r="AP2794">
            <v>0</v>
          </cell>
          <cell r="AQ2794">
            <v>0</v>
          </cell>
          <cell r="AR2794">
            <v>0</v>
          </cell>
          <cell r="BF2794">
            <v>0</v>
          </cell>
          <cell r="BG2794">
            <v>0</v>
          </cell>
          <cell r="BH2794">
            <v>0</v>
          </cell>
          <cell r="BI2794">
            <v>2</v>
          </cell>
          <cell r="BJ2794">
            <v>0</v>
          </cell>
        </row>
        <row r="2795">
          <cell r="D2795" t="str">
            <v>Univerzita Komenského v Bratislave</v>
          </cell>
          <cell r="E2795" t="str">
            <v>Pedagogická fakulta</v>
          </cell>
          <cell r="AN2795">
            <v>55</v>
          </cell>
          <cell r="AO2795">
            <v>55</v>
          </cell>
          <cell r="AP2795">
            <v>0</v>
          </cell>
          <cell r="AQ2795">
            <v>0</v>
          </cell>
          <cell r="AR2795">
            <v>55</v>
          </cell>
          <cell r="BF2795">
            <v>82.5</v>
          </cell>
          <cell r="BG2795">
            <v>98.174999999999997</v>
          </cell>
          <cell r="BH2795">
            <v>88.825000000000003</v>
          </cell>
          <cell r="BI2795">
            <v>55</v>
          </cell>
          <cell r="BJ2795">
            <v>0</v>
          </cell>
        </row>
        <row r="2796">
          <cell r="D2796" t="str">
            <v>Univerzita Komenského v Bratislave</v>
          </cell>
          <cell r="E2796" t="str">
            <v>Pedagogická fakulta</v>
          </cell>
          <cell r="AN2796">
            <v>1</v>
          </cell>
          <cell r="AO2796">
            <v>0</v>
          </cell>
          <cell r="AP2796">
            <v>0</v>
          </cell>
          <cell r="AQ2796">
            <v>0</v>
          </cell>
          <cell r="AR2796">
            <v>0</v>
          </cell>
          <cell r="BF2796">
            <v>0</v>
          </cell>
          <cell r="BG2796">
            <v>0</v>
          </cell>
          <cell r="BH2796">
            <v>0</v>
          </cell>
          <cell r="BI2796">
            <v>1</v>
          </cell>
          <cell r="BJ2796">
            <v>0</v>
          </cell>
        </row>
        <row r="2797">
          <cell r="D2797" t="str">
            <v>Univerzita Komenského v Bratislave</v>
          </cell>
          <cell r="E2797" t="str">
            <v>Pedagogická fakulta</v>
          </cell>
          <cell r="AN2797">
            <v>16</v>
          </cell>
          <cell r="AO2797">
            <v>16</v>
          </cell>
          <cell r="AP2797">
            <v>0</v>
          </cell>
          <cell r="AQ2797">
            <v>0</v>
          </cell>
          <cell r="AR2797">
            <v>16</v>
          </cell>
          <cell r="BF2797">
            <v>24</v>
          </cell>
          <cell r="BG2797">
            <v>24.96</v>
          </cell>
          <cell r="BH2797">
            <v>22.447248322147651</v>
          </cell>
          <cell r="BI2797">
            <v>16</v>
          </cell>
          <cell r="BJ2797">
            <v>0</v>
          </cell>
        </row>
        <row r="2798">
          <cell r="D2798" t="str">
            <v>Univerzita Komenského v Bratislave</v>
          </cell>
          <cell r="E2798" t="str">
            <v>Pedagogická fakulta</v>
          </cell>
          <cell r="AN2798">
            <v>6</v>
          </cell>
          <cell r="AO2798">
            <v>6</v>
          </cell>
          <cell r="AP2798">
            <v>0</v>
          </cell>
          <cell r="AQ2798">
            <v>0</v>
          </cell>
          <cell r="AR2798">
            <v>6</v>
          </cell>
          <cell r="BF2798">
            <v>9</v>
          </cell>
          <cell r="BG2798">
            <v>10.709999999999999</v>
          </cell>
          <cell r="BH2798">
            <v>10.709999999999999</v>
          </cell>
          <cell r="BI2798">
            <v>6</v>
          </cell>
          <cell r="BJ2798">
            <v>0</v>
          </cell>
        </row>
        <row r="2799">
          <cell r="D2799" t="str">
            <v>Univerzita Komenského v Bratislave</v>
          </cell>
          <cell r="E2799" t="str">
            <v>Pedagogická fakulta</v>
          </cell>
          <cell r="AN2799">
            <v>9.5</v>
          </cell>
          <cell r="AO2799">
            <v>9.5</v>
          </cell>
          <cell r="AP2799">
            <v>0</v>
          </cell>
          <cell r="AQ2799">
            <v>0</v>
          </cell>
          <cell r="AR2799">
            <v>9.5</v>
          </cell>
          <cell r="BF2799">
            <v>14.25</v>
          </cell>
          <cell r="BG2799">
            <v>30.637499999999999</v>
          </cell>
          <cell r="BH2799">
            <v>30.637499999999999</v>
          </cell>
          <cell r="BI2799">
            <v>9.5</v>
          </cell>
          <cell r="BJ2799">
            <v>0</v>
          </cell>
        </row>
        <row r="2800">
          <cell r="D2800" t="str">
            <v>Univerzita Komenského v Bratislave</v>
          </cell>
          <cell r="E2800" t="str">
            <v>Pedagogická fakulta</v>
          </cell>
          <cell r="AN2800">
            <v>3</v>
          </cell>
          <cell r="AO2800">
            <v>3</v>
          </cell>
          <cell r="AP2800">
            <v>0</v>
          </cell>
          <cell r="AQ2800">
            <v>0</v>
          </cell>
          <cell r="AR2800">
            <v>3</v>
          </cell>
          <cell r="BF2800">
            <v>4.5</v>
          </cell>
          <cell r="BG2800">
            <v>4.9050000000000002</v>
          </cell>
          <cell r="BH2800">
            <v>4.9050000000000002</v>
          </cell>
          <cell r="BI2800">
            <v>3</v>
          </cell>
          <cell r="BJ2800">
            <v>0</v>
          </cell>
        </row>
        <row r="2801">
          <cell r="D2801" t="str">
            <v>Univerzita Komenského v Bratislave</v>
          </cell>
          <cell r="E2801" t="str">
            <v>Pedagogická fakulta</v>
          </cell>
          <cell r="AN2801">
            <v>8</v>
          </cell>
          <cell r="AO2801">
            <v>8</v>
          </cell>
          <cell r="AP2801">
            <v>0</v>
          </cell>
          <cell r="AQ2801">
            <v>0</v>
          </cell>
          <cell r="AR2801">
            <v>8</v>
          </cell>
          <cell r="BF2801">
            <v>12</v>
          </cell>
          <cell r="BG2801">
            <v>13.080000000000002</v>
          </cell>
          <cell r="BH2801">
            <v>13.080000000000002</v>
          </cell>
          <cell r="BI2801">
            <v>8</v>
          </cell>
          <cell r="BJ2801">
            <v>0</v>
          </cell>
        </row>
        <row r="2802">
          <cell r="D2802" t="str">
            <v>Univerzita Komenského v Bratislave</v>
          </cell>
          <cell r="E2802" t="str">
            <v>Pedagogická fakulta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BF2802">
            <v>0</v>
          </cell>
          <cell r="BG2802">
            <v>0</v>
          </cell>
          <cell r="BH2802">
            <v>0</v>
          </cell>
          <cell r="BI2802">
            <v>5</v>
          </cell>
          <cell r="BJ2802">
            <v>0</v>
          </cell>
        </row>
        <row r="2803">
          <cell r="D2803" t="str">
            <v>Univerzita Komenského v Bratislave</v>
          </cell>
          <cell r="E2803" t="str">
            <v>Pedagogická fakulta</v>
          </cell>
          <cell r="AN2803">
            <v>6.5</v>
          </cell>
          <cell r="AO2803">
            <v>6.5</v>
          </cell>
          <cell r="AP2803">
            <v>0</v>
          </cell>
          <cell r="AQ2803">
            <v>0</v>
          </cell>
          <cell r="AR2803">
            <v>6.5</v>
          </cell>
          <cell r="BF2803">
            <v>9.75</v>
          </cell>
          <cell r="BG2803">
            <v>10.627500000000001</v>
          </cell>
          <cell r="BH2803">
            <v>10.627500000000001</v>
          </cell>
          <cell r="BI2803">
            <v>6.5</v>
          </cell>
          <cell r="BJ2803">
            <v>0</v>
          </cell>
        </row>
        <row r="2804">
          <cell r="D2804" t="str">
            <v>Univerzita Komenského v Bratislave</v>
          </cell>
          <cell r="E2804" t="str">
            <v>Pedagogická fakulta</v>
          </cell>
          <cell r="AN2804">
            <v>9</v>
          </cell>
          <cell r="AO2804">
            <v>9.5</v>
          </cell>
          <cell r="AP2804">
            <v>0</v>
          </cell>
          <cell r="AQ2804">
            <v>0</v>
          </cell>
          <cell r="AR2804">
            <v>9</v>
          </cell>
          <cell r="BF2804">
            <v>7.5</v>
          </cell>
          <cell r="BG2804">
            <v>8.1750000000000007</v>
          </cell>
          <cell r="BH2804">
            <v>7.9956774193548394</v>
          </cell>
          <cell r="BI2804">
            <v>9.5</v>
          </cell>
          <cell r="BJ2804">
            <v>0</v>
          </cell>
        </row>
        <row r="2805">
          <cell r="D2805" t="str">
            <v>Univerzita Komenského v Bratislave</v>
          </cell>
          <cell r="E2805" t="str">
            <v>Pedagogická fakulta</v>
          </cell>
          <cell r="AN2805">
            <v>6</v>
          </cell>
          <cell r="AO2805">
            <v>6</v>
          </cell>
          <cell r="AP2805">
            <v>0</v>
          </cell>
          <cell r="AQ2805">
            <v>0</v>
          </cell>
          <cell r="AR2805">
            <v>6</v>
          </cell>
          <cell r="BF2805">
            <v>5.0999999999999996</v>
          </cell>
          <cell r="BG2805">
            <v>5.3039999999999994</v>
          </cell>
          <cell r="BH2805">
            <v>5.0328690095846635</v>
          </cell>
          <cell r="BI2805">
            <v>6</v>
          </cell>
          <cell r="BJ2805">
            <v>0</v>
          </cell>
        </row>
        <row r="2806">
          <cell r="D2806" t="str">
            <v>Univerzita Komenského v Bratislave</v>
          </cell>
          <cell r="E2806" t="str">
            <v>Pedagogická fakulta</v>
          </cell>
          <cell r="AN2806">
            <v>0</v>
          </cell>
          <cell r="AO2806">
            <v>0</v>
          </cell>
          <cell r="AP2806">
            <v>0</v>
          </cell>
          <cell r="AQ2806">
            <v>0</v>
          </cell>
          <cell r="AR2806">
            <v>0</v>
          </cell>
          <cell r="BF2806">
            <v>0</v>
          </cell>
          <cell r="BG2806">
            <v>0</v>
          </cell>
          <cell r="BH2806">
            <v>0</v>
          </cell>
          <cell r="BI2806">
            <v>3</v>
          </cell>
          <cell r="BJ2806">
            <v>0</v>
          </cell>
        </row>
        <row r="2807">
          <cell r="D2807" t="str">
            <v>Univerzita Komenského v Bratislave</v>
          </cell>
          <cell r="E2807" t="str">
            <v>Pedagogická fakulta</v>
          </cell>
          <cell r="AN2807">
            <v>3</v>
          </cell>
          <cell r="AO2807">
            <v>0</v>
          </cell>
          <cell r="AP2807">
            <v>0</v>
          </cell>
          <cell r="AQ2807">
            <v>0</v>
          </cell>
          <cell r="AR2807">
            <v>0</v>
          </cell>
          <cell r="BF2807">
            <v>0</v>
          </cell>
          <cell r="BG2807">
            <v>0</v>
          </cell>
          <cell r="BH2807">
            <v>0</v>
          </cell>
          <cell r="BI2807">
            <v>3</v>
          </cell>
          <cell r="BJ2807">
            <v>0</v>
          </cell>
        </row>
        <row r="2808">
          <cell r="D2808" t="str">
            <v>Univerzita Mateja Bela v Banskej Bystrici</v>
          </cell>
          <cell r="E2808" t="str">
            <v>Fakulta politických vied a medzinárodných vzťahov</v>
          </cell>
          <cell r="AN2808">
            <v>41</v>
          </cell>
          <cell r="AO2808">
            <v>42</v>
          </cell>
          <cell r="AP2808">
            <v>0</v>
          </cell>
          <cell r="AQ2808">
            <v>0</v>
          </cell>
          <cell r="AR2808">
            <v>41</v>
          </cell>
          <cell r="BF2808">
            <v>61.5</v>
          </cell>
          <cell r="BG2808">
            <v>61.5</v>
          </cell>
          <cell r="BH2808">
            <v>54.264705882352942</v>
          </cell>
          <cell r="BI2808">
            <v>42</v>
          </cell>
          <cell r="BJ2808">
            <v>0</v>
          </cell>
        </row>
        <row r="2809">
          <cell r="D2809" t="str">
            <v>Univerzita Mateja Bela v Banskej Bystrici</v>
          </cell>
          <cell r="E2809" t="str">
            <v>Fakulta politických vied a medzinárodných vzťahov</v>
          </cell>
          <cell r="AN2809">
            <v>0</v>
          </cell>
          <cell r="AO2809">
            <v>0</v>
          </cell>
          <cell r="AP2809">
            <v>0</v>
          </cell>
          <cell r="AQ2809">
            <v>0</v>
          </cell>
          <cell r="AR2809">
            <v>0</v>
          </cell>
          <cell r="BF2809">
            <v>0</v>
          </cell>
          <cell r="BG2809">
            <v>0</v>
          </cell>
          <cell r="BH2809">
            <v>0</v>
          </cell>
          <cell r="BI2809">
            <v>10</v>
          </cell>
          <cell r="BJ2809">
            <v>0</v>
          </cell>
        </row>
        <row r="2810">
          <cell r="D2810" t="str">
            <v>Univerzita Mateja Bela v Banskej Bystrici</v>
          </cell>
          <cell r="E2810" t="str">
            <v>Fakulta prírodných vied</v>
          </cell>
          <cell r="AN2810">
            <v>8.5</v>
          </cell>
          <cell r="AO2810">
            <v>9</v>
          </cell>
          <cell r="AP2810">
            <v>9</v>
          </cell>
          <cell r="AQ2810">
            <v>8.5</v>
          </cell>
          <cell r="AR2810">
            <v>8.5</v>
          </cell>
          <cell r="BF2810">
            <v>12.75</v>
          </cell>
          <cell r="BG2810">
            <v>18.36</v>
          </cell>
          <cell r="BH2810">
            <v>18.36</v>
          </cell>
          <cell r="BI2810">
            <v>9</v>
          </cell>
          <cell r="BJ2810">
            <v>0</v>
          </cell>
        </row>
        <row r="2811">
          <cell r="D2811" t="str">
            <v>Univerzita Mateja Bela v Banskej Bystrici</v>
          </cell>
          <cell r="E2811" t="str">
            <v>Fakulta prírodných vied</v>
          </cell>
          <cell r="AN2811">
            <v>4</v>
          </cell>
          <cell r="AO2811">
            <v>4</v>
          </cell>
          <cell r="AP2811">
            <v>4</v>
          </cell>
          <cell r="AQ2811">
            <v>4</v>
          </cell>
          <cell r="AR2811">
            <v>4</v>
          </cell>
          <cell r="BF2811">
            <v>6</v>
          </cell>
          <cell r="BG2811">
            <v>8.879999999999999</v>
          </cell>
          <cell r="BH2811">
            <v>8.879999999999999</v>
          </cell>
          <cell r="BI2811">
            <v>4</v>
          </cell>
          <cell r="BJ2811">
            <v>0</v>
          </cell>
        </row>
        <row r="2812">
          <cell r="D2812" t="str">
            <v>Univerzita Mateja Bela v Banskej Bystrici</v>
          </cell>
          <cell r="E2812" t="str">
            <v>Fakulta prírodných vied</v>
          </cell>
          <cell r="AN2812">
            <v>12</v>
          </cell>
          <cell r="AO2812">
            <v>13</v>
          </cell>
          <cell r="AP2812">
            <v>0</v>
          </cell>
          <cell r="AQ2812">
            <v>0</v>
          </cell>
          <cell r="AR2812">
            <v>12</v>
          </cell>
          <cell r="BF2812">
            <v>18</v>
          </cell>
          <cell r="BG2812">
            <v>26.64</v>
          </cell>
          <cell r="BH2812">
            <v>6.66</v>
          </cell>
          <cell r="BI2812">
            <v>13</v>
          </cell>
          <cell r="BJ2812">
            <v>0</v>
          </cell>
        </row>
        <row r="2813">
          <cell r="D2813" t="str">
            <v>Univerzita Mateja Bela v Banskej Bystrici</v>
          </cell>
          <cell r="E2813" t="str">
            <v>Fakulta prírodných vied</v>
          </cell>
          <cell r="AN2813">
            <v>2</v>
          </cell>
          <cell r="AO2813">
            <v>0</v>
          </cell>
          <cell r="AP2813">
            <v>0</v>
          </cell>
          <cell r="AQ2813">
            <v>2</v>
          </cell>
          <cell r="AR2813">
            <v>2</v>
          </cell>
          <cell r="BF2813">
            <v>6</v>
          </cell>
          <cell r="BG2813">
            <v>12.78</v>
          </cell>
          <cell r="BH2813">
            <v>12.78</v>
          </cell>
          <cell r="BI2813">
            <v>2</v>
          </cell>
          <cell r="BJ2813">
            <v>2</v>
          </cell>
        </row>
        <row r="2814">
          <cell r="D2814" t="str">
            <v>Univerzita Mateja Bela v Banskej Bystrici</v>
          </cell>
          <cell r="E2814" t="str">
            <v>Fakulta prírodných vied</v>
          </cell>
          <cell r="AN2814">
            <v>11</v>
          </cell>
          <cell r="AO2814">
            <v>11</v>
          </cell>
          <cell r="AP2814">
            <v>0</v>
          </cell>
          <cell r="AQ2814">
            <v>0</v>
          </cell>
          <cell r="AR2814">
            <v>11</v>
          </cell>
          <cell r="BF2814">
            <v>16.5</v>
          </cell>
          <cell r="BG2814">
            <v>24.419999999999998</v>
          </cell>
          <cell r="BH2814">
            <v>21.706666666666663</v>
          </cell>
          <cell r="BI2814">
            <v>11</v>
          </cell>
          <cell r="BJ2814">
            <v>0</v>
          </cell>
        </row>
        <row r="2815">
          <cell r="D2815" t="str">
            <v>Univerzita Mateja Bela v Banskej Bystrici</v>
          </cell>
          <cell r="E2815" t="str">
            <v>Fakulta prírodných vied</v>
          </cell>
          <cell r="AN2815">
            <v>6</v>
          </cell>
          <cell r="AO2815">
            <v>7</v>
          </cell>
          <cell r="AP2815">
            <v>7</v>
          </cell>
          <cell r="AQ2815">
            <v>6</v>
          </cell>
          <cell r="AR2815">
            <v>6</v>
          </cell>
          <cell r="BF2815">
            <v>9</v>
          </cell>
          <cell r="BG2815">
            <v>11.88</v>
          </cell>
          <cell r="BH2815">
            <v>11.88</v>
          </cell>
          <cell r="BI2815">
            <v>7</v>
          </cell>
          <cell r="BJ2815">
            <v>0</v>
          </cell>
        </row>
        <row r="2816">
          <cell r="D2816" t="str">
            <v>Univerzita Mateja Bela v Banskej Bystrici</v>
          </cell>
          <cell r="E2816" t="str">
            <v>Fakulta prírodných vied</v>
          </cell>
          <cell r="AN2816">
            <v>8</v>
          </cell>
          <cell r="AO2816">
            <v>8</v>
          </cell>
          <cell r="AP2816">
            <v>8</v>
          </cell>
          <cell r="AQ2816">
            <v>8</v>
          </cell>
          <cell r="AR2816">
            <v>8</v>
          </cell>
          <cell r="BF2816">
            <v>12</v>
          </cell>
          <cell r="BG2816">
            <v>17.759999999999998</v>
          </cell>
          <cell r="BH2816">
            <v>17.759999999999998</v>
          </cell>
          <cell r="BI2816">
            <v>8</v>
          </cell>
          <cell r="BJ2816">
            <v>0</v>
          </cell>
        </row>
        <row r="2817">
          <cell r="D2817" t="str">
            <v>Univerzita Mateja Bela v Banskej Bystrici</v>
          </cell>
          <cell r="E2817" t="str">
            <v>Fakulta prírodných vied</v>
          </cell>
          <cell r="AN2817">
            <v>35</v>
          </cell>
          <cell r="AO2817">
            <v>35</v>
          </cell>
          <cell r="AP2817">
            <v>0</v>
          </cell>
          <cell r="AQ2817">
            <v>0</v>
          </cell>
          <cell r="AR2817">
            <v>35</v>
          </cell>
          <cell r="BF2817">
            <v>52.5</v>
          </cell>
          <cell r="BG2817">
            <v>65.099999999999994</v>
          </cell>
          <cell r="BH2817">
            <v>59.915044247787606</v>
          </cell>
          <cell r="BI2817">
            <v>35</v>
          </cell>
          <cell r="BJ2817">
            <v>0</v>
          </cell>
        </row>
        <row r="2818">
          <cell r="D2818" t="str">
            <v>Univerzita Mateja Bela v Banskej Bystrici</v>
          </cell>
          <cell r="E2818" t="str">
            <v>Fakulta prírodných vied</v>
          </cell>
          <cell r="AN2818">
            <v>0.5</v>
          </cell>
          <cell r="AO2818">
            <v>0.5</v>
          </cell>
          <cell r="AP2818">
            <v>0.5</v>
          </cell>
          <cell r="AQ2818">
            <v>0.5</v>
          </cell>
          <cell r="AR2818">
            <v>0.5</v>
          </cell>
          <cell r="BF2818">
            <v>0.75</v>
          </cell>
          <cell r="BG2818">
            <v>1.08</v>
          </cell>
          <cell r="BH2818">
            <v>1.08</v>
          </cell>
          <cell r="BI2818">
            <v>0.5</v>
          </cell>
          <cell r="BJ2818">
            <v>0</v>
          </cell>
        </row>
        <row r="2819">
          <cell r="D2819" t="str">
            <v>Univerzita Mateja Bela v Banskej Bystrici</v>
          </cell>
          <cell r="E2819" t="str">
            <v>Fakulta prírodných vied</v>
          </cell>
          <cell r="AN2819">
            <v>9</v>
          </cell>
          <cell r="AO2819">
            <v>10</v>
          </cell>
          <cell r="AP2819">
            <v>10</v>
          </cell>
          <cell r="AQ2819">
            <v>9</v>
          </cell>
          <cell r="AR2819">
            <v>9</v>
          </cell>
          <cell r="BF2819">
            <v>7.5</v>
          </cell>
          <cell r="BG2819">
            <v>11.1</v>
          </cell>
          <cell r="BH2819">
            <v>11.1</v>
          </cell>
          <cell r="BI2819">
            <v>10</v>
          </cell>
          <cell r="BJ2819">
            <v>0</v>
          </cell>
        </row>
        <row r="2820">
          <cell r="D2820" t="str">
            <v>Univerzita Mateja Bela v Banskej Bystrici</v>
          </cell>
          <cell r="E2820" t="str">
            <v>Fakulta prírodných vied</v>
          </cell>
          <cell r="AN2820">
            <v>0</v>
          </cell>
          <cell r="AO2820">
            <v>0</v>
          </cell>
          <cell r="AP2820">
            <v>0</v>
          </cell>
          <cell r="AQ2820">
            <v>0</v>
          </cell>
          <cell r="AR2820">
            <v>0</v>
          </cell>
          <cell r="BF2820">
            <v>0</v>
          </cell>
          <cell r="BG2820">
            <v>0</v>
          </cell>
          <cell r="BH2820">
            <v>0</v>
          </cell>
          <cell r="BI2820">
            <v>6</v>
          </cell>
          <cell r="BJ2820">
            <v>0</v>
          </cell>
        </row>
        <row r="2821">
          <cell r="D2821" t="str">
            <v>Univerzita Mateja Bela v Banskej Bystrici</v>
          </cell>
          <cell r="E2821" t="str">
            <v>Fakulta prírodných vied</v>
          </cell>
          <cell r="AN2821">
            <v>2</v>
          </cell>
          <cell r="AO2821">
            <v>2</v>
          </cell>
          <cell r="AP2821">
            <v>2</v>
          </cell>
          <cell r="AQ2821">
            <v>2</v>
          </cell>
          <cell r="AR2821">
            <v>2</v>
          </cell>
          <cell r="BF2821">
            <v>1.7</v>
          </cell>
          <cell r="BG2821">
            <v>2.516</v>
          </cell>
          <cell r="BH2821">
            <v>2.516</v>
          </cell>
          <cell r="BI2821">
            <v>2</v>
          </cell>
          <cell r="BJ2821">
            <v>0</v>
          </cell>
        </row>
        <row r="2822">
          <cell r="D2822" t="str">
            <v>Univerzita Mateja Bela v Banskej Bystrici</v>
          </cell>
          <cell r="E2822" t="str">
            <v>Ekonomická fakulta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BF2822">
            <v>0</v>
          </cell>
          <cell r="BG2822">
            <v>0</v>
          </cell>
          <cell r="BH2822">
            <v>0</v>
          </cell>
          <cell r="BI2822">
            <v>2</v>
          </cell>
          <cell r="BJ2822">
            <v>0</v>
          </cell>
        </row>
        <row r="2823">
          <cell r="D2823" t="str">
            <v>Univerzita Mateja Bela v Banskej Bystrici</v>
          </cell>
          <cell r="E2823" t="str">
            <v>Ekonomická fakulta</v>
          </cell>
          <cell r="AN2823">
            <v>21</v>
          </cell>
          <cell r="AO2823">
            <v>21</v>
          </cell>
          <cell r="AP2823">
            <v>0</v>
          </cell>
          <cell r="AQ2823">
            <v>0</v>
          </cell>
          <cell r="AR2823">
            <v>21</v>
          </cell>
          <cell r="BF2823">
            <v>18.600000000000001</v>
          </cell>
          <cell r="BG2823">
            <v>19.344000000000001</v>
          </cell>
          <cell r="BH2823">
            <v>19.344000000000001</v>
          </cell>
          <cell r="BI2823">
            <v>21</v>
          </cell>
          <cell r="BJ2823">
            <v>0</v>
          </cell>
        </row>
        <row r="2824">
          <cell r="D2824" t="str">
            <v>Univerzita Mateja Bela v Banskej Bystrici</v>
          </cell>
          <cell r="E2824" t="str">
            <v>Ekonomická fakulta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BF2824">
            <v>0</v>
          </cell>
          <cell r="BG2824">
            <v>0</v>
          </cell>
          <cell r="BH2824">
            <v>0</v>
          </cell>
          <cell r="BI2824">
            <v>1</v>
          </cell>
          <cell r="BJ2824">
            <v>0</v>
          </cell>
        </row>
        <row r="2825">
          <cell r="D2825" t="str">
            <v>Univerzita veterinárskeho lekárstva a farmácie v Košiciach</v>
          </cell>
          <cell r="E2825">
            <v>0</v>
          </cell>
          <cell r="AN2825">
            <v>1</v>
          </cell>
          <cell r="AO2825">
            <v>0</v>
          </cell>
          <cell r="AP2825">
            <v>0</v>
          </cell>
          <cell r="AQ2825">
            <v>0</v>
          </cell>
          <cell r="AR2825">
            <v>1</v>
          </cell>
          <cell r="BF2825">
            <v>3</v>
          </cell>
          <cell r="BG2825">
            <v>6.39</v>
          </cell>
          <cell r="BH2825">
            <v>6.39</v>
          </cell>
          <cell r="BI2825">
            <v>1</v>
          </cell>
          <cell r="BJ2825">
            <v>1</v>
          </cell>
        </row>
        <row r="2826">
          <cell r="D2826" t="str">
            <v>Univerzita veterinárskeho lekárstva a farmácie v Košiciach</v>
          </cell>
          <cell r="E2826">
            <v>0</v>
          </cell>
          <cell r="AN2826">
            <v>387</v>
          </cell>
          <cell r="AO2826">
            <v>431</v>
          </cell>
          <cell r="AP2826">
            <v>0</v>
          </cell>
          <cell r="AQ2826">
            <v>0</v>
          </cell>
          <cell r="AR2826">
            <v>387</v>
          </cell>
          <cell r="BF2826">
            <v>355.8</v>
          </cell>
          <cell r="BG2826">
            <v>1113.654</v>
          </cell>
          <cell r="BH2826">
            <v>1093.2199816513762</v>
          </cell>
          <cell r="BI2826">
            <v>431</v>
          </cell>
          <cell r="BJ2826">
            <v>0</v>
          </cell>
        </row>
        <row r="2827">
          <cell r="D2827" t="str">
            <v>Univerzita veterinárskeho lekárstva a farmácie v Košiciach</v>
          </cell>
          <cell r="E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BF2827">
            <v>0</v>
          </cell>
          <cell r="BG2827">
            <v>0</v>
          </cell>
          <cell r="BH2827">
            <v>0</v>
          </cell>
          <cell r="BI2827">
            <v>3</v>
          </cell>
          <cell r="BJ2827">
            <v>0</v>
          </cell>
        </row>
        <row r="2828">
          <cell r="D2828" t="str">
            <v>Univerzita Komenského v Bratislave</v>
          </cell>
          <cell r="E2828" t="str">
            <v>Fakulta telesnej výchovy a športu</v>
          </cell>
          <cell r="AN2828">
            <v>3</v>
          </cell>
          <cell r="AO2828">
            <v>0</v>
          </cell>
          <cell r="AP2828">
            <v>0</v>
          </cell>
          <cell r="AQ2828">
            <v>0</v>
          </cell>
          <cell r="AR2828">
            <v>3</v>
          </cell>
          <cell r="BF2828">
            <v>12</v>
          </cell>
          <cell r="BG2828">
            <v>13.200000000000001</v>
          </cell>
          <cell r="BH2828">
            <v>13.200000000000001</v>
          </cell>
          <cell r="BI2828">
            <v>3</v>
          </cell>
          <cell r="BJ2828">
            <v>3</v>
          </cell>
        </row>
        <row r="2829">
          <cell r="D2829" t="str">
            <v>Univerzita Komenského v Bratislave</v>
          </cell>
          <cell r="E2829" t="str">
            <v>Fakulta telesnej výchovy a športu</v>
          </cell>
          <cell r="AN2829">
            <v>10</v>
          </cell>
          <cell r="AO2829">
            <v>12</v>
          </cell>
          <cell r="AP2829">
            <v>0</v>
          </cell>
          <cell r="AQ2829">
            <v>0</v>
          </cell>
          <cell r="AR2829">
            <v>10</v>
          </cell>
          <cell r="BF2829">
            <v>15</v>
          </cell>
          <cell r="BG2829">
            <v>17.849999999999998</v>
          </cell>
          <cell r="BH2829">
            <v>17.849999999999998</v>
          </cell>
          <cell r="BI2829">
            <v>12</v>
          </cell>
          <cell r="BJ2829">
            <v>0</v>
          </cell>
        </row>
        <row r="2830">
          <cell r="D2830" t="str">
            <v>Univerzita Mateja Bela v Banskej Bystrici</v>
          </cell>
          <cell r="E2830" t="str">
            <v>Pedagogická fakulta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BF2830">
            <v>0</v>
          </cell>
          <cell r="BG2830">
            <v>0</v>
          </cell>
          <cell r="BH2830">
            <v>0</v>
          </cell>
          <cell r="BI2830">
            <v>40</v>
          </cell>
          <cell r="BJ2830">
            <v>0</v>
          </cell>
        </row>
        <row r="2831">
          <cell r="D2831" t="str">
            <v>Univerzita Mateja Bela v Banskej Bystrici</v>
          </cell>
          <cell r="E2831" t="str">
            <v>Pedagogická fakulta</v>
          </cell>
          <cell r="AN2831">
            <v>8.5</v>
          </cell>
          <cell r="AO2831">
            <v>9</v>
          </cell>
          <cell r="AP2831">
            <v>0</v>
          </cell>
          <cell r="AQ2831">
            <v>0</v>
          </cell>
          <cell r="AR2831">
            <v>8.5</v>
          </cell>
          <cell r="BF2831">
            <v>12.75</v>
          </cell>
          <cell r="BG2831">
            <v>13.897500000000001</v>
          </cell>
          <cell r="BH2831">
            <v>11.48054347826087</v>
          </cell>
          <cell r="BI2831">
            <v>9</v>
          </cell>
          <cell r="BJ2831">
            <v>0</v>
          </cell>
        </row>
        <row r="2832">
          <cell r="D2832" t="str">
            <v>Univerzita Mateja Bela v Banskej Bystrici</v>
          </cell>
          <cell r="E2832" t="str">
            <v>Pedagogická fakulta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BF2832">
            <v>0</v>
          </cell>
          <cell r="BG2832">
            <v>0</v>
          </cell>
          <cell r="BH2832">
            <v>0</v>
          </cell>
          <cell r="BI2832">
            <v>9</v>
          </cell>
          <cell r="BJ2832">
            <v>0</v>
          </cell>
        </row>
        <row r="2833">
          <cell r="D2833" t="str">
            <v>Univerzita Mateja Bela v Banskej Bystrici</v>
          </cell>
          <cell r="E2833" t="str">
            <v>Pedagogická fakulta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BF2833">
            <v>0</v>
          </cell>
          <cell r="BG2833">
            <v>0</v>
          </cell>
          <cell r="BH2833">
            <v>0</v>
          </cell>
          <cell r="BI2833">
            <v>0.5</v>
          </cell>
          <cell r="BJ2833">
            <v>0</v>
          </cell>
        </row>
        <row r="2834">
          <cell r="D2834" t="str">
            <v>Univerzita Mateja Bela v Banskej Bystrici</v>
          </cell>
          <cell r="E2834" t="str">
            <v>Pedagogická fakulta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BF2834">
            <v>0</v>
          </cell>
          <cell r="BG2834">
            <v>0</v>
          </cell>
          <cell r="BH2834">
            <v>0</v>
          </cell>
          <cell r="BI2834">
            <v>0.5</v>
          </cell>
          <cell r="BJ2834">
            <v>0</v>
          </cell>
        </row>
        <row r="2835">
          <cell r="D2835" t="str">
            <v>Univerzita Mateja Bela v Banskej Bystrici</v>
          </cell>
          <cell r="E2835" t="str">
            <v>Pedagogická fakulta</v>
          </cell>
          <cell r="AN2835">
            <v>19</v>
          </cell>
          <cell r="AO2835">
            <v>26</v>
          </cell>
          <cell r="AP2835">
            <v>0</v>
          </cell>
          <cell r="AQ2835">
            <v>0</v>
          </cell>
          <cell r="AR2835">
            <v>19</v>
          </cell>
          <cell r="BF2835">
            <v>28.5</v>
          </cell>
          <cell r="BG2835">
            <v>28.5</v>
          </cell>
          <cell r="BH2835">
            <v>25.201780415430267</v>
          </cell>
          <cell r="BI2835">
            <v>26</v>
          </cell>
          <cell r="BJ2835">
            <v>0</v>
          </cell>
        </row>
        <row r="2836">
          <cell r="D2836" t="str">
            <v>Univerzita Mateja Bela v Banskej Bystrici</v>
          </cell>
          <cell r="E2836" t="str">
            <v>Pedagogická fakulta</v>
          </cell>
          <cell r="AN2836">
            <v>73</v>
          </cell>
          <cell r="AO2836">
            <v>73</v>
          </cell>
          <cell r="AP2836">
            <v>0</v>
          </cell>
          <cell r="AQ2836">
            <v>0</v>
          </cell>
          <cell r="AR2836">
            <v>73</v>
          </cell>
          <cell r="BF2836">
            <v>109.5</v>
          </cell>
          <cell r="BG2836">
            <v>130.30500000000001</v>
          </cell>
          <cell r="BH2836">
            <v>120.01776315789473</v>
          </cell>
          <cell r="BI2836">
            <v>73</v>
          </cell>
          <cell r="BJ2836">
            <v>0</v>
          </cell>
        </row>
        <row r="2837">
          <cell r="D2837" t="str">
            <v>Univerzita Mateja Bela v Banskej Bystrici</v>
          </cell>
          <cell r="E2837" t="str">
            <v>Pedagogická fakulta</v>
          </cell>
          <cell r="AN2837">
            <v>19</v>
          </cell>
          <cell r="AO2837">
            <v>19</v>
          </cell>
          <cell r="AP2837">
            <v>0</v>
          </cell>
          <cell r="AQ2837">
            <v>0</v>
          </cell>
          <cell r="AR2837">
            <v>19</v>
          </cell>
          <cell r="BF2837">
            <v>28.5</v>
          </cell>
          <cell r="BG2837">
            <v>33.914999999999999</v>
          </cell>
          <cell r="BH2837">
            <v>19.38</v>
          </cell>
          <cell r="BI2837">
            <v>19</v>
          </cell>
          <cell r="BJ2837">
            <v>0</v>
          </cell>
        </row>
        <row r="2838">
          <cell r="D2838" t="str">
            <v>Univerzita Mateja Bela v Banskej Bystrici</v>
          </cell>
          <cell r="E2838" t="str">
            <v>Pedagogická fakulta</v>
          </cell>
          <cell r="AN2838">
            <v>22</v>
          </cell>
          <cell r="AO2838">
            <v>22</v>
          </cell>
          <cell r="AP2838">
            <v>0</v>
          </cell>
          <cell r="AQ2838">
            <v>0</v>
          </cell>
          <cell r="AR2838">
            <v>22</v>
          </cell>
          <cell r="BF2838">
            <v>33</v>
          </cell>
          <cell r="BG2838">
            <v>39.269999999999996</v>
          </cell>
          <cell r="BH2838">
            <v>39.269999999999996</v>
          </cell>
          <cell r="BI2838">
            <v>22</v>
          </cell>
          <cell r="BJ2838">
            <v>0</v>
          </cell>
        </row>
        <row r="2839">
          <cell r="D2839" t="str">
            <v>Univerzita Mateja Bela v Banskej Bystrici</v>
          </cell>
          <cell r="E2839" t="str">
            <v>Fakulta prírodných vied</v>
          </cell>
          <cell r="AN2839">
            <v>3.5</v>
          </cell>
          <cell r="AO2839">
            <v>3.5</v>
          </cell>
          <cell r="AP2839">
            <v>0</v>
          </cell>
          <cell r="AQ2839">
            <v>0</v>
          </cell>
          <cell r="AR2839">
            <v>3.5</v>
          </cell>
          <cell r="BF2839">
            <v>5.25</v>
          </cell>
          <cell r="BG2839">
            <v>7.56</v>
          </cell>
          <cell r="BH2839">
            <v>6.6887732342007427</v>
          </cell>
          <cell r="BI2839">
            <v>3.5</v>
          </cell>
          <cell r="BJ2839">
            <v>0</v>
          </cell>
        </row>
        <row r="2840">
          <cell r="D2840" t="str">
            <v>Univerzita Mateja Bela v Banskej Bystrici</v>
          </cell>
          <cell r="E2840" t="str">
            <v>Pedagogická fakulta</v>
          </cell>
          <cell r="AN2840">
            <v>17</v>
          </cell>
          <cell r="AO2840">
            <v>17</v>
          </cell>
          <cell r="AP2840">
            <v>0</v>
          </cell>
          <cell r="AQ2840">
            <v>0</v>
          </cell>
          <cell r="AR2840">
            <v>17</v>
          </cell>
          <cell r="BF2840">
            <v>14.6</v>
          </cell>
          <cell r="BG2840">
            <v>14.891999999999999</v>
          </cell>
          <cell r="BH2840">
            <v>14.891999999999999</v>
          </cell>
          <cell r="BI2840">
            <v>17</v>
          </cell>
          <cell r="BJ2840">
            <v>0</v>
          </cell>
        </row>
        <row r="2841">
          <cell r="D2841" t="str">
            <v>Univerzita Mateja Bela v Banskej Bystrici</v>
          </cell>
          <cell r="E2841" t="str">
            <v>Pedagogická fakulta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BF2841">
            <v>0</v>
          </cell>
          <cell r="BG2841">
            <v>0</v>
          </cell>
          <cell r="BH2841">
            <v>0</v>
          </cell>
          <cell r="BI2841">
            <v>4</v>
          </cell>
          <cell r="BJ2841">
            <v>0</v>
          </cell>
        </row>
        <row r="2842">
          <cell r="D2842" t="str">
            <v>Univerzita Mateja Bela v Banskej Bystrici</v>
          </cell>
          <cell r="E2842" t="str">
            <v>Pedagogická fakulta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BF2842">
            <v>0</v>
          </cell>
          <cell r="BG2842">
            <v>0</v>
          </cell>
          <cell r="BH2842">
            <v>0</v>
          </cell>
          <cell r="BI2842">
            <v>3</v>
          </cell>
          <cell r="BJ2842">
            <v>0</v>
          </cell>
        </row>
        <row r="2843">
          <cell r="D2843" t="str">
            <v>Univerzita Mateja Bela v Banskej Bystrici</v>
          </cell>
          <cell r="E2843" t="str">
            <v>Filozofická fakulta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BF2843">
            <v>0</v>
          </cell>
          <cell r="BG2843">
            <v>0</v>
          </cell>
          <cell r="BH2843">
            <v>0</v>
          </cell>
          <cell r="BI2843">
            <v>4</v>
          </cell>
          <cell r="BJ2843">
            <v>0</v>
          </cell>
        </row>
        <row r="2844">
          <cell r="D2844" t="str">
            <v>Univerzita Mateja Bela v Banskej Bystrici</v>
          </cell>
          <cell r="E2844" t="str">
            <v>Filozofická fakulta</v>
          </cell>
          <cell r="AN2844">
            <v>0</v>
          </cell>
          <cell r="AO2844">
            <v>0</v>
          </cell>
          <cell r="AP2844">
            <v>0</v>
          </cell>
          <cell r="AQ2844">
            <v>0</v>
          </cell>
          <cell r="AR2844">
            <v>0</v>
          </cell>
          <cell r="BF2844">
            <v>0</v>
          </cell>
          <cell r="BG2844">
            <v>0</v>
          </cell>
          <cell r="BH2844">
            <v>0</v>
          </cell>
          <cell r="BI2844">
            <v>3</v>
          </cell>
          <cell r="BJ2844">
            <v>0</v>
          </cell>
        </row>
        <row r="2845">
          <cell r="D2845" t="str">
            <v>Univerzita Mateja Bela v Banskej Bystrici</v>
          </cell>
          <cell r="E2845" t="str">
            <v>Filozofická fakulta</v>
          </cell>
          <cell r="AN2845">
            <v>1</v>
          </cell>
          <cell r="AO2845">
            <v>0</v>
          </cell>
          <cell r="AP2845">
            <v>0</v>
          </cell>
          <cell r="AQ2845">
            <v>0</v>
          </cell>
          <cell r="AR2845">
            <v>1</v>
          </cell>
          <cell r="BF2845">
            <v>4</v>
          </cell>
          <cell r="BG2845">
            <v>4.4000000000000004</v>
          </cell>
          <cell r="BH2845">
            <v>4.4000000000000004</v>
          </cell>
          <cell r="BI2845">
            <v>1</v>
          </cell>
          <cell r="BJ2845">
            <v>1</v>
          </cell>
        </row>
        <row r="2846">
          <cell r="D2846" t="str">
            <v>Univerzita Mateja Bela v Banskej Bystrici</v>
          </cell>
          <cell r="E2846" t="str">
            <v>Filozofická fakulta</v>
          </cell>
          <cell r="AN2846">
            <v>6</v>
          </cell>
          <cell r="AO2846">
            <v>6</v>
          </cell>
          <cell r="AP2846">
            <v>0</v>
          </cell>
          <cell r="AQ2846">
            <v>0</v>
          </cell>
          <cell r="AR2846">
            <v>6</v>
          </cell>
          <cell r="BF2846">
            <v>9</v>
          </cell>
          <cell r="BG2846">
            <v>9.81</v>
          </cell>
          <cell r="BH2846">
            <v>8.4085714285714293</v>
          </cell>
          <cell r="BI2846">
            <v>6</v>
          </cell>
          <cell r="BJ2846">
            <v>0</v>
          </cell>
        </row>
        <row r="2847">
          <cell r="D2847" t="str">
            <v>Univerzita Mateja Bela v Banskej Bystrici</v>
          </cell>
          <cell r="E2847" t="str">
            <v>Filozofická fakulta</v>
          </cell>
          <cell r="AN2847">
            <v>14</v>
          </cell>
          <cell r="AO2847">
            <v>14</v>
          </cell>
          <cell r="AP2847">
            <v>0</v>
          </cell>
          <cell r="AQ2847">
            <v>0</v>
          </cell>
          <cell r="AR2847">
            <v>14</v>
          </cell>
          <cell r="BF2847">
            <v>21</v>
          </cell>
          <cell r="BG2847">
            <v>21</v>
          </cell>
          <cell r="BH2847">
            <v>18</v>
          </cell>
          <cell r="BI2847">
            <v>14</v>
          </cell>
          <cell r="BJ2847">
            <v>0</v>
          </cell>
        </row>
        <row r="2848">
          <cell r="D2848" t="str">
            <v>Univerzita Mateja Bela v Banskej Bystrici</v>
          </cell>
          <cell r="E2848" t="str">
            <v>Filozofická fakulta</v>
          </cell>
          <cell r="AN2848">
            <v>12.5</v>
          </cell>
          <cell r="AO2848">
            <v>12.5</v>
          </cell>
          <cell r="AP2848">
            <v>0</v>
          </cell>
          <cell r="AQ2848">
            <v>0</v>
          </cell>
          <cell r="AR2848">
            <v>12.5</v>
          </cell>
          <cell r="BF2848">
            <v>18.75</v>
          </cell>
          <cell r="BG2848">
            <v>28.125</v>
          </cell>
          <cell r="BH2848">
            <v>28.125</v>
          </cell>
          <cell r="BI2848">
            <v>12.5</v>
          </cell>
          <cell r="BJ2848">
            <v>0</v>
          </cell>
        </row>
        <row r="2849">
          <cell r="D2849" t="str">
            <v>Univerzita Mateja Bela v Banskej Bystrici</v>
          </cell>
          <cell r="E2849" t="str">
            <v>Filozofická fakulta</v>
          </cell>
          <cell r="AN2849">
            <v>13.5</v>
          </cell>
          <cell r="AO2849">
            <v>13.5</v>
          </cell>
          <cell r="AP2849">
            <v>0</v>
          </cell>
          <cell r="AQ2849">
            <v>0</v>
          </cell>
          <cell r="AR2849">
            <v>13.5</v>
          </cell>
          <cell r="BF2849">
            <v>20.25</v>
          </cell>
          <cell r="BG2849">
            <v>30.375</v>
          </cell>
          <cell r="BH2849">
            <v>30.375</v>
          </cell>
          <cell r="BI2849">
            <v>13.5</v>
          </cell>
          <cell r="BJ2849">
            <v>0</v>
          </cell>
        </row>
        <row r="2850">
          <cell r="D2850" t="str">
            <v>Univerzita Mateja Bela v Banskej Bystrici</v>
          </cell>
          <cell r="E2850" t="str">
            <v>Filozofická fakulta</v>
          </cell>
          <cell r="AN2850">
            <v>6</v>
          </cell>
          <cell r="AO2850">
            <v>6</v>
          </cell>
          <cell r="AP2850">
            <v>0</v>
          </cell>
          <cell r="AQ2850">
            <v>0</v>
          </cell>
          <cell r="AR2850">
            <v>6</v>
          </cell>
          <cell r="BF2850">
            <v>9</v>
          </cell>
          <cell r="BG2850">
            <v>9.81</v>
          </cell>
          <cell r="BH2850">
            <v>9.81</v>
          </cell>
          <cell r="BI2850">
            <v>6</v>
          </cell>
          <cell r="BJ2850">
            <v>0</v>
          </cell>
        </row>
        <row r="2851">
          <cell r="D2851" t="str">
            <v>Univerzita Mateja Bela v Banskej Bystrici</v>
          </cell>
          <cell r="E2851" t="str">
            <v>Filozofická fakulta</v>
          </cell>
          <cell r="AN2851">
            <v>5.5</v>
          </cell>
          <cell r="AO2851">
            <v>5.5</v>
          </cell>
          <cell r="AP2851">
            <v>0</v>
          </cell>
          <cell r="AQ2851">
            <v>0</v>
          </cell>
          <cell r="AR2851">
            <v>5.5</v>
          </cell>
          <cell r="BF2851">
            <v>8.25</v>
          </cell>
          <cell r="BG2851">
            <v>12.375</v>
          </cell>
          <cell r="BH2851">
            <v>11.6015625</v>
          </cell>
          <cell r="BI2851">
            <v>5.5</v>
          </cell>
          <cell r="BJ2851">
            <v>0</v>
          </cell>
        </row>
        <row r="2852">
          <cell r="D2852" t="str">
            <v>Univerzita Mateja Bela v Banskej Bystrici</v>
          </cell>
          <cell r="E2852" t="str">
            <v>Filozofická fakulta</v>
          </cell>
          <cell r="AN2852">
            <v>1</v>
          </cell>
          <cell r="AO2852">
            <v>1</v>
          </cell>
          <cell r="AP2852">
            <v>0</v>
          </cell>
          <cell r="AQ2852">
            <v>0</v>
          </cell>
          <cell r="AR2852">
            <v>1</v>
          </cell>
          <cell r="BF2852">
            <v>1.5</v>
          </cell>
          <cell r="BG2852">
            <v>1.905</v>
          </cell>
          <cell r="BH2852">
            <v>1.6823376623376622</v>
          </cell>
          <cell r="BI2852">
            <v>1</v>
          </cell>
          <cell r="BJ2852">
            <v>0</v>
          </cell>
        </row>
        <row r="2853">
          <cell r="D2853" t="str">
            <v>Univerzita Mateja Bela v Banskej Bystrici</v>
          </cell>
          <cell r="E2853" t="str">
            <v>Filozofická fakulta</v>
          </cell>
          <cell r="AN2853">
            <v>4.5</v>
          </cell>
          <cell r="AO2853">
            <v>4.5</v>
          </cell>
          <cell r="AP2853">
            <v>0</v>
          </cell>
          <cell r="AQ2853">
            <v>0</v>
          </cell>
          <cell r="AR2853">
            <v>4.5</v>
          </cell>
          <cell r="BF2853">
            <v>6.75</v>
          </cell>
          <cell r="BG2853">
            <v>7.3575000000000008</v>
          </cell>
          <cell r="BH2853">
            <v>7.3575000000000008</v>
          </cell>
          <cell r="BI2853">
            <v>4.5</v>
          </cell>
          <cell r="BJ2853">
            <v>0</v>
          </cell>
        </row>
        <row r="2854">
          <cell r="D2854" t="str">
            <v>Univerzita Mateja Bela v Banskej Bystrici</v>
          </cell>
          <cell r="E2854" t="str">
            <v>Fakulta prírodných vied</v>
          </cell>
          <cell r="AN2854">
            <v>1</v>
          </cell>
          <cell r="AO2854">
            <v>1</v>
          </cell>
          <cell r="AP2854">
            <v>0</v>
          </cell>
          <cell r="AQ2854">
            <v>0</v>
          </cell>
          <cell r="AR2854">
            <v>1</v>
          </cell>
          <cell r="BF2854">
            <v>1.5</v>
          </cell>
          <cell r="BG2854">
            <v>2.16</v>
          </cell>
          <cell r="BH2854">
            <v>2.16</v>
          </cell>
          <cell r="BI2854">
            <v>1</v>
          </cell>
          <cell r="BJ2854">
            <v>0</v>
          </cell>
        </row>
        <row r="2855">
          <cell r="D2855" t="str">
            <v>Univerzita Mateja Bela v Banskej Bystrici</v>
          </cell>
          <cell r="E2855" t="str">
            <v>Filozofická fakulta</v>
          </cell>
          <cell r="AN2855">
            <v>3</v>
          </cell>
          <cell r="AO2855">
            <v>3</v>
          </cell>
          <cell r="AP2855">
            <v>0</v>
          </cell>
          <cell r="AQ2855">
            <v>0</v>
          </cell>
          <cell r="AR2855">
            <v>3</v>
          </cell>
          <cell r="BF2855">
            <v>4.5</v>
          </cell>
          <cell r="BG2855">
            <v>6.75</v>
          </cell>
          <cell r="BH2855">
            <v>6.75</v>
          </cell>
          <cell r="BI2855">
            <v>3</v>
          </cell>
          <cell r="BJ2855">
            <v>0</v>
          </cell>
        </row>
        <row r="2856">
          <cell r="D2856" t="str">
            <v>Univerzita Mateja Bela v Banskej Bystrici</v>
          </cell>
          <cell r="E2856" t="str">
            <v>Filozofická fakulta</v>
          </cell>
          <cell r="AN2856">
            <v>1</v>
          </cell>
          <cell r="AO2856">
            <v>1</v>
          </cell>
          <cell r="AP2856">
            <v>0</v>
          </cell>
          <cell r="AQ2856">
            <v>0</v>
          </cell>
          <cell r="AR2856">
            <v>1</v>
          </cell>
          <cell r="BF2856">
            <v>1.5</v>
          </cell>
          <cell r="BG2856">
            <v>2.25</v>
          </cell>
          <cell r="BH2856">
            <v>1.9870129870129869</v>
          </cell>
          <cell r="BI2856">
            <v>1</v>
          </cell>
          <cell r="BJ2856">
            <v>0</v>
          </cell>
        </row>
        <row r="2857">
          <cell r="D2857" t="str">
            <v>Univerzita Mateja Bela v Banskej Bystrici</v>
          </cell>
          <cell r="E2857" t="str">
            <v>Filozofická fakulta</v>
          </cell>
          <cell r="AN2857">
            <v>23</v>
          </cell>
          <cell r="AO2857">
            <v>23</v>
          </cell>
          <cell r="AP2857">
            <v>0</v>
          </cell>
          <cell r="AQ2857">
            <v>0</v>
          </cell>
          <cell r="AR2857">
            <v>23</v>
          </cell>
          <cell r="BF2857">
            <v>18.2</v>
          </cell>
          <cell r="BG2857">
            <v>27.299999999999997</v>
          </cell>
          <cell r="BH2857">
            <v>25.837499999999995</v>
          </cell>
          <cell r="BI2857">
            <v>23</v>
          </cell>
          <cell r="BJ2857">
            <v>0</v>
          </cell>
        </row>
        <row r="2858">
          <cell r="D2858" t="str">
            <v>Univerzita Mateja Bela v Banskej Bystrici</v>
          </cell>
          <cell r="E2858" t="str">
            <v>Filozofická fakulta</v>
          </cell>
          <cell r="AN2858">
            <v>1</v>
          </cell>
          <cell r="AO2858">
            <v>2</v>
          </cell>
          <cell r="AP2858">
            <v>0</v>
          </cell>
          <cell r="AQ2858">
            <v>0</v>
          </cell>
          <cell r="AR2858">
            <v>1</v>
          </cell>
          <cell r="BF2858">
            <v>1</v>
          </cell>
          <cell r="BG2858">
            <v>1.19</v>
          </cell>
          <cell r="BH2858">
            <v>1.14006993006993</v>
          </cell>
          <cell r="BI2858">
            <v>2</v>
          </cell>
          <cell r="BJ2858">
            <v>0</v>
          </cell>
        </row>
        <row r="2859">
          <cell r="D2859" t="str">
            <v>Univerzita Mateja Bela v Banskej Bystrici</v>
          </cell>
          <cell r="E2859" t="str">
            <v>Filozofická fakulta</v>
          </cell>
          <cell r="AN2859">
            <v>3</v>
          </cell>
          <cell r="AO2859">
            <v>3</v>
          </cell>
          <cell r="AP2859">
            <v>0</v>
          </cell>
          <cell r="AQ2859">
            <v>0</v>
          </cell>
          <cell r="AR2859">
            <v>3</v>
          </cell>
          <cell r="BF2859">
            <v>2.4</v>
          </cell>
          <cell r="BG2859">
            <v>3.5999999999999996</v>
          </cell>
          <cell r="BH2859">
            <v>3.4071428571428566</v>
          </cell>
          <cell r="BI2859">
            <v>3</v>
          </cell>
          <cell r="BJ2859">
            <v>0</v>
          </cell>
        </row>
        <row r="2860">
          <cell r="D2860" t="str">
            <v>Univerzita Mateja Bela v Banskej Bystrici</v>
          </cell>
          <cell r="E2860" t="str">
            <v>Filozofická fakulta</v>
          </cell>
          <cell r="AN2860">
            <v>1.5</v>
          </cell>
          <cell r="AO2860">
            <v>1.5</v>
          </cell>
          <cell r="AP2860">
            <v>0</v>
          </cell>
          <cell r="AQ2860">
            <v>0</v>
          </cell>
          <cell r="AR2860">
            <v>1.5</v>
          </cell>
          <cell r="BF2860">
            <v>1.2</v>
          </cell>
          <cell r="BG2860">
            <v>1.3080000000000001</v>
          </cell>
          <cell r="BH2860">
            <v>1.3080000000000001</v>
          </cell>
          <cell r="BI2860">
            <v>1.5</v>
          </cell>
          <cell r="BJ2860">
            <v>0</v>
          </cell>
        </row>
        <row r="2861">
          <cell r="D2861" t="str">
            <v>Univerzita Mateja Bela v Banskej Bystrici</v>
          </cell>
          <cell r="E2861" t="str">
            <v>Filozofická fakulta</v>
          </cell>
          <cell r="AN2861">
            <v>6</v>
          </cell>
          <cell r="AO2861">
            <v>6</v>
          </cell>
          <cell r="AP2861">
            <v>0</v>
          </cell>
          <cell r="AQ2861">
            <v>0</v>
          </cell>
          <cell r="AR2861">
            <v>6</v>
          </cell>
          <cell r="BF2861">
            <v>4.5</v>
          </cell>
          <cell r="BG2861">
            <v>4.5</v>
          </cell>
          <cell r="BH2861">
            <v>4.5</v>
          </cell>
          <cell r="BI2861">
            <v>6</v>
          </cell>
          <cell r="BJ2861">
            <v>0</v>
          </cell>
        </row>
        <row r="2862">
          <cell r="D2862" t="str">
            <v>Univerzita Mateja Bela v Banskej Bystrici</v>
          </cell>
          <cell r="E2862" t="str">
            <v>Filozofická fakulta</v>
          </cell>
          <cell r="AN2862">
            <v>2</v>
          </cell>
          <cell r="AO2862">
            <v>2</v>
          </cell>
          <cell r="AP2862">
            <v>0</v>
          </cell>
          <cell r="AQ2862">
            <v>0</v>
          </cell>
          <cell r="AR2862">
            <v>2</v>
          </cell>
          <cell r="BF2862">
            <v>1.7</v>
          </cell>
          <cell r="BG2862">
            <v>2.1589999999999998</v>
          </cell>
          <cell r="BH2862">
            <v>2.0433392857142856</v>
          </cell>
          <cell r="BI2862">
            <v>2</v>
          </cell>
          <cell r="BJ2862">
            <v>0</v>
          </cell>
        </row>
        <row r="2863">
          <cell r="D2863" t="str">
            <v>Univerzita Komenského v Bratislave</v>
          </cell>
          <cell r="E2863" t="str">
            <v>Fakulta matematiky, fyziky a informatiky</v>
          </cell>
          <cell r="AN2863">
            <v>0</v>
          </cell>
          <cell r="AO2863">
            <v>0</v>
          </cell>
          <cell r="AP2863">
            <v>0</v>
          </cell>
          <cell r="AQ2863">
            <v>0</v>
          </cell>
          <cell r="AR2863">
            <v>0</v>
          </cell>
          <cell r="BF2863">
            <v>0</v>
          </cell>
          <cell r="BG2863">
            <v>0</v>
          </cell>
          <cell r="BH2863">
            <v>0</v>
          </cell>
          <cell r="BI2863">
            <v>1</v>
          </cell>
          <cell r="BJ2863">
            <v>0</v>
          </cell>
        </row>
        <row r="2864">
          <cell r="D2864" t="str">
            <v>Univerzita Komenského v Bratislave</v>
          </cell>
          <cell r="E2864" t="str">
            <v>Fakulta matematiky, fyziky a informatiky</v>
          </cell>
          <cell r="AN2864">
            <v>2</v>
          </cell>
          <cell r="AO2864">
            <v>2</v>
          </cell>
          <cell r="AP2864">
            <v>2</v>
          </cell>
          <cell r="AQ2864">
            <v>2</v>
          </cell>
          <cell r="AR2864">
            <v>2</v>
          </cell>
          <cell r="BF2864">
            <v>3</v>
          </cell>
          <cell r="BG2864">
            <v>4.4399999999999995</v>
          </cell>
          <cell r="BH2864">
            <v>4.2142372881355925</v>
          </cell>
          <cell r="BI2864">
            <v>2</v>
          </cell>
          <cell r="BJ2864">
            <v>0</v>
          </cell>
        </row>
        <row r="2865">
          <cell r="D2865" t="str">
            <v>Univerzita Komenského v Bratislave</v>
          </cell>
          <cell r="E2865" t="str">
            <v>Fakulta matematiky, fyziky a informatiky</v>
          </cell>
          <cell r="AN2865">
            <v>28</v>
          </cell>
          <cell r="AO2865">
            <v>28</v>
          </cell>
          <cell r="AP2865">
            <v>28</v>
          </cell>
          <cell r="AQ2865">
            <v>28</v>
          </cell>
          <cell r="AR2865">
            <v>28</v>
          </cell>
          <cell r="BF2865">
            <v>42</v>
          </cell>
          <cell r="BG2865">
            <v>55.440000000000005</v>
          </cell>
          <cell r="BH2865">
            <v>52.920000000000009</v>
          </cell>
          <cell r="BI2865">
            <v>28</v>
          </cell>
          <cell r="BJ2865">
            <v>0</v>
          </cell>
        </row>
        <row r="2866">
          <cell r="D2866" t="str">
            <v>Univerzita Komenského v Bratislave</v>
          </cell>
          <cell r="E2866" t="str">
            <v>Fakulta matematiky, fyziky a informatiky</v>
          </cell>
          <cell r="AN2866">
            <v>1.5</v>
          </cell>
          <cell r="AO2866">
            <v>1.5</v>
          </cell>
          <cell r="AP2866">
            <v>0</v>
          </cell>
          <cell r="AQ2866">
            <v>0</v>
          </cell>
          <cell r="AR2866">
            <v>1.5</v>
          </cell>
          <cell r="BF2866">
            <v>2.25</v>
          </cell>
          <cell r="BG2866">
            <v>2.6774999999999998</v>
          </cell>
          <cell r="BH2866">
            <v>2.6774999999999998</v>
          </cell>
          <cell r="BI2866">
            <v>1.5</v>
          </cell>
          <cell r="BJ2866">
            <v>0</v>
          </cell>
        </row>
        <row r="2867">
          <cell r="D2867" t="str">
            <v>Univerzita Komenského v Bratislave</v>
          </cell>
          <cell r="E2867" t="str">
            <v>Fakulta matematiky, fyziky a informatiky</v>
          </cell>
          <cell r="AN2867">
            <v>6</v>
          </cell>
          <cell r="AO2867">
            <v>6</v>
          </cell>
          <cell r="AP2867">
            <v>6</v>
          </cell>
          <cell r="AQ2867">
            <v>6</v>
          </cell>
          <cell r="AR2867">
            <v>6</v>
          </cell>
          <cell r="BF2867">
            <v>9</v>
          </cell>
          <cell r="BG2867">
            <v>13.32</v>
          </cell>
          <cell r="BH2867">
            <v>13.32</v>
          </cell>
          <cell r="BI2867">
            <v>6</v>
          </cell>
          <cell r="BJ2867">
            <v>0</v>
          </cell>
        </row>
        <row r="2868">
          <cell r="D2868" t="str">
            <v>Univerzita Komenského v Bratislave</v>
          </cell>
          <cell r="E2868" t="str">
            <v>Fakulta matematiky, fyziky a informatiky</v>
          </cell>
          <cell r="AN2868">
            <v>5</v>
          </cell>
          <cell r="AO2868">
            <v>5</v>
          </cell>
          <cell r="AP2868">
            <v>5</v>
          </cell>
          <cell r="AQ2868">
            <v>5</v>
          </cell>
          <cell r="AR2868">
            <v>5</v>
          </cell>
          <cell r="BF2868">
            <v>7.5</v>
          </cell>
          <cell r="BG2868">
            <v>11.1</v>
          </cell>
          <cell r="BH2868">
            <v>11.1</v>
          </cell>
          <cell r="BI2868">
            <v>5</v>
          </cell>
          <cell r="BJ2868">
            <v>0</v>
          </cell>
        </row>
        <row r="2869">
          <cell r="D2869" t="str">
            <v>Univerzita Komenského v Bratislave</v>
          </cell>
          <cell r="E2869" t="str">
            <v>Fakulta matematiky, fyziky a informatiky</v>
          </cell>
          <cell r="AN2869">
            <v>2</v>
          </cell>
          <cell r="AO2869">
            <v>2.5</v>
          </cell>
          <cell r="AP2869">
            <v>2.5</v>
          </cell>
          <cell r="AQ2869">
            <v>2</v>
          </cell>
          <cell r="AR2869">
            <v>2</v>
          </cell>
          <cell r="BF2869">
            <v>3</v>
          </cell>
          <cell r="BG2869">
            <v>3.57</v>
          </cell>
          <cell r="BH2869">
            <v>3.57</v>
          </cell>
          <cell r="BI2869">
            <v>2.5</v>
          </cell>
          <cell r="BJ2869">
            <v>0</v>
          </cell>
        </row>
        <row r="2870">
          <cell r="D2870" t="str">
            <v>Univerzita Komenského v Bratislave</v>
          </cell>
          <cell r="E2870" t="str">
            <v>Fakulta matematiky, fyziky a informatiky</v>
          </cell>
          <cell r="AN2870">
            <v>0.5</v>
          </cell>
          <cell r="AO2870">
            <v>1</v>
          </cell>
          <cell r="AP2870">
            <v>1</v>
          </cell>
          <cell r="AQ2870">
            <v>0.5</v>
          </cell>
          <cell r="AR2870">
            <v>0.5</v>
          </cell>
          <cell r="BF2870">
            <v>0.75</v>
          </cell>
          <cell r="BG2870">
            <v>0.89249999999999996</v>
          </cell>
          <cell r="BH2870">
            <v>0.86468181818181811</v>
          </cell>
          <cell r="BI2870">
            <v>1</v>
          </cell>
          <cell r="BJ2870">
            <v>0</v>
          </cell>
        </row>
        <row r="2871">
          <cell r="D2871" t="str">
            <v>Univerzita Komenského v Bratislave</v>
          </cell>
          <cell r="E2871" t="str">
            <v>Fakulta matematiky, fyziky a informatiky</v>
          </cell>
          <cell r="AN2871">
            <v>3</v>
          </cell>
          <cell r="AO2871">
            <v>4</v>
          </cell>
          <cell r="AP2871">
            <v>4</v>
          </cell>
          <cell r="AQ2871">
            <v>3</v>
          </cell>
          <cell r="AR2871">
            <v>3</v>
          </cell>
          <cell r="BF2871">
            <v>4.5</v>
          </cell>
          <cell r="BG2871">
            <v>6.66</v>
          </cell>
          <cell r="BH2871">
            <v>6.66</v>
          </cell>
          <cell r="BI2871">
            <v>4</v>
          </cell>
          <cell r="BJ2871">
            <v>0</v>
          </cell>
        </row>
        <row r="2872">
          <cell r="D2872" t="str">
            <v>Univerzita Komenského v Bratislave</v>
          </cell>
          <cell r="E2872" t="str">
            <v>Fakulta matematiky, fyziky a informatiky</v>
          </cell>
          <cell r="AN2872">
            <v>1.5</v>
          </cell>
          <cell r="AO2872">
            <v>1.5</v>
          </cell>
          <cell r="AP2872">
            <v>0</v>
          </cell>
          <cell r="AQ2872">
            <v>0</v>
          </cell>
          <cell r="AR2872">
            <v>1.5</v>
          </cell>
          <cell r="BF2872">
            <v>1.35</v>
          </cell>
          <cell r="BG2872">
            <v>1.6065</v>
          </cell>
          <cell r="BH2872">
            <v>1.6065</v>
          </cell>
          <cell r="BI2872">
            <v>1.5</v>
          </cell>
          <cell r="BJ2872">
            <v>0</v>
          </cell>
        </row>
        <row r="2873">
          <cell r="D2873" t="str">
            <v>Univerzita Komenského v Bratislave</v>
          </cell>
          <cell r="E2873" t="str">
            <v>Fakulta matematiky, fyziky a informatiky</v>
          </cell>
          <cell r="AN2873">
            <v>0</v>
          </cell>
          <cell r="AO2873">
            <v>1</v>
          </cell>
          <cell r="AP2873">
            <v>1</v>
          </cell>
          <cell r="AQ2873">
            <v>0</v>
          </cell>
          <cell r="AR2873">
            <v>0</v>
          </cell>
          <cell r="BF2873">
            <v>0</v>
          </cell>
          <cell r="BG2873">
            <v>0</v>
          </cell>
          <cell r="BH2873">
            <v>0</v>
          </cell>
          <cell r="BI2873">
            <v>1</v>
          </cell>
          <cell r="BJ2873">
            <v>0</v>
          </cell>
        </row>
        <row r="2874">
          <cell r="D2874" t="str">
            <v>Univerzita Komenského v Bratislave</v>
          </cell>
          <cell r="E2874" t="str">
            <v>Fakulta matematiky, fyziky a informatiky</v>
          </cell>
          <cell r="AN2874">
            <v>0</v>
          </cell>
          <cell r="AO2874">
            <v>1</v>
          </cell>
          <cell r="AP2874">
            <v>1</v>
          </cell>
          <cell r="AQ2874">
            <v>0</v>
          </cell>
          <cell r="AR2874">
            <v>0</v>
          </cell>
          <cell r="BF2874">
            <v>0</v>
          </cell>
          <cell r="BG2874">
            <v>0</v>
          </cell>
          <cell r="BH2874">
            <v>0</v>
          </cell>
          <cell r="BI2874">
            <v>1</v>
          </cell>
          <cell r="BJ2874">
            <v>0</v>
          </cell>
        </row>
        <row r="2875">
          <cell r="D2875" t="str">
            <v>Univerzita Komenského v Bratislave</v>
          </cell>
          <cell r="E2875" t="str">
            <v>Fakulta matematiky, fyziky a informatiky</v>
          </cell>
          <cell r="AN2875">
            <v>2</v>
          </cell>
          <cell r="AO2875">
            <v>2</v>
          </cell>
          <cell r="AP2875">
            <v>2</v>
          </cell>
          <cell r="AQ2875">
            <v>2</v>
          </cell>
          <cell r="AR2875">
            <v>2</v>
          </cell>
          <cell r="BF2875">
            <v>3</v>
          </cell>
          <cell r="BG2875">
            <v>4.4399999999999995</v>
          </cell>
          <cell r="BH2875">
            <v>4.4399999999999995</v>
          </cell>
          <cell r="BI2875">
            <v>2</v>
          </cell>
          <cell r="BJ2875">
            <v>0</v>
          </cell>
        </row>
        <row r="2876">
          <cell r="D2876" t="str">
            <v>Univerzita Konštantína Filozofa v Nitre</v>
          </cell>
          <cell r="E2876" t="str">
            <v>Pedagogická fakulta</v>
          </cell>
          <cell r="AN2876">
            <v>0</v>
          </cell>
          <cell r="AO2876">
            <v>0</v>
          </cell>
          <cell r="AP2876">
            <v>0</v>
          </cell>
          <cell r="AQ2876">
            <v>0</v>
          </cell>
          <cell r="AR2876">
            <v>0</v>
          </cell>
          <cell r="BF2876">
            <v>0</v>
          </cell>
          <cell r="BG2876">
            <v>0</v>
          </cell>
          <cell r="BH2876">
            <v>0</v>
          </cell>
          <cell r="BI2876">
            <v>34</v>
          </cell>
          <cell r="BJ2876">
            <v>0</v>
          </cell>
        </row>
        <row r="2877">
          <cell r="D2877" t="str">
            <v>Univerzita Konštantína Filozofa v Nitre</v>
          </cell>
          <cell r="E2877" t="str">
            <v>Pedagogická fakulta</v>
          </cell>
          <cell r="AN2877">
            <v>0</v>
          </cell>
          <cell r="AO2877">
            <v>0</v>
          </cell>
          <cell r="AP2877">
            <v>0</v>
          </cell>
          <cell r="AQ2877">
            <v>0</v>
          </cell>
          <cell r="AR2877">
            <v>0</v>
          </cell>
          <cell r="BF2877">
            <v>0</v>
          </cell>
          <cell r="BG2877">
            <v>0</v>
          </cell>
          <cell r="BH2877">
            <v>0</v>
          </cell>
          <cell r="BI2877">
            <v>6</v>
          </cell>
          <cell r="BJ2877">
            <v>0</v>
          </cell>
        </row>
        <row r="2878">
          <cell r="D2878" t="str">
            <v>Univerzita Konštantína Filozofa v Nitre</v>
          </cell>
          <cell r="E2878" t="str">
            <v>Pedagogická fakulta</v>
          </cell>
          <cell r="AN2878">
            <v>4</v>
          </cell>
          <cell r="AO2878">
            <v>5</v>
          </cell>
          <cell r="AP2878">
            <v>0</v>
          </cell>
          <cell r="AQ2878">
            <v>0</v>
          </cell>
          <cell r="AR2878">
            <v>4</v>
          </cell>
          <cell r="BF2878">
            <v>3.0999999999999996</v>
          </cell>
          <cell r="BG2878">
            <v>4.4639999999999995</v>
          </cell>
          <cell r="BH2878">
            <v>4.3227341772151897</v>
          </cell>
          <cell r="BI2878">
            <v>5</v>
          </cell>
          <cell r="BJ2878">
            <v>0</v>
          </cell>
        </row>
        <row r="2879">
          <cell r="D2879" t="str">
            <v>Univerzita Konštantína Filozofa v Nitre</v>
          </cell>
          <cell r="E2879" t="str">
            <v>Pedagogická fakulta</v>
          </cell>
          <cell r="AN2879">
            <v>1</v>
          </cell>
          <cell r="AO2879">
            <v>0</v>
          </cell>
          <cell r="AP2879">
            <v>0</v>
          </cell>
          <cell r="AQ2879">
            <v>0</v>
          </cell>
          <cell r="AR2879">
            <v>1</v>
          </cell>
          <cell r="BF2879">
            <v>4</v>
          </cell>
          <cell r="BG2879">
            <v>4.4000000000000004</v>
          </cell>
          <cell r="BH2879">
            <v>2.2000000000000002</v>
          </cell>
          <cell r="BI2879">
            <v>1</v>
          </cell>
          <cell r="BJ2879">
            <v>1</v>
          </cell>
        </row>
        <row r="2880">
          <cell r="D2880" t="str">
            <v>Univerzita Konštantína Filozofa v Nitre</v>
          </cell>
          <cell r="E2880" t="str">
            <v>Pedagogická fakulta</v>
          </cell>
          <cell r="AN2880">
            <v>3</v>
          </cell>
          <cell r="AO2880">
            <v>0</v>
          </cell>
          <cell r="AP2880">
            <v>0</v>
          </cell>
          <cell r="AQ2880">
            <v>0</v>
          </cell>
          <cell r="AR2880">
            <v>3</v>
          </cell>
          <cell r="BF2880">
            <v>12</v>
          </cell>
          <cell r="BG2880">
            <v>13.200000000000001</v>
          </cell>
          <cell r="BH2880">
            <v>13.200000000000001</v>
          </cell>
          <cell r="BI2880">
            <v>3</v>
          </cell>
          <cell r="BJ2880">
            <v>3</v>
          </cell>
        </row>
        <row r="2881">
          <cell r="D2881" t="str">
            <v>Univerzita Konštantína Filozofa v Nitre</v>
          </cell>
          <cell r="E2881" t="str">
            <v>Pedagogická fakulta</v>
          </cell>
          <cell r="AN2881">
            <v>20.5</v>
          </cell>
          <cell r="AO2881">
            <v>20.5</v>
          </cell>
          <cell r="AP2881">
            <v>0</v>
          </cell>
          <cell r="AQ2881">
            <v>0</v>
          </cell>
          <cell r="AR2881">
            <v>20.5</v>
          </cell>
          <cell r="BF2881">
            <v>30.75</v>
          </cell>
          <cell r="BG2881">
            <v>36.592500000000001</v>
          </cell>
          <cell r="BH2881">
            <v>33.265909090909091</v>
          </cell>
          <cell r="BI2881">
            <v>20.5</v>
          </cell>
          <cell r="BJ2881">
            <v>0</v>
          </cell>
        </row>
        <row r="2882">
          <cell r="D2882" t="str">
            <v>Univerzita Konštantína Filozofa v Nitre</v>
          </cell>
          <cell r="E2882" t="str">
            <v>Pedagogická fakulta</v>
          </cell>
          <cell r="AN2882">
            <v>16</v>
          </cell>
          <cell r="AO2882">
            <v>16</v>
          </cell>
          <cell r="AP2882">
            <v>0</v>
          </cell>
          <cell r="AQ2882">
            <v>0</v>
          </cell>
          <cell r="AR2882">
            <v>16</v>
          </cell>
          <cell r="BF2882">
            <v>24</v>
          </cell>
          <cell r="BG2882">
            <v>24.96</v>
          </cell>
          <cell r="BH2882">
            <v>21.12</v>
          </cell>
          <cell r="BI2882">
            <v>16</v>
          </cell>
          <cell r="BJ2882">
            <v>0</v>
          </cell>
        </row>
        <row r="2883">
          <cell r="D2883" t="str">
            <v>Univerzita Konštantína Filozofa v Nitre</v>
          </cell>
          <cell r="E2883" t="str">
            <v>Pedagogická fakulta</v>
          </cell>
          <cell r="AN2883">
            <v>3</v>
          </cell>
          <cell r="AO2883">
            <v>3</v>
          </cell>
          <cell r="AP2883">
            <v>0</v>
          </cell>
          <cell r="AQ2883">
            <v>0</v>
          </cell>
          <cell r="AR2883">
            <v>3</v>
          </cell>
          <cell r="BF2883">
            <v>4.5</v>
          </cell>
          <cell r="BG2883">
            <v>6.4799999999999995</v>
          </cell>
          <cell r="BH2883">
            <v>6.4799999999999995</v>
          </cell>
          <cell r="BI2883">
            <v>3</v>
          </cell>
          <cell r="BJ2883">
            <v>0</v>
          </cell>
        </row>
        <row r="2884">
          <cell r="D2884" t="str">
            <v>Univerzita Konštantína Filozofa v Nitre</v>
          </cell>
          <cell r="E2884" t="str">
            <v>Pedagogická fakulta</v>
          </cell>
          <cell r="AN2884">
            <v>42</v>
          </cell>
          <cell r="AO2884">
            <v>44</v>
          </cell>
          <cell r="AP2884">
            <v>0</v>
          </cell>
          <cell r="AQ2884">
            <v>0</v>
          </cell>
          <cell r="AR2884">
            <v>42</v>
          </cell>
          <cell r="BF2884">
            <v>30.299999999999997</v>
          </cell>
          <cell r="BG2884">
            <v>44.843999999999994</v>
          </cell>
          <cell r="BH2884">
            <v>44.843999999999994</v>
          </cell>
          <cell r="BI2884">
            <v>44</v>
          </cell>
          <cell r="BJ2884">
            <v>0</v>
          </cell>
        </row>
        <row r="2885">
          <cell r="D2885" t="str">
            <v>Akadémia umení v Banskej Bystrici</v>
          </cell>
          <cell r="E2885" t="str">
            <v>Fakulta dramatických umení</v>
          </cell>
          <cell r="AN2885">
            <v>25</v>
          </cell>
          <cell r="AO2885">
            <v>25</v>
          </cell>
          <cell r="AP2885">
            <v>0</v>
          </cell>
          <cell r="AQ2885">
            <v>0</v>
          </cell>
          <cell r="AR2885">
            <v>25</v>
          </cell>
          <cell r="BF2885">
            <v>37.5</v>
          </cell>
          <cell r="BG2885">
            <v>121.125</v>
          </cell>
          <cell r="BH2885">
            <v>107.66666666666666</v>
          </cell>
          <cell r="BI2885">
            <v>25</v>
          </cell>
          <cell r="BJ2885">
            <v>0</v>
          </cell>
        </row>
        <row r="2886">
          <cell r="D2886" t="str">
            <v>Akadémia umení v Banskej Bystrici</v>
          </cell>
          <cell r="E2886" t="str">
            <v>Fakulta dramatických umení</v>
          </cell>
          <cell r="AN2886">
            <v>8</v>
          </cell>
          <cell r="AO2886">
            <v>8</v>
          </cell>
          <cell r="AP2886">
            <v>0</v>
          </cell>
          <cell r="AQ2886">
            <v>0</v>
          </cell>
          <cell r="AR2886">
            <v>8</v>
          </cell>
          <cell r="BF2886">
            <v>12</v>
          </cell>
          <cell r="BG2886">
            <v>38.76</v>
          </cell>
          <cell r="BH2886">
            <v>38.76</v>
          </cell>
          <cell r="BI2886">
            <v>8</v>
          </cell>
          <cell r="BJ2886">
            <v>0</v>
          </cell>
        </row>
        <row r="2887">
          <cell r="D2887" t="str">
            <v>Akadémia umení v Banskej Bystrici</v>
          </cell>
          <cell r="E2887" t="str">
            <v>Fakulta dramatických umení</v>
          </cell>
          <cell r="AN2887">
            <v>19</v>
          </cell>
          <cell r="AO2887">
            <v>19</v>
          </cell>
          <cell r="AP2887">
            <v>0</v>
          </cell>
          <cell r="AQ2887">
            <v>0</v>
          </cell>
          <cell r="AR2887">
            <v>19</v>
          </cell>
          <cell r="BF2887">
            <v>28.5</v>
          </cell>
          <cell r="BG2887">
            <v>92.054999999999993</v>
          </cell>
          <cell r="BH2887">
            <v>61.370000000000005</v>
          </cell>
          <cell r="BI2887">
            <v>19</v>
          </cell>
          <cell r="BJ2887">
            <v>0</v>
          </cell>
        </row>
        <row r="2888">
          <cell r="D2888" t="str">
            <v>Univerzita Pavla Jozefa Šafárika v Košiciach</v>
          </cell>
          <cell r="E2888" t="str">
            <v>Prírodovedecká fakulta</v>
          </cell>
          <cell r="AN2888">
            <v>38</v>
          </cell>
          <cell r="AO2888">
            <v>38</v>
          </cell>
          <cell r="AP2888">
            <v>0</v>
          </cell>
          <cell r="AQ2888">
            <v>0</v>
          </cell>
          <cell r="AR2888">
            <v>38</v>
          </cell>
          <cell r="BF2888">
            <v>57</v>
          </cell>
          <cell r="BG2888">
            <v>84.36</v>
          </cell>
          <cell r="BH2888">
            <v>60.25714285714286</v>
          </cell>
          <cell r="BI2888">
            <v>38</v>
          </cell>
          <cell r="BJ2888">
            <v>0</v>
          </cell>
        </row>
        <row r="2889">
          <cell r="D2889" t="str">
            <v>Univerzita Pavla Jozefa Šafárika v Košiciach</v>
          </cell>
          <cell r="E2889" t="str">
            <v>Prírodovedecká fakulta</v>
          </cell>
          <cell r="AN2889">
            <v>16</v>
          </cell>
          <cell r="AO2889">
            <v>16</v>
          </cell>
          <cell r="AP2889">
            <v>16</v>
          </cell>
          <cell r="AQ2889">
            <v>16</v>
          </cell>
          <cell r="AR2889">
            <v>16</v>
          </cell>
          <cell r="BF2889">
            <v>24</v>
          </cell>
          <cell r="BG2889">
            <v>35.519999999999996</v>
          </cell>
          <cell r="BH2889">
            <v>35.519999999999996</v>
          </cell>
          <cell r="BI2889">
            <v>16</v>
          </cell>
          <cell r="BJ2889">
            <v>0</v>
          </cell>
        </row>
        <row r="2890">
          <cell r="D2890" t="str">
            <v>Univerzita Pavla Jozefa Šafárika v Košiciach</v>
          </cell>
          <cell r="E2890" t="str">
            <v>Prírodovedecká fakulta</v>
          </cell>
          <cell r="AN2890">
            <v>7</v>
          </cell>
          <cell r="AO2890">
            <v>7</v>
          </cell>
          <cell r="AP2890">
            <v>7</v>
          </cell>
          <cell r="AQ2890">
            <v>7</v>
          </cell>
          <cell r="AR2890">
            <v>7</v>
          </cell>
          <cell r="BF2890">
            <v>10.5</v>
          </cell>
          <cell r="BG2890">
            <v>15.54</v>
          </cell>
          <cell r="BH2890">
            <v>15.54</v>
          </cell>
          <cell r="BI2890">
            <v>7</v>
          </cell>
          <cell r="BJ2890">
            <v>0</v>
          </cell>
        </row>
        <row r="2891">
          <cell r="D2891" t="str">
            <v>Univerzita Pavla Jozefa Šafárika v Košiciach</v>
          </cell>
          <cell r="E2891" t="str">
            <v>Prírodovedecká fakulta</v>
          </cell>
          <cell r="AN2891">
            <v>4</v>
          </cell>
          <cell r="AO2891">
            <v>5</v>
          </cell>
          <cell r="AP2891">
            <v>5</v>
          </cell>
          <cell r="AQ2891">
            <v>4</v>
          </cell>
          <cell r="AR2891">
            <v>4</v>
          </cell>
          <cell r="BF2891">
            <v>6</v>
          </cell>
          <cell r="BG2891">
            <v>8.879999999999999</v>
          </cell>
          <cell r="BH2891">
            <v>8.879999999999999</v>
          </cell>
          <cell r="BI2891">
            <v>5</v>
          </cell>
          <cell r="BJ2891">
            <v>0</v>
          </cell>
        </row>
        <row r="2892">
          <cell r="D2892" t="str">
            <v>Univerzita Pavla Jozefa Šafárika v Košiciach</v>
          </cell>
          <cell r="E2892" t="str">
            <v>Prírodovedecká fakulta</v>
          </cell>
          <cell r="AN2892">
            <v>2</v>
          </cell>
          <cell r="AO2892">
            <v>3</v>
          </cell>
          <cell r="AP2892">
            <v>3</v>
          </cell>
          <cell r="AQ2892">
            <v>2</v>
          </cell>
          <cell r="AR2892">
            <v>2</v>
          </cell>
          <cell r="BF2892">
            <v>3</v>
          </cell>
          <cell r="BG2892">
            <v>3.96</v>
          </cell>
          <cell r="BH2892">
            <v>3.96</v>
          </cell>
          <cell r="BI2892">
            <v>3</v>
          </cell>
          <cell r="BJ2892">
            <v>0</v>
          </cell>
        </row>
        <row r="2893">
          <cell r="D2893" t="str">
            <v>Univerzita Pavla Jozefa Šafárika v Košiciach</v>
          </cell>
          <cell r="E2893" t="str">
            <v>Prírodovedecká fakulta</v>
          </cell>
          <cell r="AN2893">
            <v>1.5</v>
          </cell>
          <cell r="AO2893">
            <v>1.5</v>
          </cell>
          <cell r="AP2893">
            <v>1.5</v>
          </cell>
          <cell r="AQ2893">
            <v>1.5</v>
          </cell>
          <cell r="AR2893">
            <v>1.5</v>
          </cell>
          <cell r="BF2893">
            <v>2.25</v>
          </cell>
          <cell r="BG2893">
            <v>3.2399999999999998</v>
          </cell>
          <cell r="BH2893">
            <v>3.2399999999999998</v>
          </cell>
          <cell r="BI2893">
            <v>1.5</v>
          </cell>
          <cell r="BJ2893">
            <v>0</v>
          </cell>
        </row>
        <row r="2894">
          <cell r="D2894" t="str">
            <v>Univerzita Pavla Jozefa Šafárika v Košiciach</v>
          </cell>
          <cell r="E2894" t="str">
            <v>Prírodovedecká fakulta</v>
          </cell>
          <cell r="AN2894">
            <v>12</v>
          </cell>
          <cell r="AO2894">
            <v>12</v>
          </cell>
          <cell r="AP2894">
            <v>0</v>
          </cell>
          <cell r="AQ2894">
            <v>0</v>
          </cell>
          <cell r="AR2894">
            <v>12</v>
          </cell>
          <cell r="BF2894">
            <v>18</v>
          </cell>
          <cell r="BG2894">
            <v>26.64</v>
          </cell>
          <cell r="BH2894">
            <v>21.312000000000001</v>
          </cell>
          <cell r="BI2894">
            <v>12</v>
          </cell>
          <cell r="BJ2894">
            <v>0</v>
          </cell>
        </row>
        <row r="2895">
          <cell r="D2895" t="str">
            <v>Univerzita Pavla Jozefa Šafárika v Košiciach</v>
          </cell>
          <cell r="E2895" t="str">
            <v>Prírodovedecká fakulta</v>
          </cell>
          <cell r="AN2895">
            <v>7</v>
          </cell>
          <cell r="AO2895">
            <v>8</v>
          </cell>
          <cell r="AP2895">
            <v>8</v>
          </cell>
          <cell r="AQ2895">
            <v>7</v>
          </cell>
          <cell r="AR2895">
            <v>7</v>
          </cell>
          <cell r="BF2895">
            <v>10.5</v>
          </cell>
          <cell r="BG2895">
            <v>15.54</v>
          </cell>
          <cell r="BH2895">
            <v>15.54</v>
          </cell>
          <cell r="BI2895">
            <v>8</v>
          </cell>
          <cell r="BJ2895">
            <v>0</v>
          </cell>
        </row>
        <row r="2896">
          <cell r="D2896" t="str">
            <v>Univerzita Pavla Jozefa Šafárika v Košiciach</v>
          </cell>
          <cell r="E2896" t="str">
            <v>Prírodovedecká fakulta</v>
          </cell>
          <cell r="AN2896">
            <v>20</v>
          </cell>
          <cell r="AO2896">
            <v>21</v>
          </cell>
          <cell r="AP2896">
            <v>21</v>
          </cell>
          <cell r="AQ2896">
            <v>20</v>
          </cell>
          <cell r="AR2896">
            <v>20</v>
          </cell>
          <cell r="BF2896">
            <v>30</v>
          </cell>
          <cell r="BG2896">
            <v>44.4</v>
          </cell>
          <cell r="BH2896">
            <v>44.4</v>
          </cell>
          <cell r="BI2896">
            <v>21</v>
          </cell>
          <cell r="BJ2896">
            <v>0</v>
          </cell>
        </row>
        <row r="2897">
          <cell r="D2897" t="str">
            <v>Univerzita Pavla Jozefa Šafárika v Košiciach</v>
          </cell>
          <cell r="E2897" t="str">
            <v>Prírodovedecká fakulta</v>
          </cell>
          <cell r="AN2897">
            <v>10</v>
          </cell>
          <cell r="AO2897">
            <v>10</v>
          </cell>
          <cell r="AP2897">
            <v>10</v>
          </cell>
          <cell r="AQ2897">
            <v>10</v>
          </cell>
          <cell r="AR2897">
            <v>10</v>
          </cell>
          <cell r="BF2897">
            <v>15</v>
          </cell>
          <cell r="BG2897">
            <v>22.2</v>
          </cell>
          <cell r="BH2897">
            <v>22.2</v>
          </cell>
          <cell r="BI2897">
            <v>10</v>
          </cell>
          <cell r="BJ2897">
            <v>0</v>
          </cell>
        </row>
        <row r="2898">
          <cell r="D2898" t="str">
            <v>Univerzita Pavla Jozefa Šafárika v Košiciach</v>
          </cell>
          <cell r="E2898" t="str">
            <v>Prírodovedecká fakulta</v>
          </cell>
          <cell r="AN2898">
            <v>11</v>
          </cell>
          <cell r="AO2898">
            <v>11</v>
          </cell>
          <cell r="AP2898">
            <v>0</v>
          </cell>
          <cell r="AQ2898">
            <v>0</v>
          </cell>
          <cell r="AR2898">
            <v>11</v>
          </cell>
          <cell r="BF2898">
            <v>16.5</v>
          </cell>
          <cell r="BG2898">
            <v>24.419999999999998</v>
          </cell>
          <cell r="BH2898">
            <v>20.931428571428572</v>
          </cell>
          <cell r="BI2898">
            <v>11</v>
          </cell>
          <cell r="BJ2898">
            <v>0</v>
          </cell>
        </row>
        <row r="2899">
          <cell r="D2899" t="str">
            <v>Univerzita Pavla Jozefa Šafárika v Košiciach</v>
          </cell>
          <cell r="E2899" t="str">
            <v>Prírodovedecká fakulta</v>
          </cell>
          <cell r="AN2899">
            <v>4</v>
          </cell>
          <cell r="AO2899">
            <v>4</v>
          </cell>
          <cell r="AP2899">
            <v>4</v>
          </cell>
          <cell r="AQ2899">
            <v>4</v>
          </cell>
          <cell r="AR2899">
            <v>4</v>
          </cell>
          <cell r="BF2899">
            <v>6</v>
          </cell>
          <cell r="BG2899">
            <v>8.879999999999999</v>
          </cell>
          <cell r="BH2899">
            <v>8.879999999999999</v>
          </cell>
          <cell r="BI2899">
            <v>4</v>
          </cell>
          <cell r="BJ2899">
            <v>0</v>
          </cell>
        </row>
        <row r="2900">
          <cell r="D2900" t="str">
            <v>Univerzita Pavla Jozefa Šafárika v Košiciach</v>
          </cell>
          <cell r="E2900" t="str">
            <v>Prírodovedecká fakulta</v>
          </cell>
          <cell r="AN2900">
            <v>3</v>
          </cell>
          <cell r="AO2900">
            <v>3</v>
          </cell>
          <cell r="AP2900">
            <v>3</v>
          </cell>
          <cell r="AQ2900">
            <v>3</v>
          </cell>
          <cell r="AR2900">
            <v>3</v>
          </cell>
          <cell r="BF2900">
            <v>4.5</v>
          </cell>
          <cell r="BG2900">
            <v>5.94</v>
          </cell>
          <cell r="BH2900">
            <v>5.94</v>
          </cell>
          <cell r="BI2900">
            <v>3</v>
          </cell>
          <cell r="BJ2900">
            <v>0</v>
          </cell>
        </row>
        <row r="2901">
          <cell r="D2901" t="str">
            <v>Univerzita Pavla Jozefa Šafárika v Košiciach</v>
          </cell>
          <cell r="E2901" t="str">
            <v>Prírodovedecká fakulta</v>
          </cell>
          <cell r="AN2901">
            <v>6</v>
          </cell>
          <cell r="AO2901">
            <v>6</v>
          </cell>
          <cell r="AP2901">
            <v>0</v>
          </cell>
          <cell r="AQ2901">
            <v>0</v>
          </cell>
          <cell r="AR2901">
            <v>6</v>
          </cell>
          <cell r="BF2901">
            <v>9</v>
          </cell>
          <cell r="BG2901">
            <v>13.32</v>
          </cell>
          <cell r="BH2901">
            <v>6.66</v>
          </cell>
          <cell r="BI2901">
            <v>6</v>
          </cell>
          <cell r="BJ2901">
            <v>0</v>
          </cell>
        </row>
        <row r="2902">
          <cell r="D2902" t="str">
            <v>Univerzita Pavla Jozefa Šafárika v Košiciach</v>
          </cell>
          <cell r="E2902" t="str">
            <v>Prírodovedecká fakulta</v>
          </cell>
          <cell r="AN2902">
            <v>3</v>
          </cell>
          <cell r="AO2902">
            <v>3</v>
          </cell>
          <cell r="AP2902">
            <v>0</v>
          </cell>
          <cell r="AQ2902">
            <v>0</v>
          </cell>
          <cell r="AR2902">
            <v>3</v>
          </cell>
          <cell r="BF2902">
            <v>2.7</v>
          </cell>
          <cell r="BG2902">
            <v>3.3480000000000003</v>
          </cell>
          <cell r="BH2902">
            <v>2.6505000000000001</v>
          </cell>
          <cell r="BI2902">
            <v>3</v>
          </cell>
          <cell r="BJ2902">
            <v>0</v>
          </cell>
        </row>
        <row r="2903">
          <cell r="D2903" t="str">
            <v>Univerzita Pavla Jozefa Šafárika v Košiciach</v>
          </cell>
          <cell r="E2903" t="str">
            <v>Prírodovedecká fakulta</v>
          </cell>
          <cell r="AN2903">
            <v>7</v>
          </cell>
          <cell r="AO2903">
            <v>7</v>
          </cell>
          <cell r="AP2903">
            <v>7</v>
          </cell>
          <cell r="AQ2903">
            <v>7</v>
          </cell>
          <cell r="AR2903">
            <v>7</v>
          </cell>
          <cell r="BF2903">
            <v>5.5</v>
          </cell>
          <cell r="BG2903">
            <v>8.14</v>
          </cell>
          <cell r="BH2903">
            <v>8.14</v>
          </cell>
          <cell r="BI2903">
            <v>7</v>
          </cell>
          <cell r="BJ2903">
            <v>0</v>
          </cell>
        </row>
        <row r="2904">
          <cell r="D2904" t="str">
            <v>Univerzita Pavla Jozefa Šafárika v Košiciach</v>
          </cell>
          <cell r="E2904" t="str">
            <v>Prírodovedecká fakulta</v>
          </cell>
          <cell r="AN2904">
            <v>1</v>
          </cell>
          <cell r="AO2904">
            <v>1</v>
          </cell>
          <cell r="AP2904">
            <v>1</v>
          </cell>
          <cell r="AQ2904">
            <v>1</v>
          </cell>
          <cell r="AR2904">
            <v>1</v>
          </cell>
          <cell r="BF2904">
            <v>1</v>
          </cell>
          <cell r="BG2904">
            <v>1.48</v>
          </cell>
          <cell r="BH2904">
            <v>1.48</v>
          </cell>
          <cell r="BI2904">
            <v>1</v>
          </cell>
          <cell r="BJ2904">
            <v>0</v>
          </cell>
        </row>
        <row r="2905">
          <cell r="D2905" t="str">
            <v>Univerzita Pavla Jozefa Šafárika v Košiciach</v>
          </cell>
          <cell r="E2905" t="str">
            <v>Prírodovedecká fakulta</v>
          </cell>
          <cell r="AN2905">
            <v>1</v>
          </cell>
          <cell r="AO2905">
            <v>1</v>
          </cell>
          <cell r="AP2905">
            <v>1</v>
          </cell>
          <cell r="AQ2905">
            <v>1</v>
          </cell>
          <cell r="AR2905">
            <v>1</v>
          </cell>
          <cell r="BF2905">
            <v>1</v>
          </cell>
          <cell r="BG2905">
            <v>1.24</v>
          </cell>
          <cell r="BH2905">
            <v>1.24</v>
          </cell>
          <cell r="BI2905">
            <v>1</v>
          </cell>
          <cell r="BJ2905">
            <v>0</v>
          </cell>
        </row>
        <row r="2906">
          <cell r="D2906" t="str">
            <v>Univerzita Pavla Jozefa Šafárika v Košiciach</v>
          </cell>
          <cell r="E2906" t="str">
            <v>Prírodovedecká fakulta</v>
          </cell>
          <cell r="AN2906">
            <v>3</v>
          </cell>
          <cell r="AO2906">
            <v>3</v>
          </cell>
          <cell r="AP2906">
            <v>3</v>
          </cell>
          <cell r="AQ2906">
            <v>3</v>
          </cell>
          <cell r="AR2906">
            <v>3</v>
          </cell>
          <cell r="BF2906">
            <v>2.4</v>
          </cell>
          <cell r="BG2906">
            <v>2.7840000000000003</v>
          </cell>
          <cell r="BH2906">
            <v>2.7840000000000003</v>
          </cell>
          <cell r="BI2906">
            <v>3</v>
          </cell>
          <cell r="BJ2906">
            <v>0</v>
          </cell>
        </row>
        <row r="2907">
          <cell r="D2907" t="str">
            <v>Univerzita Pavla Jozefa Šafárika v Košiciach</v>
          </cell>
          <cell r="E2907" t="str">
            <v>Prírodovedecká fakulta</v>
          </cell>
          <cell r="AN2907">
            <v>2</v>
          </cell>
          <cell r="AO2907">
            <v>2</v>
          </cell>
          <cell r="AP2907">
            <v>2</v>
          </cell>
          <cell r="AQ2907">
            <v>2</v>
          </cell>
          <cell r="AR2907">
            <v>2</v>
          </cell>
          <cell r="BF2907">
            <v>3</v>
          </cell>
          <cell r="BG2907">
            <v>4.4399999999999995</v>
          </cell>
          <cell r="BH2907">
            <v>4.4399999999999995</v>
          </cell>
          <cell r="BI2907">
            <v>2</v>
          </cell>
          <cell r="BJ2907">
            <v>0</v>
          </cell>
        </row>
        <row r="2908">
          <cell r="D2908" t="str">
            <v>Univerzita Konštantína Filozofa v Nitre</v>
          </cell>
          <cell r="E2908" t="str">
            <v>Filozofická fakulta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BF2908">
            <v>0</v>
          </cell>
          <cell r="BG2908">
            <v>0</v>
          </cell>
          <cell r="BH2908">
            <v>0</v>
          </cell>
          <cell r="BI2908">
            <v>34</v>
          </cell>
          <cell r="BJ2908">
            <v>0</v>
          </cell>
        </row>
        <row r="2909">
          <cell r="D2909" t="str">
            <v>Univerzita Konštantína Filozofa v Nitre</v>
          </cell>
          <cell r="E2909" t="str">
            <v>Filozofická fakulta</v>
          </cell>
          <cell r="AN2909">
            <v>10</v>
          </cell>
          <cell r="AO2909">
            <v>10</v>
          </cell>
          <cell r="AP2909">
            <v>0</v>
          </cell>
          <cell r="AQ2909">
            <v>0</v>
          </cell>
          <cell r="AR2909">
            <v>10</v>
          </cell>
          <cell r="BF2909">
            <v>15</v>
          </cell>
          <cell r="BG2909">
            <v>15</v>
          </cell>
          <cell r="BH2909">
            <v>15</v>
          </cell>
          <cell r="BI2909">
            <v>10</v>
          </cell>
          <cell r="BJ2909">
            <v>0</v>
          </cell>
        </row>
        <row r="2910">
          <cell r="D2910" t="str">
            <v>Katolícka univerzita v Ružomberku</v>
          </cell>
          <cell r="E2910" t="str">
            <v>Teologická fakulta v Košiciach</v>
          </cell>
          <cell r="AN2910">
            <v>62</v>
          </cell>
          <cell r="AO2910">
            <v>63</v>
          </cell>
          <cell r="AP2910">
            <v>0</v>
          </cell>
          <cell r="AQ2910">
            <v>0</v>
          </cell>
          <cell r="AR2910">
            <v>62</v>
          </cell>
          <cell r="BF2910">
            <v>93</v>
          </cell>
          <cell r="BG2910">
            <v>93</v>
          </cell>
          <cell r="BH2910">
            <v>87.685714285714283</v>
          </cell>
          <cell r="BI2910">
            <v>63</v>
          </cell>
          <cell r="BJ2910">
            <v>0</v>
          </cell>
        </row>
        <row r="2911">
          <cell r="D2911" t="str">
            <v>Katolícka univerzita v Ružomberku</v>
          </cell>
          <cell r="E2911" t="str">
            <v>Teologická fakulta v Košiciach</v>
          </cell>
          <cell r="AN2911">
            <v>12</v>
          </cell>
          <cell r="AO2911">
            <v>20</v>
          </cell>
          <cell r="AP2911">
            <v>0</v>
          </cell>
          <cell r="AQ2911">
            <v>0</v>
          </cell>
          <cell r="AR2911">
            <v>12</v>
          </cell>
          <cell r="BF2911">
            <v>18</v>
          </cell>
          <cell r="BG2911">
            <v>18</v>
          </cell>
          <cell r="BH2911">
            <v>15</v>
          </cell>
          <cell r="BI2911">
            <v>20</v>
          </cell>
          <cell r="BJ2911">
            <v>0</v>
          </cell>
        </row>
        <row r="2912">
          <cell r="D2912" t="str">
            <v>Katolícka univerzita v Ružomberku</v>
          </cell>
          <cell r="E2912" t="str">
            <v>Teologická fakulta v Košiciach</v>
          </cell>
          <cell r="AN2912">
            <v>1</v>
          </cell>
          <cell r="AO2912">
            <v>2</v>
          </cell>
          <cell r="AP2912">
            <v>0</v>
          </cell>
          <cell r="AQ2912">
            <v>0</v>
          </cell>
          <cell r="AR2912">
            <v>1</v>
          </cell>
          <cell r="BF2912">
            <v>1</v>
          </cell>
          <cell r="BG2912">
            <v>1</v>
          </cell>
          <cell r="BH2912">
            <v>1</v>
          </cell>
          <cell r="BI2912">
            <v>2</v>
          </cell>
          <cell r="BJ2912">
            <v>0</v>
          </cell>
        </row>
        <row r="2913">
          <cell r="D2913" t="str">
            <v>Katolícka univerzita v Ružomberku</v>
          </cell>
          <cell r="E2913" t="str">
            <v>Teologická fakulta v Košiciach</v>
          </cell>
          <cell r="AN2913">
            <v>10</v>
          </cell>
          <cell r="AO2913">
            <v>11</v>
          </cell>
          <cell r="AP2913">
            <v>0</v>
          </cell>
          <cell r="AQ2913">
            <v>0</v>
          </cell>
          <cell r="AR2913">
            <v>10</v>
          </cell>
          <cell r="BF2913">
            <v>9.1</v>
          </cell>
          <cell r="BG2913">
            <v>9.9190000000000005</v>
          </cell>
          <cell r="BH2913">
            <v>9.3372404692082114</v>
          </cell>
          <cell r="BI2913">
            <v>11</v>
          </cell>
          <cell r="BJ2913">
            <v>0</v>
          </cell>
        </row>
        <row r="2914">
          <cell r="D2914" t="str">
            <v>Katolícka univerzita v Ružomberku</v>
          </cell>
          <cell r="E2914" t="str">
            <v>Teologická fakulta v Košiciach</v>
          </cell>
          <cell r="AN2914">
            <v>0.5</v>
          </cell>
          <cell r="AO2914">
            <v>0.5</v>
          </cell>
          <cell r="AP2914">
            <v>0</v>
          </cell>
          <cell r="AQ2914">
            <v>0</v>
          </cell>
          <cell r="AR2914">
            <v>0.5</v>
          </cell>
          <cell r="BF2914">
            <v>0.75</v>
          </cell>
          <cell r="BG2914">
            <v>0.81750000000000012</v>
          </cell>
          <cell r="BH2914">
            <v>0.74692446043165472</v>
          </cell>
          <cell r="BI2914">
            <v>0.5</v>
          </cell>
          <cell r="BJ2914">
            <v>0</v>
          </cell>
        </row>
        <row r="2915">
          <cell r="D2915" t="str">
            <v>Katolícka univerzita v Ružomberku</v>
          </cell>
          <cell r="E2915" t="str">
            <v>Teologická fakulta v Košiciach</v>
          </cell>
          <cell r="AN2915">
            <v>1</v>
          </cell>
          <cell r="AO2915">
            <v>1.5</v>
          </cell>
          <cell r="AP2915">
            <v>0</v>
          </cell>
          <cell r="AQ2915">
            <v>0</v>
          </cell>
          <cell r="AR2915">
            <v>1</v>
          </cell>
          <cell r="BF2915">
            <v>1.5</v>
          </cell>
          <cell r="BG2915">
            <v>1.6350000000000002</v>
          </cell>
          <cell r="BH2915">
            <v>1.6350000000000002</v>
          </cell>
          <cell r="BI2915">
            <v>1.5</v>
          </cell>
          <cell r="BJ2915">
            <v>0</v>
          </cell>
        </row>
        <row r="2916">
          <cell r="D2916" t="str">
            <v>Katolícka univerzita v Ružomberku</v>
          </cell>
          <cell r="E2916" t="str">
            <v>Teologická fakulta v Košiciach</v>
          </cell>
          <cell r="AN2916">
            <v>3</v>
          </cell>
          <cell r="AO2916">
            <v>4</v>
          </cell>
          <cell r="AP2916">
            <v>0</v>
          </cell>
          <cell r="AQ2916">
            <v>0</v>
          </cell>
          <cell r="AR2916">
            <v>3</v>
          </cell>
          <cell r="BF2916">
            <v>2.0999999999999996</v>
          </cell>
          <cell r="BG2916">
            <v>2.0999999999999996</v>
          </cell>
          <cell r="BH2916">
            <v>1.8823170731707315</v>
          </cell>
          <cell r="BI2916">
            <v>4</v>
          </cell>
          <cell r="BJ2916">
            <v>0</v>
          </cell>
        </row>
        <row r="2917">
          <cell r="D2917" t="str">
            <v>Univerzita Pavla Jozefa Šafárika v Košiciach</v>
          </cell>
          <cell r="E2917" t="str">
            <v>Prírodovedecká fakulta</v>
          </cell>
          <cell r="AN2917">
            <v>0</v>
          </cell>
          <cell r="AO2917">
            <v>0</v>
          </cell>
          <cell r="AP2917">
            <v>0</v>
          </cell>
          <cell r="AQ2917">
            <v>0</v>
          </cell>
          <cell r="AR2917">
            <v>0</v>
          </cell>
          <cell r="BF2917">
            <v>0</v>
          </cell>
          <cell r="BG2917">
            <v>0</v>
          </cell>
          <cell r="BH2917">
            <v>0</v>
          </cell>
          <cell r="BI2917">
            <v>1</v>
          </cell>
          <cell r="BJ2917">
            <v>0</v>
          </cell>
        </row>
        <row r="2918">
          <cell r="D2918" t="str">
            <v>Univerzita Pavla Jozefa Šafárika v Košiciach</v>
          </cell>
          <cell r="E2918" t="str">
            <v>Prírodovedecká fakulta</v>
          </cell>
          <cell r="AN2918">
            <v>0</v>
          </cell>
          <cell r="AO2918">
            <v>0</v>
          </cell>
          <cell r="AP2918">
            <v>0</v>
          </cell>
          <cell r="AQ2918">
            <v>0</v>
          </cell>
          <cell r="AR2918">
            <v>0</v>
          </cell>
          <cell r="BF2918">
            <v>0</v>
          </cell>
          <cell r="BG2918">
            <v>0</v>
          </cell>
          <cell r="BH2918">
            <v>0</v>
          </cell>
          <cell r="BI2918">
            <v>1</v>
          </cell>
          <cell r="BJ2918">
            <v>0</v>
          </cell>
        </row>
        <row r="2919">
          <cell r="D2919" t="str">
            <v>Univerzita Pavla Jozefa Šafárika v Košiciach</v>
          </cell>
          <cell r="E2919" t="str">
            <v>Lekárska fakulta</v>
          </cell>
          <cell r="AN2919">
            <v>2</v>
          </cell>
          <cell r="AO2919">
            <v>0</v>
          </cell>
          <cell r="AP2919">
            <v>0</v>
          </cell>
          <cell r="AQ2919">
            <v>0</v>
          </cell>
          <cell r="AR2919">
            <v>2</v>
          </cell>
          <cell r="BF2919">
            <v>6</v>
          </cell>
          <cell r="BG2919">
            <v>20.46</v>
          </cell>
          <cell r="BH2919">
            <v>20.46</v>
          </cell>
          <cell r="BI2919">
            <v>2</v>
          </cell>
          <cell r="BJ2919">
            <v>2</v>
          </cell>
        </row>
        <row r="2920">
          <cell r="D2920" t="str">
            <v>Trnavská univerzita v Trnave</v>
          </cell>
          <cell r="E2920" t="str">
            <v>Teologická fakulta</v>
          </cell>
          <cell r="AN2920">
            <v>2</v>
          </cell>
          <cell r="AO2920">
            <v>2</v>
          </cell>
          <cell r="AP2920">
            <v>0</v>
          </cell>
          <cell r="AQ2920">
            <v>0</v>
          </cell>
          <cell r="AR2920">
            <v>2</v>
          </cell>
          <cell r="BF2920">
            <v>3</v>
          </cell>
          <cell r="BG2920">
            <v>3</v>
          </cell>
          <cell r="BH2920">
            <v>2.6666666666666665</v>
          </cell>
          <cell r="BI2920">
            <v>2</v>
          </cell>
          <cell r="BJ2920">
            <v>0</v>
          </cell>
        </row>
        <row r="2921">
          <cell r="D2921" t="str">
            <v>Trnavská univerzita v Trnave</v>
          </cell>
          <cell r="E2921" t="str">
            <v>Teologická fakulta</v>
          </cell>
          <cell r="AN2921">
            <v>0</v>
          </cell>
          <cell r="AO2921">
            <v>0</v>
          </cell>
          <cell r="AP2921">
            <v>0</v>
          </cell>
          <cell r="AQ2921">
            <v>0</v>
          </cell>
          <cell r="AR2921">
            <v>0</v>
          </cell>
          <cell r="BF2921">
            <v>0</v>
          </cell>
          <cell r="BG2921">
            <v>0</v>
          </cell>
          <cell r="BH2921">
            <v>0</v>
          </cell>
          <cell r="BI2921">
            <v>3</v>
          </cell>
          <cell r="BJ2921">
            <v>0</v>
          </cell>
        </row>
        <row r="2922">
          <cell r="D2922" t="str">
            <v>Univerzita Pavla Jozefa Šafárika v Košiciach</v>
          </cell>
          <cell r="E2922" t="str">
            <v>Právnická fakulta</v>
          </cell>
          <cell r="AN2922">
            <v>4</v>
          </cell>
          <cell r="AO2922">
            <v>0</v>
          </cell>
          <cell r="AP2922">
            <v>0</v>
          </cell>
          <cell r="AQ2922">
            <v>0</v>
          </cell>
          <cell r="AR2922">
            <v>4</v>
          </cell>
          <cell r="BF2922">
            <v>16</v>
          </cell>
          <cell r="BG2922">
            <v>17.600000000000001</v>
          </cell>
          <cell r="BH2922">
            <v>17.600000000000001</v>
          </cell>
          <cell r="BI2922">
            <v>4</v>
          </cell>
          <cell r="BJ2922">
            <v>4</v>
          </cell>
        </row>
        <row r="2923">
          <cell r="D2923" t="str">
            <v>Univerzita Pavla Jozefa Šafárika v Košiciach</v>
          </cell>
          <cell r="E2923" t="str">
            <v>Lekárska fakulta</v>
          </cell>
          <cell r="AN2923">
            <v>21</v>
          </cell>
          <cell r="AO2923">
            <v>21</v>
          </cell>
          <cell r="AP2923">
            <v>0</v>
          </cell>
          <cell r="AQ2923">
            <v>0</v>
          </cell>
          <cell r="AR2923">
            <v>21</v>
          </cell>
          <cell r="BF2923">
            <v>31.5</v>
          </cell>
          <cell r="BG2923">
            <v>46.62</v>
          </cell>
          <cell r="BH2923">
            <v>46.62</v>
          </cell>
          <cell r="BI2923">
            <v>21</v>
          </cell>
          <cell r="BJ2923">
            <v>0</v>
          </cell>
        </row>
        <row r="2924">
          <cell r="D2924" t="str">
            <v>Univerzita Konštantína Filozofa v Nitre</v>
          </cell>
          <cell r="E2924" t="str">
            <v>Fakulta prírodných vied</v>
          </cell>
          <cell r="AN2924">
            <v>13</v>
          </cell>
          <cell r="AO2924">
            <v>13</v>
          </cell>
          <cell r="AP2924">
            <v>13</v>
          </cell>
          <cell r="AQ2924">
            <v>13</v>
          </cell>
          <cell r="AR2924">
            <v>13</v>
          </cell>
          <cell r="BF2924">
            <v>19.5</v>
          </cell>
          <cell r="BG2924">
            <v>28.08</v>
          </cell>
          <cell r="BH2924">
            <v>28.08</v>
          </cell>
          <cell r="BI2924">
            <v>13</v>
          </cell>
          <cell r="BJ2924">
            <v>0</v>
          </cell>
        </row>
        <row r="2925">
          <cell r="D2925" t="str">
            <v>Univerzita Konštantína Filozofa v Nitre</v>
          </cell>
          <cell r="E2925" t="str">
            <v>Fakulta prírodných vied</v>
          </cell>
          <cell r="AN2925">
            <v>2.5</v>
          </cell>
          <cell r="AO2925">
            <v>3</v>
          </cell>
          <cell r="AP2925">
            <v>0</v>
          </cell>
          <cell r="AQ2925">
            <v>0</v>
          </cell>
          <cell r="AR2925">
            <v>2.5</v>
          </cell>
          <cell r="BF2925">
            <v>3.75</v>
          </cell>
          <cell r="BG2925">
            <v>5.3999999999999995</v>
          </cell>
          <cell r="BH2925">
            <v>4.4470588235294111</v>
          </cell>
          <cell r="BI2925">
            <v>3</v>
          </cell>
          <cell r="BJ2925">
            <v>0</v>
          </cell>
        </row>
        <row r="2926">
          <cell r="D2926" t="str">
            <v>Univerzita Konštantína Filozofa v Nitre</v>
          </cell>
          <cell r="E2926" t="str">
            <v>Fakulta prírodných vied</v>
          </cell>
          <cell r="AN2926">
            <v>1</v>
          </cell>
          <cell r="AO2926">
            <v>2</v>
          </cell>
          <cell r="AP2926">
            <v>0</v>
          </cell>
          <cell r="AQ2926">
            <v>0</v>
          </cell>
          <cell r="AR2926">
            <v>1</v>
          </cell>
          <cell r="BF2926">
            <v>1.5</v>
          </cell>
          <cell r="BG2926">
            <v>2.2199999999999998</v>
          </cell>
          <cell r="BH2926">
            <v>1.1099999999999999</v>
          </cell>
          <cell r="BI2926">
            <v>2</v>
          </cell>
          <cell r="BJ2926">
            <v>0</v>
          </cell>
        </row>
        <row r="2927">
          <cell r="D2927" t="str">
            <v>Univerzita Konštantína Filozofa v Nitre</v>
          </cell>
          <cell r="E2927" t="str">
            <v>Fakulta prírodných vied</v>
          </cell>
          <cell r="AN2927">
            <v>19</v>
          </cell>
          <cell r="AO2927">
            <v>20</v>
          </cell>
          <cell r="AP2927">
            <v>0</v>
          </cell>
          <cell r="AQ2927">
            <v>0</v>
          </cell>
          <cell r="AR2927">
            <v>19</v>
          </cell>
          <cell r="BF2927">
            <v>28.5</v>
          </cell>
          <cell r="BG2927">
            <v>42.18</v>
          </cell>
          <cell r="BH2927">
            <v>36.907499999999999</v>
          </cell>
          <cell r="BI2927">
            <v>20</v>
          </cell>
          <cell r="BJ2927">
            <v>0</v>
          </cell>
        </row>
        <row r="2928">
          <cell r="D2928" t="str">
            <v>Univerzita Konštantína Filozofa v Nitre</v>
          </cell>
          <cell r="E2928" t="str">
            <v>Fakulta prírodných vied</v>
          </cell>
          <cell r="AN2928">
            <v>2.5</v>
          </cell>
          <cell r="AO2928">
            <v>2.5</v>
          </cell>
          <cell r="AP2928">
            <v>2.5</v>
          </cell>
          <cell r="AQ2928">
            <v>2.5</v>
          </cell>
          <cell r="AR2928">
            <v>2.5</v>
          </cell>
          <cell r="BF2928">
            <v>3.75</v>
          </cell>
          <cell r="BG2928">
            <v>5.3999999999999995</v>
          </cell>
          <cell r="BH2928">
            <v>5.3999999999999995</v>
          </cell>
          <cell r="BI2928">
            <v>2.5</v>
          </cell>
          <cell r="BJ2928">
            <v>0</v>
          </cell>
        </row>
        <row r="2929">
          <cell r="D2929" t="str">
            <v>Univerzita Konštantína Filozofa v Nitre</v>
          </cell>
          <cell r="E2929" t="str">
            <v>Fakulta prírodných vied</v>
          </cell>
          <cell r="AN2929">
            <v>0</v>
          </cell>
          <cell r="AO2929">
            <v>0</v>
          </cell>
          <cell r="AP2929">
            <v>0</v>
          </cell>
          <cell r="AQ2929">
            <v>0</v>
          </cell>
          <cell r="AR2929">
            <v>0</v>
          </cell>
          <cell r="BF2929">
            <v>0</v>
          </cell>
          <cell r="BG2929">
            <v>0</v>
          </cell>
          <cell r="BH2929">
            <v>0</v>
          </cell>
          <cell r="BI2929">
            <v>1</v>
          </cell>
          <cell r="BJ2929">
            <v>0</v>
          </cell>
        </row>
        <row r="2930">
          <cell r="D2930" t="str">
            <v>Univerzita Komenského v Bratislave</v>
          </cell>
          <cell r="E2930" t="str">
            <v>Evanjelická bohoslovecká fakulta</v>
          </cell>
          <cell r="AN2930">
            <v>0</v>
          </cell>
          <cell r="AO2930">
            <v>0</v>
          </cell>
          <cell r="AP2930">
            <v>0</v>
          </cell>
          <cell r="AQ2930">
            <v>0</v>
          </cell>
          <cell r="AR2930">
            <v>0</v>
          </cell>
          <cell r="BF2930">
            <v>0</v>
          </cell>
          <cell r="BG2930">
            <v>0</v>
          </cell>
          <cell r="BH2930">
            <v>0</v>
          </cell>
          <cell r="BI2930">
            <v>2</v>
          </cell>
          <cell r="BJ2930">
            <v>0</v>
          </cell>
        </row>
        <row r="2931">
          <cell r="D2931" t="str">
            <v>Univerzita Komenského v Bratislave</v>
          </cell>
          <cell r="E2931" t="str">
            <v>Evanjelická bohoslovecká fakulta</v>
          </cell>
          <cell r="AN2931">
            <v>1</v>
          </cell>
          <cell r="AO2931">
            <v>1</v>
          </cell>
          <cell r="AP2931">
            <v>0</v>
          </cell>
          <cell r="AQ2931">
            <v>0</v>
          </cell>
          <cell r="AR2931">
            <v>1</v>
          </cell>
          <cell r="BF2931">
            <v>1.5</v>
          </cell>
          <cell r="BG2931">
            <v>1.6350000000000002</v>
          </cell>
          <cell r="BH2931">
            <v>1.6350000000000002</v>
          </cell>
          <cell r="BI2931">
            <v>1</v>
          </cell>
          <cell r="BJ2931">
            <v>0</v>
          </cell>
        </row>
        <row r="2932">
          <cell r="D2932" t="str">
            <v>Univerzita Konštantína Filozofa v Nitre</v>
          </cell>
          <cell r="E2932" t="str">
            <v>Fakulta prírodných vied</v>
          </cell>
          <cell r="AN2932">
            <v>0</v>
          </cell>
          <cell r="AO2932">
            <v>0</v>
          </cell>
          <cell r="AP2932">
            <v>0</v>
          </cell>
          <cell r="AQ2932">
            <v>0</v>
          </cell>
          <cell r="AR2932">
            <v>0</v>
          </cell>
          <cell r="BF2932">
            <v>0</v>
          </cell>
          <cell r="BG2932">
            <v>0</v>
          </cell>
          <cell r="BH2932">
            <v>0</v>
          </cell>
          <cell r="BI2932">
            <v>1</v>
          </cell>
          <cell r="BJ2932">
            <v>0</v>
          </cell>
        </row>
        <row r="2933">
          <cell r="D2933" t="str">
            <v>Univerzita Konštantína Filozofa v Nitre</v>
          </cell>
          <cell r="E2933" t="str">
            <v>Fakulta prírodných vied</v>
          </cell>
          <cell r="AN2933">
            <v>19</v>
          </cell>
          <cell r="AO2933">
            <v>19</v>
          </cell>
          <cell r="AP2933">
            <v>0</v>
          </cell>
          <cell r="AQ2933">
            <v>0</v>
          </cell>
          <cell r="AR2933">
            <v>19</v>
          </cell>
          <cell r="BF2933">
            <v>15.399999999999999</v>
          </cell>
          <cell r="BG2933">
            <v>22.791999999999998</v>
          </cell>
          <cell r="BH2933">
            <v>20.392842105263156</v>
          </cell>
          <cell r="BI2933">
            <v>19</v>
          </cell>
          <cell r="BJ2933">
            <v>0</v>
          </cell>
        </row>
        <row r="2934">
          <cell r="D2934" t="str">
            <v>Univerzita Pavla Jozefa Šafárika v Košiciach</v>
          </cell>
          <cell r="E2934" t="str">
            <v>Právnická fakulta</v>
          </cell>
          <cell r="AN2934">
            <v>5</v>
          </cell>
          <cell r="AO2934">
            <v>5</v>
          </cell>
          <cell r="AP2934">
            <v>0</v>
          </cell>
          <cell r="AQ2934">
            <v>0</v>
          </cell>
          <cell r="AR2934">
            <v>5</v>
          </cell>
          <cell r="BF2934">
            <v>3.8</v>
          </cell>
          <cell r="BG2934">
            <v>3.8</v>
          </cell>
          <cell r="BH2934">
            <v>3.3026178010471203</v>
          </cell>
          <cell r="BI2934">
            <v>5</v>
          </cell>
          <cell r="BJ2934">
            <v>0</v>
          </cell>
        </row>
        <row r="2935">
          <cell r="D2935" t="str">
            <v>Univerzita Pavla Jozefa Šafárika v Košiciach</v>
          </cell>
          <cell r="E2935" t="str">
            <v>Filozofická fakulta</v>
          </cell>
          <cell r="AN2935">
            <v>3</v>
          </cell>
          <cell r="AO2935">
            <v>0</v>
          </cell>
          <cell r="AP2935">
            <v>0</v>
          </cell>
          <cell r="AQ2935">
            <v>0</v>
          </cell>
          <cell r="AR2935">
            <v>3</v>
          </cell>
          <cell r="BF2935">
            <v>12</v>
          </cell>
          <cell r="BG2935">
            <v>13.200000000000001</v>
          </cell>
          <cell r="BH2935">
            <v>13.200000000000001</v>
          </cell>
          <cell r="BI2935">
            <v>3</v>
          </cell>
          <cell r="BJ2935">
            <v>3</v>
          </cell>
        </row>
        <row r="2936">
          <cell r="D2936" t="str">
            <v>Ekonomická univerzita v Bratislave</v>
          </cell>
          <cell r="E2936" t="str">
            <v>Národohospodárska fakulta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BF2936">
            <v>0</v>
          </cell>
          <cell r="BG2936">
            <v>0</v>
          </cell>
          <cell r="BH2936">
            <v>0</v>
          </cell>
          <cell r="BI2936">
            <v>17</v>
          </cell>
          <cell r="BJ2936">
            <v>0</v>
          </cell>
        </row>
        <row r="2937">
          <cell r="D2937" t="str">
            <v>Ekonomická univerzita v Bratislave</v>
          </cell>
          <cell r="E2937" t="str">
            <v>Obchodná fakulta</v>
          </cell>
          <cell r="AN2937">
            <v>8</v>
          </cell>
          <cell r="AO2937">
            <v>0</v>
          </cell>
          <cell r="AP2937">
            <v>0</v>
          </cell>
          <cell r="AQ2937">
            <v>0</v>
          </cell>
          <cell r="AR2937">
            <v>8</v>
          </cell>
          <cell r="BF2937">
            <v>32</v>
          </cell>
          <cell r="BG2937">
            <v>35.200000000000003</v>
          </cell>
          <cell r="BH2937">
            <v>31.847619047619052</v>
          </cell>
          <cell r="BI2937">
            <v>8</v>
          </cell>
          <cell r="BJ2937">
            <v>8</v>
          </cell>
        </row>
        <row r="2938">
          <cell r="D2938" t="str">
            <v>Ekonomická univerzita v Bratislave</v>
          </cell>
          <cell r="E2938" t="str">
            <v>Národohospodárska fakulta</v>
          </cell>
          <cell r="AN2938">
            <v>2</v>
          </cell>
          <cell r="AO2938">
            <v>0</v>
          </cell>
          <cell r="AP2938">
            <v>0</v>
          </cell>
          <cell r="AQ2938">
            <v>0</v>
          </cell>
          <cell r="AR2938">
            <v>2</v>
          </cell>
          <cell r="BF2938">
            <v>8</v>
          </cell>
          <cell r="BG2938">
            <v>8.8000000000000007</v>
          </cell>
          <cell r="BH2938">
            <v>8.8000000000000007</v>
          </cell>
          <cell r="BI2938">
            <v>2</v>
          </cell>
          <cell r="BJ2938">
            <v>2</v>
          </cell>
        </row>
        <row r="2939">
          <cell r="D2939" t="str">
            <v>Ekonomická univerzita v Bratislave</v>
          </cell>
          <cell r="E2939" t="str">
            <v>Obchodná fakulta</v>
          </cell>
          <cell r="AN2939">
            <v>0</v>
          </cell>
          <cell r="AO2939">
            <v>0</v>
          </cell>
          <cell r="AP2939">
            <v>0</v>
          </cell>
          <cell r="AQ2939">
            <v>0</v>
          </cell>
          <cell r="AR2939">
            <v>0</v>
          </cell>
          <cell r="BF2939">
            <v>0</v>
          </cell>
          <cell r="BG2939">
            <v>0</v>
          </cell>
          <cell r="BH2939">
            <v>0</v>
          </cell>
          <cell r="BI2939">
            <v>6</v>
          </cell>
          <cell r="BJ2939">
            <v>0</v>
          </cell>
        </row>
        <row r="2940">
          <cell r="D2940" t="str">
            <v>Ekonomická univerzita v Bratislave</v>
          </cell>
          <cell r="E2940" t="str">
            <v>Fakulta podnikového manažmentu</v>
          </cell>
          <cell r="AN2940">
            <v>107</v>
          </cell>
          <cell r="AO2940">
            <v>109</v>
          </cell>
          <cell r="AP2940">
            <v>0</v>
          </cell>
          <cell r="AQ2940">
            <v>0</v>
          </cell>
          <cell r="AR2940">
            <v>107</v>
          </cell>
          <cell r="BF2940">
            <v>160.5</v>
          </cell>
          <cell r="BG2940">
            <v>166.92000000000002</v>
          </cell>
          <cell r="BH2940">
            <v>144.95684210526318</v>
          </cell>
          <cell r="BI2940">
            <v>109</v>
          </cell>
          <cell r="BJ2940">
            <v>0</v>
          </cell>
        </row>
        <row r="2941">
          <cell r="D2941" t="str">
            <v>Ekonomická univerzita v Bratislave</v>
          </cell>
          <cell r="E2941" t="str">
            <v>Podnikovohospodárska fakulta v Košiciach</v>
          </cell>
          <cell r="AN2941">
            <v>131</v>
          </cell>
          <cell r="AO2941">
            <v>134</v>
          </cell>
          <cell r="AP2941">
            <v>0</v>
          </cell>
          <cell r="AQ2941">
            <v>0</v>
          </cell>
          <cell r="AR2941">
            <v>131</v>
          </cell>
          <cell r="BF2941">
            <v>196.5</v>
          </cell>
          <cell r="BG2941">
            <v>204.36</v>
          </cell>
          <cell r="BH2941">
            <v>170.3</v>
          </cell>
          <cell r="BI2941">
            <v>134</v>
          </cell>
          <cell r="BJ2941">
            <v>0</v>
          </cell>
        </row>
        <row r="2942">
          <cell r="D2942" t="str">
            <v>Ekonomická univerzita v Bratislave</v>
          </cell>
          <cell r="E2942" t="str">
            <v>Fakulta aplikovaných jazykov</v>
          </cell>
          <cell r="AN2942">
            <v>15</v>
          </cell>
          <cell r="AO2942">
            <v>15</v>
          </cell>
          <cell r="AP2942">
            <v>0</v>
          </cell>
          <cell r="AQ2942">
            <v>0</v>
          </cell>
          <cell r="AR2942">
            <v>15</v>
          </cell>
          <cell r="BF2942">
            <v>22.5</v>
          </cell>
          <cell r="BG2942">
            <v>23.400000000000002</v>
          </cell>
          <cell r="BH2942">
            <v>23.400000000000002</v>
          </cell>
          <cell r="BI2942">
            <v>15</v>
          </cell>
          <cell r="BJ2942">
            <v>0</v>
          </cell>
        </row>
        <row r="2943">
          <cell r="D2943" t="str">
            <v>Ekonomická univerzita v Bratislave</v>
          </cell>
          <cell r="E2943" t="str">
            <v>Fakulta podnikového manažmentu</v>
          </cell>
          <cell r="AN2943">
            <v>26</v>
          </cell>
          <cell r="AO2943">
            <v>26</v>
          </cell>
          <cell r="AP2943">
            <v>0</v>
          </cell>
          <cell r="AQ2943">
            <v>0</v>
          </cell>
          <cell r="AR2943">
            <v>26</v>
          </cell>
          <cell r="BF2943">
            <v>39</v>
          </cell>
          <cell r="BG2943">
            <v>40.56</v>
          </cell>
          <cell r="BH2943">
            <v>37.440000000000005</v>
          </cell>
          <cell r="BI2943">
            <v>26</v>
          </cell>
          <cell r="BJ2943">
            <v>0</v>
          </cell>
        </row>
        <row r="2944">
          <cell r="D2944" t="str">
            <v>Ekonomická univerzita v Bratislave</v>
          </cell>
          <cell r="E2944" t="str">
            <v>Fakulta aplikovaných jazykov</v>
          </cell>
          <cell r="AN2944">
            <v>17</v>
          </cell>
          <cell r="AO2944">
            <v>17</v>
          </cell>
          <cell r="AP2944">
            <v>0</v>
          </cell>
          <cell r="AQ2944">
            <v>0</v>
          </cell>
          <cell r="AR2944">
            <v>17</v>
          </cell>
          <cell r="BF2944">
            <v>25.5</v>
          </cell>
          <cell r="BG2944">
            <v>26.52</v>
          </cell>
          <cell r="BH2944">
            <v>14.733333333333334</v>
          </cell>
          <cell r="BI2944">
            <v>17</v>
          </cell>
          <cell r="BJ2944">
            <v>0</v>
          </cell>
        </row>
        <row r="2945">
          <cell r="D2945" t="str">
            <v>Ekonomická univerzita v Bratislave</v>
          </cell>
          <cell r="E2945" t="str">
            <v>Obchodná fakulta</v>
          </cell>
          <cell r="AN2945">
            <v>0</v>
          </cell>
          <cell r="AO2945">
            <v>5</v>
          </cell>
          <cell r="AP2945">
            <v>0</v>
          </cell>
          <cell r="AQ2945">
            <v>0</v>
          </cell>
          <cell r="AR2945">
            <v>0</v>
          </cell>
          <cell r="BF2945">
            <v>0</v>
          </cell>
          <cell r="BG2945">
            <v>0</v>
          </cell>
          <cell r="BH2945">
            <v>0</v>
          </cell>
          <cell r="BI2945">
            <v>5</v>
          </cell>
          <cell r="BJ2945">
            <v>0</v>
          </cell>
        </row>
        <row r="2946">
          <cell r="D2946" t="str">
            <v>Katolícka univerzita v Ružomberku</v>
          </cell>
          <cell r="E2946" t="str">
            <v>Filozofická fakulta</v>
          </cell>
          <cell r="AN2946">
            <v>1</v>
          </cell>
          <cell r="AO2946">
            <v>2.5</v>
          </cell>
          <cell r="AP2946">
            <v>0</v>
          </cell>
          <cell r="AQ2946">
            <v>0</v>
          </cell>
          <cell r="AR2946">
            <v>1</v>
          </cell>
          <cell r="BF2946">
            <v>1</v>
          </cell>
          <cell r="BG2946">
            <v>1.0900000000000001</v>
          </cell>
          <cell r="BH2946">
            <v>1.0900000000000001</v>
          </cell>
          <cell r="BI2946">
            <v>2.5</v>
          </cell>
          <cell r="BJ2946">
            <v>0</v>
          </cell>
        </row>
        <row r="2947">
          <cell r="D2947" t="str">
            <v>Katolícka univerzita v Ružomberku</v>
          </cell>
          <cell r="E2947" t="str">
            <v>Filozofická fakulta</v>
          </cell>
          <cell r="AN2947">
            <v>2</v>
          </cell>
          <cell r="AO2947">
            <v>2.5</v>
          </cell>
          <cell r="AP2947">
            <v>0</v>
          </cell>
          <cell r="AQ2947">
            <v>0</v>
          </cell>
          <cell r="AR2947">
            <v>2</v>
          </cell>
          <cell r="BF2947">
            <v>3</v>
          </cell>
          <cell r="BG2947">
            <v>3.2700000000000005</v>
          </cell>
          <cell r="BH2947">
            <v>2.4525000000000006</v>
          </cell>
          <cell r="BI2947">
            <v>2.5</v>
          </cell>
          <cell r="BJ2947">
            <v>0</v>
          </cell>
        </row>
        <row r="2948">
          <cell r="D2948" t="str">
            <v>Katolícka univerzita v Ružomberku</v>
          </cell>
          <cell r="E2948" t="str">
            <v>Filozofická fakulta</v>
          </cell>
          <cell r="AN2948">
            <v>8</v>
          </cell>
          <cell r="AO2948">
            <v>9</v>
          </cell>
          <cell r="AP2948">
            <v>0</v>
          </cell>
          <cell r="AQ2948">
            <v>0</v>
          </cell>
          <cell r="AR2948">
            <v>8</v>
          </cell>
          <cell r="BF2948">
            <v>12</v>
          </cell>
          <cell r="BG2948">
            <v>13.080000000000002</v>
          </cell>
          <cell r="BH2948">
            <v>13.080000000000002</v>
          </cell>
          <cell r="BI2948">
            <v>9</v>
          </cell>
          <cell r="BJ2948">
            <v>0</v>
          </cell>
        </row>
        <row r="2949">
          <cell r="D2949" t="str">
            <v>Katolícka univerzita v Ružomberku</v>
          </cell>
          <cell r="E2949" t="str">
            <v>Filozofická fakulta</v>
          </cell>
          <cell r="AN2949">
            <v>3</v>
          </cell>
          <cell r="AO2949">
            <v>0</v>
          </cell>
          <cell r="AP2949">
            <v>0</v>
          </cell>
          <cell r="AQ2949">
            <v>0</v>
          </cell>
          <cell r="AR2949">
            <v>3</v>
          </cell>
          <cell r="BF2949">
            <v>12</v>
          </cell>
          <cell r="BG2949">
            <v>13.200000000000001</v>
          </cell>
          <cell r="BH2949">
            <v>13.200000000000001</v>
          </cell>
          <cell r="BI2949">
            <v>3</v>
          </cell>
          <cell r="BJ2949">
            <v>3</v>
          </cell>
        </row>
        <row r="2950">
          <cell r="D2950" t="str">
            <v>Katolícka univerzita v Ružomberku</v>
          </cell>
          <cell r="E2950" t="str">
            <v>Filozofická fakulta</v>
          </cell>
          <cell r="AN2950">
            <v>18</v>
          </cell>
          <cell r="AO2950">
            <v>18</v>
          </cell>
          <cell r="AP2950">
            <v>0</v>
          </cell>
          <cell r="AQ2950">
            <v>0</v>
          </cell>
          <cell r="AR2950">
            <v>18</v>
          </cell>
          <cell r="BF2950">
            <v>27</v>
          </cell>
          <cell r="BG2950">
            <v>32.129999999999995</v>
          </cell>
          <cell r="BH2950">
            <v>28.916999999999998</v>
          </cell>
          <cell r="BI2950">
            <v>18</v>
          </cell>
          <cell r="BJ2950">
            <v>0</v>
          </cell>
        </row>
        <row r="2951">
          <cell r="D2951" t="str">
            <v>Katolícka univerzita v Ružomberku</v>
          </cell>
          <cell r="E2951" t="str">
            <v>Filozofická fakulta</v>
          </cell>
          <cell r="AN2951">
            <v>1.5</v>
          </cell>
          <cell r="AO2951">
            <v>1.5</v>
          </cell>
          <cell r="AP2951">
            <v>0</v>
          </cell>
          <cell r="AQ2951">
            <v>0</v>
          </cell>
          <cell r="AR2951">
            <v>1.5</v>
          </cell>
          <cell r="BF2951">
            <v>2.25</v>
          </cell>
          <cell r="BG2951">
            <v>2.4525000000000001</v>
          </cell>
          <cell r="BH2951">
            <v>2.4525000000000001</v>
          </cell>
          <cell r="BI2951">
            <v>1.5</v>
          </cell>
          <cell r="BJ2951">
            <v>0</v>
          </cell>
        </row>
        <row r="2952">
          <cell r="D2952" t="str">
            <v>Katolícka univerzita v Ružomberku</v>
          </cell>
          <cell r="E2952" t="str">
            <v>Filozofická fakulta</v>
          </cell>
          <cell r="AN2952">
            <v>2</v>
          </cell>
          <cell r="AO2952">
            <v>3</v>
          </cell>
          <cell r="AP2952">
            <v>0</v>
          </cell>
          <cell r="AQ2952">
            <v>0</v>
          </cell>
          <cell r="AR2952">
            <v>2</v>
          </cell>
          <cell r="BF2952">
            <v>3</v>
          </cell>
          <cell r="BG2952">
            <v>3.2700000000000005</v>
          </cell>
          <cell r="BH2952">
            <v>3.2700000000000005</v>
          </cell>
          <cell r="BI2952">
            <v>3</v>
          </cell>
          <cell r="BJ2952">
            <v>0</v>
          </cell>
        </row>
        <row r="2953">
          <cell r="D2953" t="str">
            <v>Katolícka univerzita v Ružomberku</v>
          </cell>
          <cell r="E2953" t="str">
            <v>Pedagogická fakulta</v>
          </cell>
          <cell r="AN2953">
            <v>1.5</v>
          </cell>
          <cell r="AO2953">
            <v>2</v>
          </cell>
          <cell r="AP2953">
            <v>0</v>
          </cell>
          <cell r="AQ2953">
            <v>0</v>
          </cell>
          <cell r="AR2953">
            <v>1.5</v>
          </cell>
          <cell r="BF2953">
            <v>2.25</v>
          </cell>
          <cell r="BG2953">
            <v>4.8374999999999995</v>
          </cell>
          <cell r="BH2953">
            <v>3.2250000000000001</v>
          </cell>
          <cell r="BI2953">
            <v>2</v>
          </cell>
          <cell r="BJ2953">
            <v>0</v>
          </cell>
        </row>
        <row r="2954">
          <cell r="D2954" t="str">
            <v>Katolícka univerzita v Ružomberku</v>
          </cell>
          <cell r="E2954" t="str">
            <v>Filozofická fakulta</v>
          </cell>
          <cell r="AN2954">
            <v>1</v>
          </cell>
          <cell r="AO2954">
            <v>2</v>
          </cell>
          <cell r="AP2954">
            <v>0</v>
          </cell>
          <cell r="AQ2954">
            <v>0</v>
          </cell>
          <cell r="AR2954">
            <v>1</v>
          </cell>
          <cell r="BF2954">
            <v>0.7</v>
          </cell>
          <cell r="BG2954">
            <v>0.7</v>
          </cell>
          <cell r="BH2954">
            <v>0.7</v>
          </cell>
          <cell r="BI2954">
            <v>2</v>
          </cell>
          <cell r="BJ2954">
            <v>0</v>
          </cell>
        </row>
        <row r="2955">
          <cell r="D2955" t="str">
            <v>Katolícka univerzita v Ružomberku</v>
          </cell>
          <cell r="E2955" t="str">
            <v>Filozofická fakulta</v>
          </cell>
          <cell r="AN2955">
            <v>1</v>
          </cell>
          <cell r="AO2955">
            <v>1</v>
          </cell>
          <cell r="AP2955">
            <v>0</v>
          </cell>
          <cell r="AQ2955">
            <v>0</v>
          </cell>
          <cell r="AR2955">
            <v>1</v>
          </cell>
          <cell r="BF2955">
            <v>1</v>
          </cell>
          <cell r="BG2955">
            <v>1.04</v>
          </cell>
          <cell r="BH2955">
            <v>0.69333333333333347</v>
          </cell>
          <cell r="BI2955">
            <v>1</v>
          </cell>
          <cell r="BJ2955">
            <v>0</v>
          </cell>
        </row>
        <row r="2956">
          <cell r="D2956" t="str">
            <v>Katolícka univerzita v Ružomberku</v>
          </cell>
          <cell r="E2956" t="str">
            <v>Fakulta zdravotníctva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BF2956">
            <v>0</v>
          </cell>
          <cell r="BG2956">
            <v>0</v>
          </cell>
          <cell r="BH2956">
            <v>0</v>
          </cell>
          <cell r="BI2956">
            <v>49</v>
          </cell>
          <cell r="BJ2956">
            <v>0</v>
          </cell>
        </row>
        <row r="2957">
          <cell r="D2957" t="str">
            <v>Univerzita Pavla Jozefa Šafárika v Košiciach</v>
          </cell>
          <cell r="E2957" t="str">
            <v>Filozofická fakulta</v>
          </cell>
          <cell r="AN2957">
            <v>19</v>
          </cell>
          <cell r="AO2957">
            <v>19</v>
          </cell>
          <cell r="AP2957">
            <v>0</v>
          </cell>
          <cell r="AQ2957">
            <v>0</v>
          </cell>
          <cell r="AR2957">
            <v>19</v>
          </cell>
          <cell r="BF2957">
            <v>28.5</v>
          </cell>
          <cell r="BG2957">
            <v>42.75</v>
          </cell>
          <cell r="BH2957">
            <v>37.40625</v>
          </cell>
          <cell r="BI2957">
            <v>19</v>
          </cell>
          <cell r="BJ2957">
            <v>0</v>
          </cell>
        </row>
        <row r="2958">
          <cell r="D2958" t="str">
            <v>Univerzita Pavla Jozefa Šafárika v Košiciach</v>
          </cell>
          <cell r="E2958" t="str">
            <v>Filozofická fakulta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BF2958">
            <v>0</v>
          </cell>
          <cell r="BG2958">
            <v>0</v>
          </cell>
          <cell r="BH2958">
            <v>0</v>
          </cell>
          <cell r="BI2958">
            <v>3</v>
          </cell>
          <cell r="BJ2958">
            <v>0</v>
          </cell>
        </row>
        <row r="2959">
          <cell r="D2959" t="str">
            <v>Univerzita Pavla Jozefa Šafárika v Košiciach</v>
          </cell>
          <cell r="E2959" t="str">
            <v>Filozofická fakulta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BF2959">
            <v>0</v>
          </cell>
          <cell r="BG2959">
            <v>0</v>
          </cell>
          <cell r="BH2959">
            <v>0</v>
          </cell>
          <cell r="BI2959">
            <v>8</v>
          </cell>
          <cell r="BJ2959">
            <v>0</v>
          </cell>
        </row>
        <row r="2960">
          <cell r="D2960" t="str">
            <v>Univerzita Pavla Jozefa Šafárika v Košiciach</v>
          </cell>
          <cell r="E2960" t="str">
            <v>Filozofická fakulta</v>
          </cell>
          <cell r="AN2960">
            <v>12</v>
          </cell>
          <cell r="AO2960">
            <v>12</v>
          </cell>
          <cell r="AP2960">
            <v>0</v>
          </cell>
          <cell r="AQ2960">
            <v>0</v>
          </cell>
          <cell r="AR2960">
            <v>12</v>
          </cell>
          <cell r="BF2960">
            <v>18</v>
          </cell>
          <cell r="BG2960">
            <v>18</v>
          </cell>
          <cell r="BH2960">
            <v>14.4</v>
          </cell>
          <cell r="BI2960">
            <v>12</v>
          </cell>
          <cell r="BJ2960">
            <v>0</v>
          </cell>
        </row>
        <row r="2961">
          <cell r="D2961" t="str">
            <v>Univerzita Pavla Jozefa Šafárika v Košiciach</v>
          </cell>
          <cell r="E2961" t="str">
            <v>Filozofická fakulta</v>
          </cell>
          <cell r="AN2961">
            <v>8</v>
          </cell>
          <cell r="AO2961">
            <v>8</v>
          </cell>
          <cell r="AP2961">
            <v>0</v>
          </cell>
          <cell r="AQ2961">
            <v>0</v>
          </cell>
          <cell r="AR2961">
            <v>8</v>
          </cell>
          <cell r="BF2961">
            <v>12</v>
          </cell>
          <cell r="BG2961">
            <v>13.080000000000002</v>
          </cell>
          <cell r="BH2961">
            <v>9.8100000000000023</v>
          </cell>
          <cell r="BI2961">
            <v>8</v>
          </cell>
          <cell r="BJ2961">
            <v>0</v>
          </cell>
        </row>
        <row r="2962">
          <cell r="D2962" t="str">
            <v>Univerzita Pavla Jozefa Šafárika v Košiciach</v>
          </cell>
          <cell r="E2962" t="str">
            <v>Filozofická fakulta</v>
          </cell>
          <cell r="AN2962">
            <v>9</v>
          </cell>
          <cell r="AO2962">
            <v>9</v>
          </cell>
          <cell r="AP2962">
            <v>0</v>
          </cell>
          <cell r="AQ2962">
            <v>0</v>
          </cell>
          <cell r="AR2962">
            <v>9</v>
          </cell>
          <cell r="BF2962">
            <v>13.5</v>
          </cell>
          <cell r="BG2962">
            <v>20.25</v>
          </cell>
          <cell r="BH2962">
            <v>20.25</v>
          </cell>
          <cell r="BI2962">
            <v>9</v>
          </cell>
          <cell r="BJ2962">
            <v>0</v>
          </cell>
        </row>
        <row r="2963">
          <cell r="D2963" t="str">
            <v>Univerzita Pavla Jozefa Šafárika v Košiciach</v>
          </cell>
          <cell r="E2963" t="str">
            <v>Filozofická fakulta</v>
          </cell>
          <cell r="AN2963">
            <v>5</v>
          </cell>
          <cell r="AO2963">
            <v>5</v>
          </cell>
          <cell r="AP2963">
            <v>0</v>
          </cell>
          <cell r="AQ2963">
            <v>0</v>
          </cell>
          <cell r="AR2963">
            <v>5</v>
          </cell>
          <cell r="BF2963">
            <v>7.5</v>
          </cell>
          <cell r="BG2963">
            <v>8.1750000000000007</v>
          </cell>
          <cell r="BH2963">
            <v>6.3583333333333343</v>
          </cell>
          <cell r="BI2963">
            <v>5</v>
          </cell>
          <cell r="BJ2963">
            <v>0</v>
          </cell>
        </row>
        <row r="2964">
          <cell r="D2964" t="str">
            <v>Univerzita Pavla Jozefa Šafárika v Košiciach</v>
          </cell>
          <cell r="E2964" t="str">
            <v>Filozofická fakulta</v>
          </cell>
          <cell r="AN2964">
            <v>7</v>
          </cell>
          <cell r="AO2964">
            <v>7</v>
          </cell>
          <cell r="AP2964">
            <v>0</v>
          </cell>
          <cell r="AQ2964">
            <v>0</v>
          </cell>
          <cell r="AR2964">
            <v>7</v>
          </cell>
          <cell r="BF2964">
            <v>10.5</v>
          </cell>
          <cell r="BG2964">
            <v>11.445</v>
          </cell>
          <cell r="BH2964">
            <v>11.445</v>
          </cell>
          <cell r="BI2964">
            <v>7</v>
          </cell>
          <cell r="BJ2964">
            <v>0</v>
          </cell>
        </row>
        <row r="2965">
          <cell r="D2965" t="str">
            <v>Univerzita Pavla Jozefa Šafárika v Košiciach</v>
          </cell>
          <cell r="E2965" t="str">
            <v>Filozofická fakulta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BF2965">
            <v>0</v>
          </cell>
          <cell r="BG2965">
            <v>0</v>
          </cell>
          <cell r="BH2965">
            <v>0</v>
          </cell>
          <cell r="BI2965">
            <v>4</v>
          </cell>
          <cell r="BJ2965">
            <v>0</v>
          </cell>
        </row>
        <row r="2966">
          <cell r="D2966" t="str">
            <v>Univerzita Pavla Jozefa Šafárika v Košiciach</v>
          </cell>
          <cell r="E2966" t="str">
            <v>Filozofická fakulta</v>
          </cell>
          <cell r="AN2966">
            <v>7</v>
          </cell>
          <cell r="AO2966">
            <v>10</v>
          </cell>
          <cell r="AP2966">
            <v>0</v>
          </cell>
          <cell r="AQ2966">
            <v>0</v>
          </cell>
          <cell r="AR2966">
            <v>7</v>
          </cell>
          <cell r="BF2966">
            <v>5.5</v>
          </cell>
          <cell r="BG2966">
            <v>5.61</v>
          </cell>
          <cell r="BH2966">
            <v>5.325949367088608</v>
          </cell>
          <cell r="BI2966">
            <v>10</v>
          </cell>
          <cell r="BJ2966">
            <v>0</v>
          </cell>
        </row>
        <row r="2967">
          <cell r="D2967" t="str">
            <v>Univerzita Pavla Jozefa Šafárika v Košiciach</v>
          </cell>
          <cell r="E2967" t="str">
            <v>Filozofická fakulta</v>
          </cell>
          <cell r="AN2967">
            <v>4</v>
          </cell>
          <cell r="AO2967">
            <v>4</v>
          </cell>
          <cell r="AP2967">
            <v>4</v>
          </cell>
          <cell r="AQ2967">
            <v>0</v>
          </cell>
          <cell r="AR2967">
            <v>4</v>
          </cell>
          <cell r="BF2967">
            <v>3.4</v>
          </cell>
          <cell r="BG2967">
            <v>4.2839999999999998</v>
          </cell>
          <cell r="BH2967">
            <v>4.2839999999999998</v>
          </cell>
          <cell r="BI2967">
            <v>4</v>
          </cell>
          <cell r="BJ2967">
            <v>0</v>
          </cell>
        </row>
        <row r="2968">
          <cell r="D2968" t="str">
            <v>Univerzita Pavla Jozefa Šafárika v Košiciach</v>
          </cell>
          <cell r="E2968" t="str">
            <v>Filozofická fakulta</v>
          </cell>
          <cell r="AN2968">
            <v>11</v>
          </cell>
          <cell r="AO2968">
            <v>11</v>
          </cell>
          <cell r="AP2968">
            <v>0</v>
          </cell>
          <cell r="AQ2968">
            <v>0</v>
          </cell>
          <cell r="AR2968">
            <v>11</v>
          </cell>
          <cell r="BF2968">
            <v>8.6</v>
          </cell>
          <cell r="BG2968">
            <v>8.9439999999999991</v>
          </cell>
          <cell r="BH2968">
            <v>8.4911392405063282</v>
          </cell>
          <cell r="BI2968">
            <v>11</v>
          </cell>
          <cell r="BJ2968">
            <v>0</v>
          </cell>
        </row>
        <row r="2969">
          <cell r="D2969" t="str">
            <v>Univerzita Pavla Jozefa Šafárika v Košiciach</v>
          </cell>
          <cell r="E2969" t="str">
            <v>Filozofická fakulta</v>
          </cell>
          <cell r="AN2969">
            <v>4</v>
          </cell>
          <cell r="AO2969">
            <v>4</v>
          </cell>
          <cell r="AP2969">
            <v>0</v>
          </cell>
          <cell r="AQ2969">
            <v>0</v>
          </cell>
          <cell r="AR2969">
            <v>4</v>
          </cell>
          <cell r="BF2969">
            <v>3.0999999999999996</v>
          </cell>
          <cell r="BG2969">
            <v>3.1619999999999995</v>
          </cell>
          <cell r="BH2969">
            <v>3.0018987341772148</v>
          </cell>
          <cell r="BI2969">
            <v>4</v>
          </cell>
          <cell r="BJ2969">
            <v>0</v>
          </cell>
        </row>
        <row r="2970">
          <cell r="D2970" t="str">
            <v>Univerzita Pavla Jozefa Šafárika v Košiciach</v>
          </cell>
          <cell r="E2970" t="str">
            <v>Filozofická fakulta</v>
          </cell>
          <cell r="AN2970">
            <v>8</v>
          </cell>
          <cell r="AO2970">
            <v>8</v>
          </cell>
          <cell r="AP2970">
            <v>0</v>
          </cell>
          <cell r="AQ2970">
            <v>0</v>
          </cell>
          <cell r="AR2970">
            <v>8</v>
          </cell>
          <cell r="BF2970">
            <v>5.8999999999999995</v>
          </cell>
          <cell r="BG2970">
            <v>6.1359999999999992</v>
          </cell>
          <cell r="BH2970">
            <v>6.1359999999999992</v>
          </cell>
          <cell r="BI2970">
            <v>8</v>
          </cell>
          <cell r="BJ2970">
            <v>0</v>
          </cell>
        </row>
        <row r="2971">
          <cell r="D2971" t="str">
            <v>Univerzita Pavla Jozefa Šafárika v Košiciach</v>
          </cell>
          <cell r="E2971" t="str">
            <v>Filozofická fakulta</v>
          </cell>
          <cell r="AN2971">
            <v>3</v>
          </cell>
          <cell r="AO2971">
            <v>3</v>
          </cell>
          <cell r="AP2971">
            <v>3</v>
          </cell>
          <cell r="AQ2971">
            <v>0</v>
          </cell>
          <cell r="AR2971">
            <v>3</v>
          </cell>
          <cell r="BF2971">
            <v>2.4</v>
          </cell>
          <cell r="BG2971">
            <v>2.8320000000000003</v>
          </cell>
          <cell r="BH2971">
            <v>2.8320000000000003</v>
          </cell>
          <cell r="BI2971">
            <v>3</v>
          </cell>
          <cell r="BJ2971">
            <v>0</v>
          </cell>
        </row>
        <row r="2972">
          <cell r="D2972" t="str">
            <v>Univerzita Pavla Jozefa Šafárika v Košiciach</v>
          </cell>
          <cell r="E2972" t="str">
            <v>Filozofická fakulta</v>
          </cell>
          <cell r="AN2972">
            <v>1</v>
          </cell>
          <cell r="AO2972">
            <v>1</v>
          </cell>
          <cell r="AP2972">
            <v>0</v>
          </cell>
          <cell r="AQ2972">
            <v>0</v>
          </cell>
          <cell r="AR2972">
            <v>1</v>
          </cell>
          <cell r="BF2972">
            <v>1</v>
          </cell>
          <cell r="BG2972">
            <v>1.04</v>
          </cell>
          <cell r="BH2972">
            <v>0.98734177215189867</v>
          </cell>
          <cell r="BI2972">
            <v>1</v>
          </cell>
          <cell r="BJ2972">
            <v>0</v>
          </cell>
        </row>
        <row r="2973">
          <cell r="D2973" t="str">
            <v>Univerzita Komenského v Bratislave</v>
          </cell>
          <cell r="E2973" t="str">
            <v>Filozofická fakulta</v>
          </cell>
          <cell r="AN2973">
            <v>0</v>
          </cell>
          <cell r="AO2973">
            <v>0.5</v>
          </cell>
          <cell r="AP2973">
            <v>0</v>
          </cell>
          <cell r="AQ2973">
            <v>0</v>
          </cell>
          <cell r="AR2973">
            <v>0</v>
          </cell>
          <cell r="BF2973">
            <v>0</v>
          </cell>
          <cell r="BG2973">
            <v>0</v>
          </cell>
          <cell r="BH2973">
            <v>0</v>
          </cell>
          <cell r="BI2973">
            <v>0.5</v>
          </cell>
          <cell r="BJ2973">
            <v>0</v>
          </cell>
        </row>
        <row r="2974">
          <cell r="D2974" t="str">
            <v>Univerzita Komenského v Bratislave</v>
          </cell>
          <cell r="E2974" t="str">
            <v>Filozofická fakulta</v>
          </cell>
          <cell r="AN2974">
            <v>0</v>
          </cell>
          <cell r="AO2974">
            <v>0.5</v>
          </cell>
          <cell r="AP2974">
            <v>0</v>
          </cell>
          <cell r="AQ2974">
            <v>0</v>
          </cell>
          <cell r="AR2974">
            <v>0</v>
          </cell>
          <cell r="BF2974">
            <v>0</v>
          </cell>
          <cell r="BG2974">
            <v>0</v>
          </cell>
          <cell r="BH2974">
            <v>0</v>
          </cell>
          <cell r="BI2974">
            <v>0.5</v>
          </cell>
          <cell r="BJ2974">
            <v>0</v>
          </cell>
        </row>
        <row r="2975">
          <cell r="D2975" t="str">
            <v>Univerzita Komenského v Bratislave</v>
          </cell>
          <cell r="E2975" t="str">
            <v>Filozofická fakulta</v>
          </cell>
          <cell r="AN2975">
            <v>3</v>
          </cell>
          <cell r="AO2975">
            <v>0</v>
          </cell>
          <cell r="AP2975">
            <v>0</v>
          </cell>
          <cell r="AQ2975">
            <v>0</v>
          </cell>
          <cell r="AR2975">
            <v>3</v>
          </cell>
          <cell r="BF2975">
            <v>9</v>
          </cell>
          <cell r="BG2975">
            <v>9.9</v>
          </cell>
          <cell r="BH2975">
            <v>9.9</v>
          </cell>
          <cell r="BI2975">
            <v>3</v>
          </cell>
          <cell r="BJ2975">
            <v>3</v>
          </cell>
        </row>
        <row r="2976">
          <cell r="D2976" t="str">
            <v>Univerzita Komenského v Bratislave</v>
          </cell>
          <cell r="E2976" t="str">
            <v>Filozofická fakulta</v>
          </cell>
          <cell r="AN2976">
            <v>9</v>
          </cell>
          <cell r="AO2976">
            <v>9</v>
          </cell>
          <cell r="AP2976">
            <v>0</v>
          </cell>
          <cell r="AQ2976">
            <v>0</v>
          </cell>
          <cell r="AR2976">
            <v>9</v>
          </cell>
          <cell r="BF2976">
            <v>13.5</v>
          </cell>
          <cell r="BG2976">
            <v>13.5</v>
          </cell>
          <cell r="BH2976">
            <v>11.25</v>
          </cell>
          <cell r="BI2976">
            <v>9</v>
          </cell>
          <cell r="BJ2976">
            <v>0</v>
          </cell>
        </row>
        <row r="2977">
          <cell r="D2977" t="str">
            <v>Univerzita Komenského v Bratislave</v>
          </cell>
          <cell r="E2977" t="str">
            <v>Filozofická fakulta</v>
          </cell>
          <cell r="AN2977">
            <v>31</v>
          </cell>
          <cell r="AO2977">
            <v>31</v>
          </cell>
          <cell r="AP2977">
            <v>0</v>
          </cell>
          <cell r="AQ2977">
            <v>0</v>
          </cell>
          <cell r="AR2977">
            <v>31</v>
          </cell>
          <cell r="BF2977">
            <v>46.5</v>
          </cell>
          <cell r="BG2977">
            <v>48.36</v>
          </cell>
          <cell r="BH2977">
            <v>45.942</v>
          </cell>
          <cell r="BI2977">
            <v>31</v>
          </cell>
          <cell r="BJ2977">
            <v>0</v>
          </cell>
        </row>
        <row r="2978">
          <cell r="D2978" t="str">
            <v>Univerzita Komenského v Bratislave</v>
          </cell>
          <cell r="E2978" t="str">
            <v>Filozofická fakulta</v>
          </cell>
          <cell r="AN2978">
            <v>0.5</v>
          </cell>
          <cell r="AO2978">
            <v>0.5</v>
          </cell>
          <cell r="AP2978">
            <v>0</v>
          </cell>
          <cell r="AQ2978">
            <v>0</v>
          </cell>
          <cell r="AR2978">
            <v>0.5</v>
          </cell>
          <cell r="BF2978">
            <v>0.75</v>
          </cell>
          <cell r="BG2978">
            <v>0.89249999999999996</v>
          </cell>
          <cell r="BH2978">
            <v>0.86468181818181811</v>
          </cell>
          <cell r="BI2978">
            <v>0.5</v>
          </cell>
          <cell r="BJ2978">
            <v>0</v>
          </cell>
        </row>
        <row r="2979">
          <cell r="D2979" t="str">
            <v>Univerzita Komenského v Bratislave</v>
          </cell>
          <cell r="E2979" t="str">
            <v>Filozofická fakulta</v>
          </cell>
          <cell r="AN2979">
            <v>5</v>
          </cell>
          <cell r="AO2979">
            <v>5</v>
          </cell>
          <cell r="AP2979">
            <v>0</v>
          </cell>
          <cell r="AQ2979">
            <v>0</v>
          </cell>
          <cell r="AR2979">
            <v>5</v>
          </cell>
          <cell r="BF2979">
            <v>7.5</v>
          </cell>
          <cell r="BG2979">
            <v>11.25</v>
          </cell>
          <cell r="BH2979">
            <v>10.117449664429531</v>
          </cell>
          <cell r="BI2979">
            <v>5</v>
          </cell>
          <cell r="BJ2979">
            <v>0</v>
          </cell>
        </row>
        <row r="2980">
          <cell r="D2980" t="str">
            <v>Univerzita Komenského v Bratislave</v>
          </cell>
          <cell r="E2980" t="str">
            <v>Filozofická fakulta</v>
          </cell>
          <cell r="AN2980">
            <v>4.5</v>
          </cell>
          <cell r="AO2980">
            <v>4.5</v>
          </cell>
          <cell r="AP2980">
            <v>0</v>
          </cell>
          <cell r="AQ2980">
            <v>0</v>
          </cell>
          <cell r="AR2980">
            <v>4.5</v>
          </cell>
          <cell r="BF2980">
            <v>6.75</v>
          </cell>
          <cell r="BG2980">
            <v>10.125</v>
          </cell>
          <cell r="BH2980">
            <v>5.625</v>
          </cell>
          <cell r="BI2980">
            <v>4.5</v>
          </cell>
          <cell r="BJ2980">
            <v>0</v>
          </cell>
        </row>
        <row r="2981">
          <cell r="D2981" t="str">
            <v>Univerzita Komenského v Bratislave</v>
          </cell>
          <cell r="E2981" t="str">
            <v>Filozofická fakulta</v>
          </cell>
          <cell r="AN2981">
            <v>3</v>
          </cell>
          <cell r="AO2981">
            <v>3</v>
          </cell>
          <cell r="AP2981">
            <v>0</v>
          </cell>
          <cell r="AQ2981">
            <v>0</v>
          </cell>
          <cell r="AR2981">
            <v>3</v>
          </cell>
          <cell r="BF2981">
            <v>4.5</v>
          </cell>
          <cell r="BG2981">
            <v>6.75</v>
          </cell>
          <cell r="BH2981">
            <v>6.75</v>
          </cell>
          <cell r="BI2981">
            <v>3</v>
          </cell>
          <cell r="BJ2981">
            <v>0</v>
          </cell>
        </row>
        <row r="2982">
          <cell r="D2982" t="str">
            <v>Univerzita Komenského v Bratislave</v>
          </cell>
          <cell r="E2982" t="str">
            <v>Filozofická fakulta</v>
          </cell>
          <cell r="AN2982">
            <v>3</v>
          </cell>
          <cell r="AO2982">
            <v>3</v>
          </cell>
          <cell r="AP2982">
            <v>0</v>
          </cell>
          <cell r="AQ2982">
            <v>0</v>
          </cell>
          <cell r="AR2982">
            <v>3</v>
          </cell>
          <cell r="BF2982">
            <v>4.5</v>
          </cell>
          <cell r="BG2982">
            <v>4.9050000000000002</v>
          </cell>
          <cell r="BH2982">
            <v>4.9050000000000002</v>
          </cell>
          <cell r="BI2982">
            <v>3</v>
          </cell>
          <cell r="BJ2982">
            <v>0</v>
          </cell>
        </row>
        <row r="2983">
          <cell r="D2983" t="str">
            <v>Univerzita Komenského v Bratislave</v>
          </cell>
          <cell r="E2983" t="str">
            <v>Filozofická fakulta</v>
          </cell>
          <cell r="AN2983">
            <v>7</v>
          </cell>
          <cell r="AO2983">
            <v>7</v>
          </cell>
          <cell r="AP2983">
            <v>0</v>
          </cell>
          <cell r="AQ2983">
            <v>0</v>
          </cell>
          <cell r="AR2983">
            <v>7</v>
          </cell>
          <cell r="BF2983">
            <v>10.5</v>
          </cell>
          <cell r="BG2983">
            <v>11.445</v>
          </cell>
          <cell r="BH2983">
            <v>11.445</v>
          </cell>
          <cell r="BI2983">
            <v>7</v>
          </cell>
          <cell r="BJ2983">
            <v>0</v>
          </cell>
        </row>
        <row r="2984">
          <cell r="D2984" t="str">
            <v>Univerzita Komenského v Bratislave</v>
          </cell>
          <cell r="E2984" t="str">
            <v>Filozofická fakulta</v>
          </cell>
          <cell r="AN2984">
            <v>1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BF2984">
            <v>0</v>
          </cell>
          <cell r="BG2984">
            <v>0</v>
          </cell>
          <cell r="BH2984">
            <v>0</v>
          </cell>
          <cell r="BI2984">
            <v>3</v>
          </cell>
          <cell r="BJ2984">
            <v>0</v>
          </cell>
        </row>
        <row r="2985">
          <cell r="D2985" t="str">
            <v>Univerzita Komenského v Bratislave</v>
          </cell>
          <cell r="E2985" t="str">
            <v>Filozofická fakulta</v>
          </cell>
          <cell r="AN2985">
            <v>8</v>
          </cell>
          <cell r="AO2985">
            <v>8</v>
          </cell>
          <cell r="AP2985">
            <v>0</v>
          </cell>
          <cell r="AQ2985">
            <v>0</v>
          </cell>
          <cell r="AR2985">
            <v>8</v>
          </cell>
          <cell r="BF2985">
            <v>6.5</v>
          </cell>
          <cell r="BG2985">
            <v>6.5</v>
          </cell>
          <cell r="BH2985">
            <v>5.958333333333333</v>
          </cell>
          <cell r="BI2985">
            <v>8</v>
          </cell>
          <cell r="BJ2985">
            <v>0</v>
          </cell>
        </row>
        <row r="2986">
          <cell r="D2986" t="str">
            <v>Univerzita Komenského v Bratislave</v>
          </cell>
          <cell r="E2986" t="str">
            <v>Filozofická fakulta</v>
          </cell>
          <cell r="AN2986">
            <v>8</v>
          </cell>
          <cell r="AO2986">
            <v>8</v>
          </cell>
          <cell r="AP2986">
            <v>0</v>
          </cell>
          <cell r="AQ2986">
            <v>0</v>
          </cell>
          <cell r="AR2986">
            <v>8</v>
          </cell>
          <cell r="BF2986">
            <v>6.8</v>
          </cell>
          <cell r="BG2986">
            <v>7.4119999999999999</v>
          </cell>
          <cell r="BH2986">
            <v>7.4119999999999999</v>
          </cell>
          <cell r="BI2986">
            <v>8</v>
          </cell>
          <cell r="BJ2986">
            <v>0</v>
          </cell>
        </row>
        <row r="2987">
          <cell r="D2987" t="str">
            <v>Univerzita Komenského v Bratislave</v>
          </cell>
          <cell r="E2987" t="str">
            <v>Filozofická fakulta</v>
          </cell>
          <cell r="AN2987">
            <v>3</v>
          </cell>
          <cell r="AO2987">
            <v>3</v>
          </cell>
          <cell r="AP2987">
            <v>0</v>
          </cell>
          <cell r="AQ2987">
            <v>0</v>
          </cell>
          <cell r="AR2987">
            <v>3</v>
          </cell>
          <cell r="BF2987">
            <v>2.7</v>
          </cell>
          <cell r="BG2987">
            <v>2.7</v>
          </cell>
          <cell r="BH2987">
            <v>2.4573033707865171</v>
          </cell>
          <cell r="BI2987">
            <v>3</v>
          </cell>
          <cell r="BJ2987">
            <v>0</v>
          </cell>
        </row>
        <row r="2988">
          <cell r="D2988" t="str">
            <v>Univerzita Komenského v Bratislave</v>
          </cell>
          <cell r="E2988" t="str">
            <v>Filozofická fakulta</v>
          </cell>
          <cell r="AN2988">
            <v>4</v>
          </cell>
          <cell r="AO2988">
            <v>4</v>
          </cell>
          <cell r="AP2988">
            <v>0</v>
          </cell>
          <cell r="AQ2988">
            <v>0</v>
          </cell>
          <cell r="AR2988">
            <v>4</v>
          </cell>
          <cell r="BF2988">
            <v>3.7</v>
          </cell>
          <cell r="BG2988">
            <v>3.7</v>
          </cell>
          <cell r="BH2988">
            <v>3.3674157303370786</v>
          </cell>
          <cell r="BI2988">
            <v>4</v>
          </cell>
          <cell r="BJ2988">
            <v>0</v>
          </cell>
        </row>
        <row r="2989">
          <cell r="D2989" t="str">
            <v>Univerzita Komenského v Bratislave</v>
          </cell>
          <cell r="E2989" t="str">
            <v>Filozofická fakulta</v>
          </cell>
          <cell r="AN2989">
            <v>6.5</v>
          </cell>
          <cell r="AO2989">
            <v>6.5</v>
          </cell>
          <cell r="AP2989">
            <v>0</v>
          </cell>
          <cell r="AQ2989">
            <v>0</v>
          </cell>
          <cell r="AR2989">
            <v>6.5</v>
          </cell>
          <cell r="BF2989">
            <v>6.5</v>
          </cell>
          <cell r="BG2989">
            <v>9.75</v>
          </cell>
          <cell r="BH2989">
            <v>9.75</v>
          </cell>
          <cell r="BI2989">
            <v>6.5</v>
          </cell>
          <cell r="BJ2989">
            <v>0</v>
          </cell>
        </row>
        <row r="2990">
          <cell r="D2990" t="str">
            <v>Univerzita Komenského v Bratislave</v>
          </cell>
          <cell r="E2990" t="str">
            <v>Filozofická fakulta</v>
          </cell>
          <cell r="AN2990">
            <v>4</v>
          </cell>
          <cell r="AO2990">
            <v>4</v>
          </cell>
          <cell r="AP2990">
            <v>0</v>
          </cell>
          <cell r="AQ2990">
            <v>0</v>
          </cell>
          <cell r="AR2990">
            <v>4</v>
          </cell>
          <cell r="BF2990">
            <v>3.7</v>
          </cell>
          <cell r="BG2990">
            <v>5.5500000000000007</v>
          </cell>
          <cell r="BH2990">
            <v>5.5500000000000007</v>
          </cell>
          <cell r="BI2990">
            <v>4</v>
          </cell>
          <cell r="BJ2990">
            <v>0</v>
          </cell>
        </row>
        <row r="2991">
          <cell r="D2991" t="str">
            <v>Univerzita Komenského v Bratislave</v>
          </cell>
          <cell r="E2991" t="str">
            <v>Filozofická fakulta</v>
          </cell>
          <cell r="AN2991">
            <v>1</v>
          </cell>
          <cell r="AO2991">
            <v>1</v>
          </cell>
          <cell r="AP2991">
            <v>0</v>
          </cell>
          <cell r="AQ2991">
            <v>0</v>
          </cell>
          <cell r="AR2991">
            <v>1</v>
          </cell>
          <cell r="BF2991">
            <v>1</v>
          </cell>
          <cell r="BG2991">
            <v>1</v>
          </cell>
          <cell r="BH2991">
            <v>0.9101123595505618</v>
          </cell>
          <cell r="BI2991">
            <v>1</v>
          </cell>
          <cell r="BJ2991">
            <v>0</v>
          </cell>
        </row>
        <row r="2992">
          <cell r="D2992" t="str">
            <v>Univerzita Komenského v Bratislave</v>
          </cell>
          <cell r="E2992" t="str">
            <v>Filozofická fakulta</v>
          </cell>
          <cell r="AN2992">
            <v>1</v>
          </cell>
          <cell r="AO2992">
            <v>1</v>
          </cell>
          <cell r="AP2992">
            <v>0</v>
          </cell>
          <cell r="AQ2992">
            <v>0</v>
          </cell>
          <cell r="AR2992">
            <v>1</v>
          </cell>
          <cell r="BF2992">
            <v>1</v>
          </cell>
          <cell r="BG2992">
            <v>1.02</v>
          </cell>
          <cell r="BH2992">
            <v>0.92831460674157307</v>
          </cell>
          <cell r="BI2992">
            <v>1</v>
          </cell>
          <cell r="BJ2992">
            <v>0</v>
          </cell>
        </row>
        <row r="2993">
          <cell r="D2993" t="str">
            <v>Univerzita Komenského v Bratislave</v>
          </cell>
          <cell r="E2993" t="str">
            <v>Filozofická fakulta</v>
          </cell>
          <cell r="AN2993">
            <v>5</v>
          </cell>
          <cell r="AO2993">
            <v>5</v>
          </cell>
          <cell r="AP2993">
            <v>0</v>
          </cell>
          <cell r="AQ2993">
            <v>0</v>
          </cell>
          <cell r="AR2993">
            <v>5</v>
          </cell>
          <cell r="BF2993">
            <v>4.0999999999999996</v>
          </cell>
          <cell r="BG2993">
            <v>4.0999999999999996</v>
          </cell>
          <cell r="BH2993">
            <v>3.7583333333333329</v>
          </cell>
          <cell r="BI2993">
            <v>5</v>
          </cell>
          <cell r="BJ2993">
            <v>0</v>
          </cell>
        </row>
        <row r="2994">
          <cell r="D2994" t="str">
            <v>Univerzita Komenského v Bratislave</v>
          </cell>
          <cell r="E2994" t="str">
            <v>Filozofická fakulta</v>
          </cell>
          <cell r="AN2994">
            <v>1</v>
          </cell>
          <cell r="AO2994">
            <v>1</v>
          </cell>
          <cell r="AP2994">
            <v>0</v>
          </cell>
          <cell r="AQ2994">
            <v>0</v>
          </cell>
          <cell r="AR2994">
            <v>1</v>
          </cell>
          <cell r="BF2994">
            <v>1</v>
          </cell>
          <cell r="BG2994">
            <v>1.02</v>
          </cell>
          <cell r="BH2994">
            <v>0.92831460674157307</v>
          </cell>
          <cell r="BI2994">
            <v>1</v>
          </cell>
          <cell r="BJ2994">
            <v>0</v>
          </cell>
        </row>
        <row r="2995">
          <cell r="D2995" t="str">
            <v>Univerzita Komenského v Bratislave</v>
          </cell>
          <cell r="E2995" t="str">
            <v>Filozofická fakulta</v>
          </cell>
          <cell r="AN2995">
            <v>14</v>
          </cell>
          <cell r="AO2995">
            <v>14</v>
          </cell>
          <cell r="AP2995">
            <v>0</v>
          </cell>
          <cell r="AQ2995">
            <v>0</v>
          </cell>
          <cell r="AR2995">
            <v>14</v>
          </cell>
          <cell r="BF2995">
            <v>10.399999999999999</v>
          </cell>
          <cell r="BG2995">
            <v>10.815999999999999</v>
          </cell>
          <cell r="BH2995">
            <v>10.263105431309903</v>
          </cell>
          <cell r="BI2995">
            <v>14</v>
          </cell>
          <cell r="BJ2995">
            <v>0</v>
          </cell>
        </row>
        <row r="2996">
          <cell r="D2996" t="str">
            <v>Univerzita Komenského v Bratislave</v>
          </cell>
          <cell r="E2996" t="str">
            <v>Filozofická fakulta</v>
          </cell>
          <cell r="AN2996">
            <v>2</v>
          </cell>
          <cell r="AO2996">
            <v>2</v>
          </cell>
          <cell r="AP2996">
            <v>0</v>
          </cell>
          <cell r="AQ2996">
            <v>0</v>
          </cell>
          <cell r="AR2996">
            <v>2</v>
          </cell>
          <cell r="BF2996">
            <v>1.7</v>
          </cell>
          <cell r="BG2996">
            <v>1.7</v>
          </cell>
          <cell r="BH2996">
            <v>1.547191011235955</v>
          </cell>
          <cell r="BI2996">
            <v>2</v>
          </cell>
          <cell r="BJ2996">
            <v>0</v>
          </cell>
        </row>
        <row r="2997">
          <cell r="D2997" t="str">
            <v>Univerzita Komenského v Bratislave</v>
          </cell>
          <cell r="E2997" t="str">
            <v>Filozofická fakulta</v>
          </cell>
          <cell r="AN2997">
            <v>6</v>
          </cell>
          <cell r="AO2997">
            <v>6</v>
          </cell>
          <cell r="AP2997">
            <v>0</v>
          </cell>
          <cell r="AQ2997">
            <v>0</v>
          </cell>
          <cell r="AR2997">
            <v>6</v>
          </cell>
          <cell r="BF2997">
            <v>4.8</v>
          </cell>
          <cell r="BG2997">
            <v>4.8</v>
          </cell>
          <cell r="BH2997">
            <v>4.6736842105263161</v>
          </cell>
          <cell r="BI2997">
            <v>6</v>
          </cell>
          <cell r="BJ2997">
            <v>0</v>
          </cell>
        </row>
        <row r="2998">
          <cell r="D2998" t="str">
            <v>Univerzita Komenského v Bratislave</v>
          </cell>
          <cell r="E2998" t="str">
            <v>Filozofická fakulta</v>
          </cell>
          <cell r="AN2998">
            <v>3</v>
          </cell>
          <cell r="AO2998">
            <v>3</v>
          </cell>
          <cell r="AP2998">
            <v>0</v>
          </cell>
          <cell r="AQ2998">
            <v>0</v>
          </cell>
          <cell r="AR2998">
            <v>3</v>
          </cell>
          <cell r="BF2998">
            <v>2.4</v>
          </cell>
          <cell r="BG2998">
            <v>2.6279999999999997</v>
          </cell>
          <cell r="BH2998">
            <v>2.3917752808988761</v>
          </cell>
          <cell r="BI2998">
            <v>3</v>
          </cell>
          <cell r="BJ2998">
            <v>0</v>
          </cell>
        </row>
        <row r="2999">
          <cell r="D2999" t="str">
            <v>Univerzita Komenského v Bratislave</v>
          </cell>
          <cell r="E2999" t="str">
            <v>Filozofická fakulta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BF2999">
            <v>0</v>
          </cell>
          <cell r="BG2999">
            <v>0</v>
          </cell>
          <cell r="BH2999">
            <v>0</v>
          </cell>
          <cell r="BI2999">
            <v>3</v>
          </cell>
          <cell r="BJ2999">
            <v>0</v>
          </cell>
        </row>
        <row r="3000">
          <cell r="D3000" t="str">
            <v>Technická univerzita v Košiciach</v>
          </cell>
          <cell r="E3000" t="str">
            <v>Fakulta umení</v>
          </cell>
          <cell r="AN3000">
            <v>18</v>
          </cell>
          <cell r="AO3000">
            <v>18</v>
          </cell>
          <cell r="AP3000">
            <v>0</v>
          </cell>
          <cell r="AQ3000">
            <v>0</v>
          </cell>
          <cell r="AR3000">
            <v>18</v>
          </cell>
          <cell r="BF3000">
            <v>27</v>
          </cell>
          <cell r="BG3000">
            <v>87.21</v>
          </cell>
          <cell r="BH3000">
            <v>71.353636363636355</v>
          </cell>
          <cell r="BI3000">
            <v>18</v>
          </cell>
          <cell r="BJ3000">
            <v>0</v>
          </cell>
        </row>
        <row r="3001">
          <cell r="D3001" t="str">
            <v>Technická univerzita v Košiciach</v>
          </cell>
          <cell r="E3001" t="str">
            <v>Fakulta umení</v>
          </cell>
          <cell r="AN3001">
            <v>25</v>
          </cell>
          <cell r="AO3001">
            <v>25</v>
          </cell>
          <cell r="AP3001">
            <v>0</v>
          </cell>
          <cell r="AQ3001">
            <v>0</v>
          </cell>
          <cell r="AR3001">
            <v>25</v>
          </cell>
          <cell r="BF3001">
            <v>37.5</v>
          </cell>
          <cell r="BG3001">
            <v>121.125</v>
          </cell>
          <cell r="BH3001">
            <v>102.49038461538461</v>
          </cell>
          <cell r="BI3001">
            <v>25</v>
          </cell>
          <cell r="BJ3001">
            <v>0</v>
          </cell>
        </row>
        <row r="3002">
          <cell r="D3002" t="str">
            <v>Katolícka univerzita v Ružomberku</v>
          </cell>
          <cell r="E3002" t="str">
            <v>Pedagogická fakulta</v>
          </cell>
          <cell r="AN3002">
            <v>10</v>
          </cell>
          <cell r="AO3002">
            <v>10</v>
          </cell>
          <cell r="AP3002">
            <v>0</v>
          </cell>
          <cell r="AQ3002">
            <v>0</v>
          </cell>
          <cell r="AR3002">
            <v>10</v>
          </cell>
          <cell r="BF3002">
            <v>15</v>
          </cell>
          <cell r="BG3002">
            <v>21.599999999999998</v>
          </cell>
          <cell r="BH3002">
            <v>18.514285714285712</v>
          </cell>
          <cell r="BI3002">
            <v>10</v>
          </cell>
          <cell r="BJ3002">
            <v>0</v>
          </cell>
        </row>
        <row r="3003">
          <cell r="D3003" t="str">
            <v>Katolícka univerzita v Ružomberku</v>
          </cell>
          <cell r="E3003" t="str">
            <v>Pedagogická fakulta</v>
          </cell>
          <cell r="AN3003">
            <v>29</v>
          </cell>
          <cell r="AO3003">
            <v>29</v>
          </cell>
          <cell r="AP3003">
            <v>0</v>
          </cell>
          <cell r="AQ3003">
            <v>0</v>
          </cell>
          <cell r="AR3003">
            <v>29</v>
          </cell>
          <cell r="BF3003">
            <v>43.5</v>
          </cell>
          <cell r="BG3003">
            <v>45.24</v>
          </cell>
          <cell r="BH3003">
            <v>34.958181818181821</v>
          </cell>
          <cell r="BI3003">
            <v>29</v>
          </cell>
          <cell r="BJ3003">
            <v>0</v>
          </cell>
        </row>
        <row r="3004">
          <cell r="D3004" t="str">
            <v>Katolícka univerzita v Ružomberku</v>
          </cell>
          <cell r="E3004" t="str">
            <v>Pedagogická fakulta</v>
          </cell>
          <cell r="AN3004">
            <v>3</v>
          </cell>
          <cell r="AO3004">
            <v>3.5</v>
          </cell>
          <cell r="AP3004">
            <v>0</v>
          </cell>
          <cell r="AQ3004">
            <v>0</v>
          </cell>
          <cell r="AR3004">
            <v>3</v>
          </cell>
          <cell r="BF3004">
            <v>4.5</v>
          </cell>
          <cell r="BG3004">
            <v>4.9050000000000002</v>
          </cell>
          <cell r="BH3004">
            <v>4.4815467625899279</v>
          </cell>
          <cell r="BI3004">
            <v>3.5</v>
          </cell>
          <cell r="BJ3004">
            <v>0</v>
          </cell>
        </row>
        <row r="3005">
          <cell r="D3005" t="str">
            <v>Katolícka univerzita v Ružomberku</v>
          </cell>
          <cell r="E3005" t="str">
            <v>Pedagogická fakulta</v>
          </cell>
          <cell r="AN3005">
            <v>2</v>
          </cell>
          <cell r="AO3005">
            <v>2</v>
          </cell>
          <cell r="AP3005">
            <v>0</v>
          </cell>
          <cell r="AQ3005">
            <v>0</v>
          </cell>
          <cell r="AR3005">
            <v>2</v>
          </cell>
          <cell r="BF3005">
            <v>3</v>
          </cell>
          <cell r="BG3005">
            <v>3.2700000000000005</v>
          </cell>
          <cell r="BH3005">
            <v>3.2700000000000005</v>
          </cell>
          <cell r="BI3005">
            <v>2</v>
          </cell>
          <cell r="BJ3005">
            <v>0</v>
          </cell>
        </row>
        <row r="3006">
          <cell r="D3006" t="str">
            <v>Katolícka univerzita v Ružomberku</v>
          </cell>
          <cell r="E3006" t="str">
            <v>Pedagogická fakulta</v>
          </cell>
          <cell r="AN3006">
            <v>7</v>
          </cell>
          <cell r="AO3006">
            <v>7</v>
          </cell>
          <cell r="AP3006">
            <v>0</v>
          </cell>
          <cell r="AQ3006">
            <v>0</v>
          </cell>
          <cell r="AR3006">
            <v>7</v>
          </cell>
          <cell r="BF3006">
            <v>10.5</v>
          </cell>
          <cell r="BG3006">
            <v>10.5</v>
          </cell>
          <cell r="BH3006">
            <v>3.5000000000000004</v>
          </cell>
          <cell r="BI3006">
            <v>7</v>
          </cell>
          <cell r="BJ3006">
            <v>0</v>
          </cell>
        </row>
        <row r="3007">
          <cell r="D3007" t="str">
            <v>Katolícka univerzita v Ružomberku</v>
          </cell>
          <cell r="E3007" t="str">
            <v>Pedagogická fakulta</v>
          </cell>
          <cell r="AN3007">
            <v>2</v>
          </cell>
          <cell r="AO3007">
            <v>0</v>
          </cell>
          <cell r="AP3007">
            <v>0</v>
          </cell>
          <cell r="AQ3007">
            <v>0</v>
          </cell>
          <cell r="AR3007">
            <v>2</v>
          </cell>
          <cell r="BF3007">
            <v>8</v>
          </cell>
          <cell r="BG3007">
            <v>8.8000000000000007</v>
          </cell>
          <cell r="BH3007">
            <v>8.2823529411764714</v>
          </cell>
          <cell r="BI3007">
            <v>2</v>
          </cell>
          <cell r="BJ3007">
            <v>2</v>
          </cell>
        </row>
        <row r="3008">
          <cell r="D3008" t="str">
            <v>Katolícka univerzita v Ružomberku</v>
          </cell>
          <cell r="E3008" t="str">
            <v>Pedagogická fakulta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BF3008">
            <v>0</v>
          </cell>
          <cell r="BG3008">
            <v>0</v>
          </cell>
          <cell r="BH3008">
            <v>0</v>
          </cell>
          <cell r="BI3008">
            <v>8</v>
          </cell>
          <cell r="BJ3008">
            <v>0</v>
          </cell>
        </row>
        <row r="3009">
          <cell r="D3009" t="str">
            <v>Katolícka univerzita v Ružomberku</v>
          </cell>
          <cell r="E3009" t="str">
            <v>Pedagogická fakulta</v>
          </cell>
          <cell r="AN3009">
            <v>5</v>
          </cell>
          <cell r="AO3009">
            <v>5</v>
          </cell>
          <cell r="AP3009">
            <v>0</v>
          </cell>
          <cell r="AQ3009">
            <v>0</v>
          </cell>
          <cell r="AR3009">
            <v>5</v>
          </cell>
          <cell r="BF3009">
            <v>7.5</v>
          </cell>
          <cell r="BG3009">
            <v>8.1750000000000007</v>
          </cell>
          <cell r="BH3009">
            <v>6.8125000000000009</v>
          </cell>
          <cell r="BI3009">
            <v>5</v>
          </cell>
          <cell r="BJ3009">
            <v>0</v>
          </cell>
        </row>
        <row r="3010">
          <cell r="D3010" t="str">
            <v>Katolícka univerzita v Ružomberku</v>
          </cell>
          <cell r="E3010" t="str">
            <v>Pedagogická fakulta</v>
          </cell>
          <cell r="AN3010">
            <v>82</v>
          </cell>
          <cell r="AO3010">
            <v>82</v>
          </cell>
          <cell r="AP3010">
            <v>0</v>
          </cell>
          <cell r="AQ3010">
            <v>0</v>
          </cell>
          <cell r="AR3010">
            <v>82</v>
          </cell>
          <cell r="BF3010">
            <v>123</v>
          </cell>
          <cell r="BG3010">
            <v>146.37</v>
          </cell>
          <cell r="BH3010">
            <v>141.49100000000001</v>
          </cell>
          <cell r="BI3010">
            <v>82</v>
          </cell>
          <cell r="BJ3010">
            <v>0</v>
          </cell>
        </row>
        <row r="3011">
          <cell r="D3011" t="str">
            <v>Katolícka univerzita v Ružomberku</v>
          </cell>
          <cell r="E3011" t="str">
            <v>Pedagogická fakulta</v>
          </cell>
          <cell r="AN3011">
            <v>0</v>
          </cell>
          <cell r="AO3011">
            <v>0</v>
          </cell>
          <cell r="AP3011">
            <v>0</v>
          </cell>
          <cell r="AQ3011">
            <v>0</v>
          </cell>
          <cell r="AR3011">
            <v>0</v>
          </cell>
          <cell r="BF3011">
            <v>0</v>
          </cell>
          <cell r="BG3011">
            <v>0</v>
          </cell>
          <cell r="BH3011">
            <v>0</v>
          </cell>
          <cell r="BI3011">
            <v>3</v>
          </cell>
          <cell r="BJ3011">
            <v>0</v>
          </cell>
        </row>
        <row r="3012">
          <cell r="D3012" t="str">
            <v>Katolícka univerzita v Ružomberku</v>
          </cell>
          <cell r="E3012" t="str">
            <v>Pedagogická fakulta</v>
          </cell>
          <cell r="AN3012">
            <v>5</v>
          </cell>
          <cell r="AO3012">
            <v>5</v>
          </cell>
          <cell r="AP3012">
            <v>0</v>
          </cell>
          <cell r="AQ3012">
            <v>0</v>
          </cell>
          <cell r="AR3012">
            <v>5</v>
          </cell>
          <cell r="BF3012">
            <v>7.5</v>
          </cell>
          <cell r="BG3012">
            <v>7.5</v>
          </cell>
          <cell r="BH3012">
            <v>6.3157894736842106</v>
          </cell>
          <cell r="BI3012">
            <v>5</v>
          </cell>
          <cell r="BJ3012">
            <v>0</v>
          </cell>
        </row>
        <row r="3013">
          <cell r="D3013" t="str">
            <v>Katolícka univerzita v Ružomberku</v>
          </cell>
          <cell r="E3013" t="str">
            <v>Pedagogická fakulta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BF3013">
            <v>0</v>
          </cell>
          <cell r="BG3013">
            <v>0</v>
          </cell>
          <cell r="BH3013">
            <v>0</v>
          </cell>
          <cell r="BI3013">
            <v>4</v>
          </cell>
          <cell r="BJ3013">
            <v>0</v>
          </cell>
        </row>
        <row r="3014">
          <cell r="D3014" t="str">
            <v>Katolícka univerzita v Ružomberku</v>
          </cell>
          <cell r="E3014" t="str">
            <v>Pedagogická fakulta</v>
          </cell>
          <cell r="AN3014">
            <v>19</v>
          </cell>
          <cell r="AO3014">
            <v>20</v>
          </cell>
          <cell r="AP3014">
            <v>0</v>
          </cell>
          <cell r="AQ3014">
            <v>0</v>
          </cell>
          <cell r="AR3014">
            <v>19</v>
          </cell>
          <cell r="BF3014">
            <v>28.5</v>
          </cell>
          <cell r="BG3014">
            <v>28.5</v>
          </cell>
          <cell r="BH3014">
            <v>24.782608695652172</v>
          </cell>
          <cell r="BI3014">
            <v>20</v>
          </cell>
          <cell r="BJ3014">
            <v>0</v>
          </cell>
        </row>
        <row r="3015">
          <cell r="D3015" t="str">
            <v>Katolícka univerzita v Ružomberku</v>
          </cell>
          <cell r="E3015" t="str">
            <v>Pedagogická fakulta</v>
          </cell>
          <cell r="AN3015">
            <v>2</v>
          </cell>
          <cell r="AO3015">
            <v>2</v>
          </cell>
          <cell r="AP3015">
            <v>0</v>
          </cell>
          <cell r="AQ3015">
            <v>0</v>
          </cell>
          <cell r="AR3015">
            <v>2</v>
          </cell>
          <cell r="BF3015">
            <v>3</v>
          </cell>
          <cell r="BG3015">
            <v>3.2700000000000005</v>
          </cell>
          <cell r="BH3015">
            <v>3.2700000000000005</v>
          </cell>
          <cell r="BI3015">
            <v>2</v>
          </cell>
          <cell r="BJ3015">
            <v>0</v>
          </cell>
        </row>
        <row r="3016">
          <cell r="D3016" t="str">
            <v>Katolícka univerzita v Ružomberku</v>
          </cell>
          <cell r="E3016" t="str">
            <v>Pedagogická fakulta</v>
          </cell>
          <cell r="AN3016">
            <v>1</v>
          </cell>
          <cell r="AO3016">
            <v>1</v>
          </cell>
          <cell r="AP3016">
            <v>0</v>
          </cell>
          <cell r="AQ3016">
            <v>0</v>
          </cell>
          <cell r="AR3016">
            <v>1</v>
          </cell>
          <cell r="BF3016">
            <v>1.5</v>
          </cell>
          <cell r="BG3016">
            <v>3.2249999999999996</v>
          </cell>
          <cell r="BH3016">
            <v>2.9465827338129493</v>
          </cell>
          <cell r="BI3016">
            <v>1</v>
          </cell>
          <cell r="BJ3016">
            <v>0</v>
          </cell>
        </row>
        <row r="3017">
          <cell r="D3017" t="str">
            <v>Katolícka univerzita v Ružomberku</v>
          </cell>
          <cell r="E3017" t="str">
            <v>Pedagogická fakulta</v>
          </cell>
          <cell r="AN3017">
            <v>0</v>
          </cell>
          <cell r="AO3017">
            <v>2</v>
          </cell>
          <cell r="AP3017">
            <v>0</v>
          </cell>
          <cell r="AQ3017">
            <v>0</v>
          </cell>
          <cell r="AR3017">
            <v>0</v>
          </cell>
          <cell r="BF3017">
            <v>0</v>
          </cell>
          <cell r="BG3017">
            <v>0</v>
          </cell>
          <cell r="BH3017">
            <v>0</v>
          </cell>
          <cell r="BI3017">
            <v>2</v>
          </cell>
          <cell r="BJ3017">
            <v>0</v>
          </cell>
        </row>
        <row r="3018">
          <cell r="D3018" t="str">
            <v>Katolícka univerzita v Ružomberku</v>
          </cell>
          <cell r="E3018" t="str">
            <v>Pedagogická fakulta</v>
          </cell>
          <cell r="AN3018">
            <v>1</v>
          </cell>
          <cell r="AO3018">
            <v>0</v>
          </cell>
          <cell r="AP3018">
            <v>0</v>
          </cell>
          <cell r="AQ3018">
            <v>0</v>
          </cell>
          <cell r="AR3018">
            <v>1</v>
          </cell>
          <cell r="BF3018">
            <v>3</v>
          </cell>
          <cell r="BG3018">
            <v>3.3000000000000003</v>
          </cell>
          <cell r="BH3018">
            <v>3.3000000000000003</v>
          </cell>
          <cell r="BI3018">
            <v>1</v>
          </cell>
          <cell r="BJ3018">
            <v>1</v>
          </cell>
        </row>
        <row r="3019">
          <cell r="D3019" t="str">
            <v>Technická univerzita v Košiciach</v>
          </cell>
          <cell r="E3019" t="str">
            <v>Fakulta materiálov, metalurgie a recyklácie</v>
          </cell>
          <cell r="AN3019">
            <v>0</v>
          </cell>
          <cell r="AO3019">
            <v>0</v>
          </cell>
          <cell r="AP3019">
            <v>0</v>
          </cell>
          <cell r="AQ3019">
            <v>0</v>
          </cell>
          <cell r="AR3019">
            <v>0</v>
          </cell>
          <cell r="BF3019">
            <v>0</v>
          </cell>
          <cell r="BG3019">
            <v>0</v>
          </cell>
          <cell r="BH3019">
            <v>0</v>
          </cell>
          <cell r="BI3019">
            <v>1</v>
          </cell>
          <cell r="BJ3019">
            <v>0</v>
          </cell>
        </row>
        <row r="3020">
          <cell r="D3020" t="str">
            <v>Technická univerzita v Košiciach</v>
          </cell>
          <cell r="E3020" t="str">
            <v>Fakulta materiálov, metalurgie a recyklácie</v>
          </cell>
          <cell r="AN3020">
            <v>9</v>
          </cell>
          <cell r="AO3020">
            <v>9</v>
          </cell>
          <cell r="AP3020">
            <v>9</v>
          </cell>
          <cell r="AQ3020">
            <v>9</v>
          </cell>
          <cell r="AR3020">
            <v>9</v>
          </cell>
          <cell r="BF3020">
            <v>13.5</v>
          </cell>
          <cell r="BG3020">
            <v>32.535000000000004</v>
          </cell>
          <cell r="BH3020">
            <v>32.535000000000004</v>
          </cell>
          <cell r="BI3020">
            <v>9</v>
          </cell>
          <cell r="BJ3020">
            <v>0</v>
          </cell>
        </row>
        <row r="3021">
          <cell r="D3021" t="str">
            <v>Technická univerzita v Košiciach</v>
          </cell>
          <cell r="E3021" t="str">
            <v>Fakulta materiálov, metalurgie a recyklácie</v>
          </cell>
          <cell r="AN3021">
            <v>10</v>
          </cell>
          <cell r="AO3021">
            <v>10</v>
          </cell>
          <cell r="AP3021">
            <v>10</v>
          </cell>
          <cell r="AQ3021">
            <v>10</v>
          </cell>
          <cell r="AR3021">
            <v>10</v>
          </cell>
          <cell r="BF3021">
            <v>15</v>
          </cell>
          <cell r="BG3021">
            <v>22.2</v>
          </cell>
          <cell r="BH3021">
            <v>22.2</v>
          </cell>
          <cell r="BI3021">
            <v>10</v>
          </cell>
          <cell r="BJ3021">
            <v>0</v>
          </cell>
        </row>
        <row r="3022">
          <cell r="D3022" t="str">
            <v>Technická univerzita v Košiciach</v>
          </cell>
          <cell r="E3022" t="str">
            <v>Fakulta materiálov, metalurgie a recyklácie</v>
          </cell>
          <cell r="AN3022">
            <v>9</v>
          </cell>
          <cell r="AO3022">
            <v>9</v>
          </cell>
          <cell r="AP3022">
            <v>9</v>
          </cell>
          <cell r="AQ3022">
            <v>9</v>
          </cell>
          <cell r="AR3022">
            <v>9</v>
          </cell>
          <cell r="BF3022">
            <v>13.5</v>
          </cell>
          <cell r="BG3022">
            <v>32.535000000000004</v>
          </cell>
          <cell r="BH3022">
            <v>32.535000000000004</v>
          </cell>
          <cell r="BI3022">
            <v>9</v>
          </cell>
          <cell r="BJ3022">
            <v>0</v>
          </cell>
        </row>
        <row r="3023">
          <cell r="D3023" t="str">
            <v>Technická univerzita v Košiciach</v>
          </cell>
          <cell r="E3023" t="str">
            <v>Fakulta materiálov, metalurgie a recyklácie</v>
          </cell>
          <cell r="AN3023">
            <v>14</v>
          </cell>
          <cell r="AO3023">
            <v>14</v>
          </cell>
          <cell r="AP3023">
            <v>14</v>
          </cell>
          <cell r="AQ3023">
            <v>14</v>
          </cell>
          <cell r="AR3023">
            <v>14</v>
          </cell>
          <cell r="BF3023">
            <v>21</v>
          </cell>
          <cell r="BG3023">
            <v>31.08</v>
          </cell>
          <cell r="BH3023">
            <v>31.08</v>
          </cell>
          <cell r="BI3023">
            <v>14</v>
          </cell>
          <cell r="BJ3023">
            <v>0</v>
          </cell>
        </row>
        <row r="3024">
          <cell r="D3024" t="str">
            <v>Technická univerzita v Košiciach</v>
          </cell>
          <cell r="E3024" t="str">
            <v>Fakulta materiálov, metalurgie a recyklácie</v>
          </cell>
          <cell r="AN3024">
            <v>6</v>
          </cell>
          <cell r="AO3024">
            <v>6</v>
          </cell>
          <cell r="AP3024">
            <v>6</v>
          </cell>
          <cell r="AQ3024">
            <v>6</v>
          </cell>
          <cell r="AR3024">
            <v>6</v>
          </cell>
          <cell r="BF3024">
            <v>5.4</v>
          </cell>
          <cell r="BG3024">
            <v>13.014000000000001</v>
          </cell>
          <cell r="BH3024">
            <v>13.014000000000001</v>
          </cell>
          <cell r="BI3024">
            <v>6</v>
          </cell>
          <cell r="BJ3024">
            <v>0</v>
          </cell>
        </row>
        <row r="3025">
          <cell r="D3025" t="str">
            <v>Technická univerzita v Košiciach</v>
          </cell>
          <cell r="E3025" t="str">
            <v>Fakulta materiálov, metalurgie a recyklácie</v>
          </cell>
          <cell r="AN3025">
            <v>0</v>
          </cell>
          <cell r="AO3025">
            <v>0</v>
          </cell>
          <cell r="AP3025">
            <v>0</v>
          </cell>
          <cell r="AQ3025">
            <v>0</v>
          </cell>
          <cell r="AR3025">
            <v>0</v>
          </cell>
          <cell r="BF3025">
            <v>0</v>
          </cell>
          <cell r="BG3025">
            <v>0</v>
          </cell>
          <cell r="BH3025">
            <v>0</v>
          </cell>
          <cell r="BI3025">
            <v>1</v>
          </cell>
          <cell r="BJ3025">
            <v>0</v>
          </cell>
        </row>
        <row r="3026">
          <cell r="D3026" t="str">
            <v>Technická univerzita v Košiciach</v>
          </cell>
          <cell r="E3026" t="str">
            <v>Fakulta materiálov, metalurgie a recyklácie</v>
          </cell>
          <cell r="AN3026">
            <v>5</v>
          </cell>
          <cell r="AO3026">
            <v>5</v>
          </cell>
          <cell r="AP3026">
            <v>0</v>
          </cell>
          <cell r="AQ3026">
            <v>0</v>
          </cell>
          <cell r="AR3026">
            <v>5</v>
          </cell>
          <cell r="BF3026">
            <v>3.8</v>
          </cell>
          <cell r="BG3026">
            <v>9.1579999999999995</v>
          </cell>
          <cell r="BH3026">
            <v>8.2654830508474575</v>
          </cell>
          <cell r="BI3026">
            <v>5</v>
          </cell>
          <cell r="BJ3026">
            <v>0</v>
          </cell>
        </row>
        <row r="3027">
          <cell r="D3027" t="str">
            <v>Technická univerzita v Košiciach</v>
          </cell>
          <cell r="E3027" t="str">
            <v>Fakulta baníctva, ekológie, riadenia a geotechnológií</v>
          </cell>
          <cell r="AN3027">
            <v>2</v>
          </cell>
          <cell r="AO3027">
            <v>0</v>
          </cell>
          <cell r="AP3027">
            <v>0</v>
          </cell>
          <cell r="AQ3027">
            <v>2</v>
          </cell>
          <cell r="AR3027">
            <v>2</v>
          </cell>
          <cell r="BF3027">
            <v>8</v>
          </cell>
          <cell r="BG3027">
            <v>17.04</v>
          </cell>
          <cell r="BH3027">
            <v>17.04</v>
          </cell>
          <cell r="BI3027">
            <v>2</v>
          </cell>
          <cell r="BJ3027">
            <v>2</v>
          </cell>
        </row>
        <row r="3028">
          <cell r="D3028" t="str">
            <v>Technická univerzita v Košiciach</v>
          </cell>
          <cell r="E3028" t="str">
            <v>Fakulta baníctva, ekológie, riadenia a geotechnológií</v>
          </cell>
          <cell r="AN3028">
            <v>0</v>
          </cell>
          <cell r="AO3028">
            <v>0</v>
          </cell>
          <cell r="AP3028">
            <v>0</v>
          </cell>
          <cell r="AQ3028">
            <v>0</v>
          </cell>
          <cell r="AR3028">
            <v>0</v>
          </cell>
          <cell r="BF3028">
            <v>0</v>
          </cell>
          <cell r="BG3028">
            <v>0</v>
          </cell>
          <cell r="BH3028">
            <v>0</v>
          </cell>
          <cell r="BI3028">
            <v>2</v>
          </cell>
          <cell r="BJ3028">
            <v>0</v>
          </cell>
        </row>
        <row r="3029">
          <cell r="D3029" t="str">
            <v>Technická univerzita v Košiciach</v>
          </cell>
          <cell r="E3029" t="str">
            <v>Fakulta baníctva, ekológie, riadenia a geotechnológií</v>
          </cell>
          <cell r="AN3029">
            <v>0</v>
          </cell>
          <cell r="AO3029">
            <v>0</v>
          </cell>
          <cell r="AP3029">
            <v>0</v>
          </cell>
          <cell r="AQ3029">
            <v>0</v>
          </cell>
          <cell r="AR3029">
            <v>0</v>
          </cell>
          <cell r="BF3029">
            <v>0</v>
          </cell>
          <cell r="BG3029">
            <v>0</v>
          </cell>
          <cell r="BH3029">
            <v>0</v>
          </cell>
          <cell r="BI3029">
            <v>5</v>
          </cell>
          <cell r="BJ3029">
            <v>0</v>
          </cell>
        </row>
        <row r="3030">
          <cell r="D3030" t="str">
            <v>Technická univerzita v Košiciach</v>
          </cell>
          <cell r="E3030" t="str">
            <v>Fakulta baníctva, ekológie, riadenia a geotechnológií</v>
          </cell>
          <cell r="AN3030">
            <v>0</v>
          </cell>
          <cell r="AO3030">
            <v>0</v>
          </cell>
          <cell r="AP3030">
            <v>0</v>
          </cell>
          <cell r="AQ3030">
            <v>0</v>
          </cell>
          <cell r="AR3030">
            <v>0</v>
          </cell>
          <cell r="BF3030">
            <v>0</v>
          </cell>
          <cell r="BG3030">
            <v>0</v>
          </cell>
          <cell r="BH3030">
            <v>0</v>
          </cell>
          <cell r="BI3030">
            <v>5</v>
          </cell>
          <cell r="BJ3030">
            <v>0</v>
          </cell>
        </row>
        <row r="3031">
          <cell r="D3031" t="str">
            <v>Technická univerzita v Košiciach</v>
          </cell>
          <cell r="E3031" t="str">
            <v>Fakulta baníctva, ekológie, riadenia a geotechnológií</v>
          </cell>
          <cell r="AN3031">
            <v>1</v>
          </cell>
          <cell r="AO3031">
            <v>0</v>
          </cell>
          <cell r="AP3031">
            <v>0</v>
          </cell>
          <cell r="AQ3031">
            <v>1</v>
          </cell>
          <cell r="AR3031">
            <v>1</v>
          </cell>
          <cell r="BF3031">
            <v>4</v>
          </cell>
          <cell r="BG3031">
            <v>8.52</v>
          </cell>
          <cell r="BH3031">
            <v>8.52</v>
          </cell>
          <cell r="BI3031">
            <v>1</v>
          </cell>
          <cell r="BJ3031">
            <v>1</v>
          </cell>
        </row>
        <row r="3032">
          <cell r="D3032" t="str">
            <v>Technická univerzita v Košiciach</v>
          </cell>
          <cell r="E3032" t="str">
            <v>Fakulta baníctva, ekológie, riadenia a geotechnológií</v>
          </cell>
          <cell r="AN3032">
            <v>1</v>
          </cell>
          <cell r="AO3032">
            <v>0</v>
          </cell>
          <cell r="AP3032">
            <v>0</v>
          </cell>
          <cell r="AQ3032">
            <v>1</v>
          </cell>
          <cell r="AR3032">
            <v>1</v>
          </cell>
          <cell r="BF3032">
            <v>4</v>
          </cell>
          <cell r="BG3032">
            <v>8.52</v>
          </cell>
          <cell r="BH3032">
            <v>8.52</v>
          </cell>
          <cell r="BI3032">
            <v>1</v>
          </cell>
          <cell r="BJ3032">
            <v>1</v>
          </cell>
        </row>
        <row r="3033">
          <cell r="D3033" t="str">
            <v>Technická univerzita v Košiciach</v>
          </cell>
          <cell r="E3033" t="str">
            <v>Fakulta baníctva, ekológie, riadenia a geotechnológií</v>
          </cell>
          <cell r="AN3033">
            <v>27</v>
          </cell>
          <cell r="AO3033">
            <v>27</v>
          </cell>
          <cell r="AP3033">
            <v>0</v>
          </cell>
          <cell r="AQ3033">
            <v>0</v>
          </cell>
          <cell r="AR3033">
            <v>27</v>
          </cell>
          <cell r="BF3033">
            <v>40.5</v>
          </cell>
          <cell r="BG3033">
            <v>59.94</v>
          </cell>
          <cell r="BH3033">
            <v>44.166315789473686</v>
          </cell>
          <cell r="BI3033">
            <v>27</v>
          </cell>
          <cell r="BJ3033">
            <v>0</v>
          </cell>
        </row>
        <row r="3034">
          <cell r="D3034" t="str">
            <v>Technická univerzita v Košiciach</v>
          </cell>
          <cell r="E3034" t="str">
            <v>Fakulta baníctva, ekológie, riadenia a geotechnológií</v>
          </cell>
          <cell r="AN3034">
            <v>1</v>
          </cell>
          <cell r="AO3034">
            <v>0</v>
          </cell>
          <cell r="AP3034">
            <v>0</v>
          </cell>
          <cell r="AQ3034">
            <v>1</v>
          </cell>
          <cell r="AR3034">
            <v>1</v>
          </cell>
          <cell r="BF3034">
            <v>4</v>
          </cell>
          <cell r="BG3034">
            <v>8.52</v>
          </cell>
          <cell r="BH3034">
            <v>8.52</v>
          </cell>
          <cell r="BI3034">
            <v>1</v>
          </cell>
          <cell r="BJ3034">
            <v>1</v>
          </cell>
        </row>
        <row r="3035">
          <cell r="D3035" t="str">
            <v>Technická univerzita v Košiciach</v>
          </cell>
          <cell r="E3035" t="str">
            <v>Fakulta baníctva, ekológie, riadenia a geotechnológií</v>
          </cell>
          <cell r="AN3035">
            <v>40</v>
          </cell>
          <cell r="AO3035">
            <v>43</v>
          </cell>
          <cell r="AP3035">
            <v>0</v>
          </cell>
          <cell r="AQ3035">
            <v>0</v>
          </cell>
          <cell r="AR3035">
            <v>40</v>
          </cell>
          <cell r="BF3035">
            <v>60</v>
          </cell>
          <cell r="BG3035">
            <v>88.8</v>
          </cell>
          <cell r="BH3035">
            <v>74.591999999999999</v>
          </cell>
          <cell r="BI3035">
            <v>43</v>
          </cell>
          <cell r="BJ3035">
            <v>0</v>
          </cell>
        </row>
        <row r="3036">
          <cell r="D3036" t="str">
            <v>Technická univerzita v Košiciach</v>
          </cell>
          <cell r="E3036" t="str">
            <v>Fakulta baníctva, ekológie, riadenia a geotechnológií</v>
          </cell>
          <cell r="AN3036">
            <v>10</v>
          </cell>
          <cell r="AO3036">
            <v>10</v>
          </cell>
          <cell r="AP3036">
            <v>10</v>
          </cell>
          <cell r="AQ3036">
            <v>10</v>
          </cell>
          <cell r="AR3036">
            <v>10</v>
          </cell>
          <cell r="BF3036">
            <v>15</v>
          </cell>
          <cell r="BG3036">
            <v>22.2</v>
          </cell>
          <cell r="BH3036">
            <v>22.2</v>
          </cell>
          <cell r="BI3036">
            <v>10</v>
          </cell>
          <cell r="BJ3036">
            <v>0</v>
          </cell>
        </row>
        <row r="3037">
          <cell r="D3037" t="str">
            <v>Technická univerzita v Košiciach</v>
          </cell>
          <cell r="E3037" t="str">
            <v>Fakulta baníctva, ekológie, riadenia a geotechnológií</v>
          </cell>
          <cell r="AN3037">
            <v>9</v>
          </cell>
          <cell r="AO3037">
            <v>9</v>
          </cell>
          <cell r="AP3037">
            <v>0</v>
          </cell>
          <cell r="AQ3037">
            <v>0</v>
          </cell>
          <cell r="AR3037">
            <v>9</v>
          </cell>
          <cell r="BF3037">
            <v>13.5</v>
          </cell>
          <cell r="BG3037">
            <v>19.98</v>
          </cell>
          <cell r="BH3037">
            <v>16.702031250000001</v>
          </cell>
          <cell r="BI3037">
            <v>9</v>
          </cell>
          <cell r="BJ3037">
            <v>0</v>
          </cell>
        </row>
        <row r="3038">
          <cell r="D3038" t="str">
            <v>Technická univerzita v Košiciach</v>
          </cell>
          <cell r="E3038" t="str">
            <v>Fakulta baníctva, ekológie, riadenia a geotechnológií</v>
          </cell>
          <cell r="AN3038">
            <v>9</v>
          </cell>
          <cell r="AO3038">
            <v>9</v>
          </cell>
          <cell r="AP3038">
            <v>0</v>
          </cell>
          <cell r="AQ3038">
            <v>0</v>
          </cell>
          <cell r="AR3038">
            <v>9</v>
          </cell>
          <cell r="BF3038">
            <v>13.5</v>
          </cell>
          <cell r="BG3038">
            <v>19.98</v>
          </cell>
          <cell r="BH3038">
            <v>16.650000000000002</v>
          </cell>
          <cell r="BI3038">
            <v>9</v>
          </cell>
          <cell r="BJ3038">
            <v>0</v>
          </cell>
        </row>
        <row r="3039">
          <cell r="D3039" t="str">
            <v>Technická univerzita v Košiciach</v>
          </cell>
          <cell r="E3039" t="str">
            <v>Fakulta baníctva, ekológie, riadenia a geotechnológií</v>
          </cell>
          <cell r="AN3039">
            <v>33</v>
          </cell>
          <cell r="AO3039">
            <v>33</v>
          </cell>
          <cell r="AP3039">
            <v>0</v>
          </cell>
          <cell r="AQ3039">
            <v>0</v>
          </cell>
          <cell r="AR3039">
            <v>33</v>
          </cell>
          <cell r="BF3039">
            <v>49.5</v>
          </cell>
          <cell r="BG3039">
            <v>74.25</v>
          </cell>
          <cell r="BH3039">
            <v>48.548076923076927</v>
          </cell>
          <cell r="BI3039">
            <v>33</v>
          </cell>
          <cell r="BJ3039">
            <v>0</v>
          </cell>
        </row>
        <row r="3040">
          <cell r="D3040" t="str">
            <v>Technická univerzita v Košiciach</v>
          </cell>
          <cell r="E3040" t="str">
            <v>Fakulta baníctva, ekológie, riadenia a geotechnológií</v>
          </cell>
          <cell r="AN3040">
            <v>7</v>
          </cell>
          <cell r="AO3040">
            <v>7</v>
          </cell>
          <cell r="AP3040">
            <v>0</v>
          </cell>
          <cell r="AQ3040">
            <v>0</v>
          </cell>
          <cell r="AR3040">
            <v>7</v>
          </cell>
          <cell r="BF3040">
            <v>10.5</v>
          </cell>
          <cell r="BG3040">
            <v>15.54</v>
          </cell>
          <cell r="BH3040">
            <v>12.432</v>
          </cell>
          <cell r="BI3040">
            <v>7</v>
          </cell>
          <cell r="BJ3040">
            <v>0</v>
          </cell>
        </row>
        <row r="3041">
          <cell r="D3041" t="str">
            <v>Technická univerzita v Košiciach</v>
          </cell>
          <cell r="E3041" t="str">
            <v>Fakulta baníctva, ekológie, riadenia a geotechnológií</v>
          </cell>
          <cell r="AN3041">
            <v>4</v>
          </cell>
          <cell r="AO3041">
            <v>5</v>
          </cell>
          <cell r="AP3041">
            <v>5</v>
          </cell>
          <cell r="AQ3041">
            <v>4</v>
          </cell>
          <cell r="AR3041">
            <v>4</v>
          </cell>
          <cell r="BF3041">
            <v>6</v>
          </cell>
          <cell r="BG3041">
            <v>8.879999999999999</v>
          </cell>
          <cell r="BH3041">
            <v>8.879999999999999</v>
          </cell>
          <cell r="BI3041">
            <v>5</v>
          </cell>
          <cell r="BJ3041">
            <v>0</v>
          </cell>
        </row>
        <row r="3042">
          <cell r="D3042" t="str">
            <v>Technická univerzita v Košiciach</v>
          </cell>
          <cell r="E3042" t="str">
            <v>Fakulta baníctva, ekológie, riadenia a geotechnológií</v>
          </cell>
          <cell r="AN3042">
            <v>11</v>
          </cell>
          <cell r="AO3042">
            <v>11</v>
          </cell>
          <cell r="AP3042">
            <v>0</v>
          </cell>
          <cell r="AQ3042">
            <v>0</v>
          </cell>
          <cell r="AR3042">
            <v>11</v>
          </cell>
          <cell r="BF3042">
            <v>16.5</v>
          </cell>
          <cell r="BG3042">
            <v>24.419999999999998</v>
          </cell>
          <cell r="BH3042">
            <v>20.413593749999997</v>
          </cell>
          <cell r="BI3042">
            <v>11</v>
          </cell>
          <cell r="BJ3042">
            <v>0</v>
          </cell>
        </row>
        <row r="3043">
          <cell r="D3043" t="str">
            <v>Technická univerzita v Košiciach</v>
          </cell>
          <cell r="E3043" t="str">
            <v>Fakulta baníctva, ekológie, riadenia a geotechnológií</v>
          </cell>
          <cell r="AN3043">
            <v>44</v>
          </cell>
          <cell r="AO3043">
            <v>44</v>
          </cell>
          <cell r="AP3043">
            <v>0</v>
          </cell>
          <cell r="AQ3043">
            <v>0</v>
          </cell>
          <cell r="AR3043">
            <v>44</v>
          </cell>
          <cell r="BF3043">
            <v>35</v>
          </cell>
          <cell r="BG3043">
            <v>51.8</v>
          </cell>
          <cell r="BH3043">
            <v>45.831275720164605</v>
          </cell>
          <cell r="BI3043">
            <v>44</v>
          </cell>
          <cell r="BJ3043">
            <v>0</v>
          </cell>
        </row>
        <row r="3044">
          <cell r="D3044" t="str">
            <v>Technická univerzita v Košiciach</v>
          </cell>
          <cell r="E3044" t="str">
            <v>Fakulta baníctva, ekológie, riadenia a geotechnológií</v>
          </cell>
          <cell r="AN3044">
            <v>1</v>
          </cell>
          <cell r="AO3044">
            <v>1</v>
          </cell>
          <cell r="AP3044">
            <v>1</v>
          </cell>
          <cell r="AQ3044">
            <v>1</v>
          </cell>
          <cell r="AR3044">
            <v>1</v>
          </cell>
          <cell r="BF3044">
            <v>1</v>
          </cell>
          <cell r="BG3044">
            <v>1.48</v>
          </cell>
          <cell r="BH3044">
            <v>1.48</v>
          </cell>
          <cell r="BI3044">
            <v>1</v>
          </cell>
          <cell r="BJ3044">
            <v>0</v>
          </cell>
        </row>
        <row r="3045">
          <cell r="D3045" t="str">
            <v>Technická univerzita v Košiciach</v>
          </cell>
          <cell r="E3045" t="str">
            <v>Fakulta baníctva, ekológie, riadenia a geotechnológií</v>
          </cell>
          <cell r="AN3045">
            <v>4</v>
          </cell>
          <cell r="AO3045">
            <v>4</v>
          </cell>
          <cell r="AP3045">
            <v>4</v>
          </cell>
          <cell r="AQ3045">
            <v>4</v>
          </cell>
          <cell r="AR3045">
            <v>4</v>
          </cell>
          <cell r="BF3045">
            <v>4</v>
          </cell>
          <cell r="BG3045">
            <v>5.92</v>
          </cell>
          <cell r="BH3045">
            <v>5.7756097560975608</v>
          </cell>
          <cell r="BI3045">
            <v>4</v>
          </cell>
          <cell r="BJ3045">
            <v>0</v>
          </cell>
        </row>
        <row r="3046">
          <cell r="D3046" t="str">
            <v>Technická univerzita v Košiciach</v>
          </cell>
          <cell r="E3046" t="str">
            <v>Fakulta baníctva, ekológie, riadenia a geotechnológií</v>
          </cell>
          <cell r="AN3046">
            <v>1</v>
          </cell>
          <cell r="AO3046">
            <v>0</v>
          </cell>
          <cell r="AP3046">
            <v>0</v>
          </cell>
          <cell r="AQ3046">
            <v>0</v>
          </cell>
          <cell r="AR3046">
            <v>0</v>
          </cell>
          <cell r="BF3046">
            <v>0</v>
          </cell>
          <cell r="BG3046">
            <v>0</v>
          </cell>
          <cell r="BH3046">
            <v>0</v>
          </cell>
          <cell r="BI3046">
            <v>10</v>
          </cell>
          <cell r="BJ3046">
            <v>0</v>
          </cell>
        </row>
        <row r="3047">
          <cell r="D3047" t="str">
            <v>Technická univerzita v Košiciach</v>
          </cell>
          <cell r="E3047" t="str">
            <v>Fakulta baníctva, ekológie, riadenia a geotechnológií</v>
          </cell>
          <cell r="AN3047">
            <v>7</v>
          </cell>
          <cell r="AO3047">
            <v>7</v>
          </cell>
          <cell r="AP3047">
            <v>7</v>
          </cell>
          <cell r="AQ3047">
            <v>7</v>
          </cell>
          <cell r="AR3047">
            <v>7</v>
          </cell>
          <cell r="BF3047">
            <v>5.1999999999999993</v>
          </cell>
          <cell r="BG3047">
            <v>7.6959999999999988</v>
          </cell>
          <cell r="BH3047">
            <v>7.6959999999999988</v>
          </cell>
          <cell r="BI3047">
            <v>7</v>
          </cell>
          <cell r="BJ3047">
            <v>0</v>
          </cell>
        </row>
        <row r="3048">
          <cell r="D3048" t="str">
            <v>Technická univerzita v Košiciach</v>
          </cell>
          <cell r="E3048" t="str">
            <v>Fakulta baníctva, ekológie, riadenia a geotechnológií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BF3048">
            <v>0</v>
          </cell>
          <cell r="BG3048">
            <v>0</v>
          </cell>
          <cell r="BH3048">
            <v>0</v>
          </cell>
          <cell r="BI3048">
            <v>5</v>
          </cell>
          <cell r="BJ3048">
            <v>0</v>
          </cell>
        </row>
        <row r="3049">
          <cell r="D3049" t="str">
            <v>Technická univerzita v Košiciach</v>
          </cell>
          <cell r="E3049" t="str">
            <v>Fakulta baníctva, ekológie, riadenia a geotechnológií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BF3049">
            <v>0</v>
          </cell>
          <cell r="BG3049">
            <v>0</v>
          </cell>
          <cell r="BH3049">
            <v>0</v>
          </cell>
          <cell r="BI3049">
            <v>8</v>
          </cell>
          <cell r="BJ3049">
            <v>0</v>
          </cell>
        </row>
        <row r="3050">
          <cell r="D3050" t="str">
            <v>Technická univerzita v Košiciach</v>
          </cell>
          <cell r="E3050" t="str">
            <v>Stavebná fakulta</v>
          </cell>
          <cell r="AN3050">
            <v>0</v>
          </cell>
          <cell r="AO3050">
            <v>0</v>
          </cell>
          <cell r="AP3050">
            <v>0</v>
          </cell>
          <cell r="AQ3050">
            <v>0</v>
          </cell>
          <cell r="AR3050">
            <v>0</v>
          </cell>
          <cell r="BF3050">
            <v>0</v>
          </cell>
          <cell r="BG3050">
            <v>0</v>
          </cell>
          <cell r="BH3050">
            <v>0</v>
          </cell>
          <cell r="BI3050">
            <v>4</v>
          </cell>
          <cell r="BJ3050">
            <v>0</v>
          </cell>
        </row>
        <row r="3051">
          <cell r="D3051" t="str">
            <v>Technická univerzita v Košiciach</v>
          </cell>
          <cell r="E3051" t="str">
            <v>Stavebná fakulta</v>
          </cell>
          <cell r="AN3051">
            <v>58</v>
          </cell>
          <cell r="AO3051">
            <v>60</v>
          </cell>
          <cell r="AP3051">
            <v>0</v>
          </cell>
          <cell r="AQ3051">
            <v>0</v>
          </cell>
          <cell r="AR3051">
            <v>58</v>
          </cell>
          <cell r="BF3051">
            <v>87</v>
          </cell>
          <cell r="BG3051">
            <v>128.76</v>
          </cell>
          <cell r="BH3051">
            <v>110.36571428571429</v>
          </cell>
          <cell r="BI3051">
            <v>60</v>
          </cell>
          <cell r="BJ3051">
            <v>0</v>
          </cell>
        </row>
        <row r="3052">
          <cell r="D3052" t="str">
            <v>Technická univerzita v Košiciach</v>
          </cell>
          <cell r="E3052" t="str">
            <v>Stavebná fakulta</v>
          </cell>
          <cell r="AN3052">
            <v>21</v>
          </cell>
          <cell r="AO3052">
            <v>21</v>
          </cell>
          <cell r="AP3052">
            <v>0</v>
          </cell>
          <cell r="AQ3052">
            <v>0</v>
          </cell>
          <cell r="AR3052">
            <v>21</v>
          </cell>
          <cell r="BF3052">
            <v>31.5</v>
          </cell>
          <cell r="BG3052">
            <v>46.62</v>
          </cell>
          <cell r="BH3052">
            <v>38.143636363636361</v>
          </cell>
          <cell r="BI3052">
            <v>21</v>
          </cell>
          <cell r="BJ3052">
            <v>0</v>
          </cell>
        </row>
        <row r="3053">
          <cell r="D3053" t="str">
            <v>Technická univerzita v Košiciach</v>
          </cell>
          <cell r="E3053" t="str">
            <v>Stavebná fakulta</v>
          </cell>
          <cell r="AN3053">
            <v>17</v>
          </cell>
          <cell r="AO3053">
            <v>17</v>
          </cell>
          <cell r="AP3053">
            <v>17</v>
          </cell>
          <cell r="AQ3053">
            <v>17</v>
          </cell>
          <cell r="AR3053">
            <v>17</v>
          </cell>
          <cell r="BF3053">
            <v>25.5</v>
          </cell>
          <cell r="BG3053">
            <v>37.74</v>
          </cell>
          <cell r="BH3053">
            <v>37.74</v>
          </cell>
          <cell r="BI3053">
            <v>17</v>
          </cell>
          <cell r="BJ3053">
            <v>0</v>
          </cell>
        </row>
        <row r="3054">
          <cell r="D3054" t="str">
            <v>Technická univerzita v Košiciach</v>
          </cell>
          <cell r="E3054" t="str">
            <v>Stavebná fakulta</v>
          </cell>
          <cell r="AN3054">
            <v>5</v>
          </cell>
          <cell r="AO3054">
            <v>5</v>
          </cell>
          <cell r="AP3054">
            <v>5</v>
          </cell>
          <cell r="AQ3054">
            <v>5</v>
          </cell>
          <cell r="AR3054">
            <v>5</v>
          </cell>
          <cell r="BF3054">
            <v>7.5</v>
          </cell>
          <cell r="BG3054">
            <v>11.1</v>
          </cell>
          <cell r="BH3054">
            <v>11.1</v>
          </cell>
          <cell r="BI3054">
            <v>5</v>
          </cell>
          <cell r="BJ3054">
            <v>0</v>
          </cell>
        </row>
        <row r="3055">
          <cell r="D3055" t="str">
            <v>Technická univerzita v Košiciach</v>
          </cell>
          <cell r="E3055" t="str">
            <v>Stavebná fakulta</v>
          </cell>
          <cell r="AN3055">
            <v>4</v>
          </cell>
          <cell r="AO3055">
            <v>4</v>
          </cell>
          <cell r="AP3055">
            <v>4</v>
          </cell>
          <cell r="AQ3055">
            <v>4</v>
          </cell>
          <cell r="AR3055">
            <v>4</v>
          </cell>
          <cell r="BF3055">
            <v>4</v>
          </cell>
          <cell r="BG3055">
            <v>5.92</v>
          </cell>
          <cell r="BH3055">
            <v>5.92</v>
          </cell>
          <cell r="BI3055">
            <v>4</v>
          </cell>
          <cell r="BJ3055">
            <v>0</v>
          </cell>
        </row>
        <row r="3056">
          <cell r="D3056" t="str">
            <v>Technická univerzita v Košiciach</v>
          </cell>
          <cell r="E3056" t="str">
            <v>Stavebná fakulta</v>
          </cell>
          <cell r="AN3056">
            <v>0</v>
          </cell>
          <cell r="AO3056">
            <v>1</v>
          </cell>
          <cell r="AP3056">
            <v>1</v>
          </cell>
          <cell r="AQ3056">
            <v>0</v>
          </cell>
          <cell r="AR3056">
            <v>0</v>
          </cell>
          <cell r="BF3056">
            <v>0</v>
          </cell>
          <cell r="BG3056">
            <v>0</v>
          </cell>
          <cell r="BH3056">
            <v>0</v>
          </cell>
          <cell r="BI3056">
            <v>1</v>
          </cell>
          <cell r="BJ3056">
            <v>0</v>
          </cell>
        </row>
        <row r="3057">
          <cell r="D3057" t="str">
            <v>Technická univerzita v Košiciach</v>
          </cell>
          <cell r="E3057" t="str">
            <v>Fakulta výrobných technológií so sídlom v Prešove</v>
          </cell>
          <cell r="AN3057">
            <v>0</v>
          </cell>
          <cell r="AO3057">
            <v>0</v>
          </cell>
          <cell r="AP3057">
            <v>0</v>
          </cell>
          <cell r="AQ3057">
            <v>0</v>
          </cell>
          <cell r="AR3057">
            <v>0</v>
          </cell>
          <cell r="BF3057">
            <v>0</v>
          </cell>
          <cell r="BG3057">
            <v>0</v>
          </cell>
          <cell r="BH3057">
            <v>0</v>
          </cell>
          <cell r="BI3057">
            <v>13</v>
          </cell>
          <cell r="BJ3057">
            <v>0</v>
          </cell>
        </row>
        <row r="3058">
          <cell r="D3058" t="str">
            <v>Technická univerzita v Košiciach</v>
          </cell>
          <cell r="E3058" t="str">
            <v>Fakulta výrobných technológií so sídlom v Prešove</v>
          </cell>
          <cell r="AN3058">
            <v>39</v>
          </cell>
          <cell r="AO3058">
            <v>40</v>
          </cell>
          <cell r="AP3058">
            <v>0</v>
          </cell>
          <cell r="AQ3058">
            <v>0</v>
          </cell>
          <cell r="AR3058">
            <v>39</v>
          </cell>
          <cell r="BF3058">
            <v>58.5</v>
          </cell>
          <cell r="BG3058">
            <v>86.58</v>
          </cell>
          <cell r="BH3058">
            <v>79.744736842105254</v>
          </cell>
          <cell r="BI3058">
            <v>40</v>
          </cell>
          <cell r="BJ3058">
            <v>0</v>
          </cell>
        </row>
        <row r="3059">
          <cell r="D3059" t="str">
            <v>Technická univerzita v Košiciach</v>
          </cell>
          <cell r="E3059" t="str">
            <v>Fakulta výrobných technológií so sídlom v Prešove</v>
          </cell>
          <cell r="AN3059">
            <v>3</v>
          </cell>
          <cell r="AO3059">
            <v>0</v>
          </cell>
          <cell r="AP3059">
            <v>0</v>
          </cell>
          <cell r="AQ3059">
            <v>3</v>
          </cell>
          <cell r="AR3059">
            <v>3</v>
          </cell>
          <cell r="BF3059">
            <v>12</v>
          </cell>
          <cell r="BG3059">
            <v>25.56</v>
          </cell>
          <cell r="BH3059">
            <v>25.56</v>
          </cell>
          <cell r="BI3059">
            <v>3</v>
          </cell>
          <cell r="BJ3059">
            <v>3</v>
          </cell>
        </row>
        <row r="3060">
          <cell r="D3060" t="str">
            <v>Technická univerzita v Košiciach</v>
          </cell>
          <cell r="E3060" t="str">
            <v>Fakulta výrobných technológií so sídlom v Prešove</v>
          </cell>
          <cell r="AN3060">
            <v>35</v>
          </cell>
          <cell r="AO3060">
            <v>35</v>
          </cell>
          <cell r="AP3060">
            <v>35</v>
          </cell>
          <cell r="AQ3060">
            <v>35</v>
          </cell>
          <cell r="AR3060">
            <v>35</v>
          </cell>
          <cell r="BF3060">
            <v>52.5</v>
          </cell>
          <cell r="BG3060">
            <v>77.7</v>
          </cell>
          <cell r="BH3060">
            <v>73.129411764705878</v>
          </cell>
          <cell r="BI3060">
            <v>35</v>
          </cell>
          <cell r="BJ3060">
            <v>0</v>
          </cell>
        </row>
        <row r="3061">
          <cell r="D3061" t="str">
            <v>Technická univerzita v Košiciach</v>
          </cell>
          <cell r="E3061" t="str">
            <v>Fakulta výrobných technológií so sídlom v Prešove</v>
          </cell>
          <cell r="AN3061">
            <v>0</v>
          </cell>
          <cell r="AO3061">
            <v>30</v>
          </cell>
          <cell r="AP3061">
            <v>0</v>
          </cell>
          <cell r="AQ3061">
            <v>0</v>
          </cell>
          <cell r="AR3061">
            <v>0</v>
          </cell>
          <cell r="BF3061">
            <v>0</v>
          </cell>
          <cell r="BG3061">
            <v>0</v>
          </cell>
          <cell r="BH3061">
            <v>0</v>
          </cell>
          <cell r="BI3061">
            <v>30</v>
          </cell>
          <cell r="BJ3061">
            <v>0</v>
          </cell>
        </row>
        <row r="3062">
          <cell r="D3062" t="str">
            <v>Technická univerzita v Košiciach</v>
          </cell>
          <cell r="E3062" t="str">
            <v>Fakulta výrobných technológií so sídlom v Prešove</v>
          </cell>
          <cell r="AN3062">
            <v>27</v>
          </cell>
          <cell r="AO3062">
            <v>27</v>
          </cell>
          <cell r="AP3062">
            <v>27</v>
          </cell>
          <cell r="AQ3062">
            <v>27</v>
          </cell>
          <cell r="AR3062">
            <v>27</v>
          </cell>
          <cell r="BF3062">
            <v>40.5</v>
          </cell>
          <cell r="BG3062">
            <v>59.94</v>
          </cell>
          <cell r="BH3062">
            <v>59.94</v>
          </cell>
          <cell r="BI3062">
            <v>27</v>
          </cell>
          <cell r="BJ3062">
            <v>0</v>
          </cell>
        </row>
        <row r="3063">
          <cell r="D3063" t="str">
            <v>Technická univerzita v Košiciach</v>
          </cell>
          <cell r="E3063" t="str">
            <v>Fakulta výrobných technológií so sídlom v Prešove</v>
          </cell>
          <cell r="AN3063">
            <v>6</v>
          </cell>
          <cell r="AO3063">
            <v>6</v>
          </cell>
          <cell r="AP3063">
            <v>6</v>
          </cell>
          <cell r="AQ3063">
            <v>6</v>
          </cell>
          <cell r="AR3063">
            <v>6</v>
          </cell>
          <cell r="BF3063">
            <v>6</v>
          </cell>
          <cell r="BG3063">
            <v>8.879999999999999</v>
          </cell>
          <cell r="BH3063">
            <v>8.879999999999999</v>
          </cell>
          <cell r="BI3063">
            <v>6</v>
          </cell>
          <cell r="BJ3063">
            <v>0</v>
          </cell>
        </row>
        <row r="3064">
          <cell r="D3064" t="str">
            <v>Technická univerzita v Košiciach</v>
          </cell>
          <cell r="E3064" t="str">
            <v>Letecká fakulta</v>
          </cell>
          <cell r="AN3064">
            <v>0</v>
          </cell>
          <cell r="AO3064">
            <v>0</v>
          </cell>
          <cell r="AP3064">
            <v>0</v>
          </cell>
          <cell r="AQ3064">
            <v>0</v>
          </cell>
          <cell r="AR3064">
            <v>0</v>
          </cell>
          <cell r="BF3064">
            <v>0</v>
          </cell>
          <cell r="BG3064">
            <v>0</v>
          </cell>
          <cell r="BH3064">
            <v>0</v>
          </cell>
          <cell r="BI3064">
            <v>1</v>
          </cell>
          <cell r="BJ3064">
            <v>0</v>
          </cell>
        </row>
        <row r="3065">
          <cell r="D3065" t="str">
            <v>Technická univerzita v Košiciach</v>
          </cell>
          <cell r="E3065" t="str">
            <v>Letecká fakulta</v>
          </cell>
          <cell r="AN3065">
            <v>1</v>
          </cell>
          <cell r="AO3065">
            <v>0</v>
          </cell>
          <cell r="AP3065">
            <v>0</v>
          </cell>
          <cell r="AQ3065">
            <v>1</v>
          </cell>
          <cell r="AR3065">
            <v>1</v>
          </cell>
          <cell r="BF3065">
            <v>4</v>
          </cell>
          <cell r="BG3065">
            <v>8.52</v>
          </cell>
          <cell r="BH3065">
            <v>8.52</v>
          </cell>
          <cell r="BI3065">
            <v>1</v>
          </cell>
          <cell r="BJ3065">
            <v>1</v>
          </cell>
        </row>
        <row r="3066">
          <cell r="D3066" t="str">
            <v>Technická univerzita v Košiciach</v>
          </cell>
          <cell r="E3066" t="str">
            <v>Letecká fakulta</v>
          </cell>
          <cell r="AN3066">
            <v>15</v>
          </cell>
          <cell r="AO3066">
            <v>17</v>
          </cell>
          <cell r="AP3066">
            <v>17</v>
          </cell>
          <cell r="AQ3066">
            <v>15</v>
          </cell>
          <cell r="AR3066">
            <v>15</v>
          </cell>
          <cell r="BF3066">
            <v>22.5</v>
          </cell>
          <cell r="BG3066">
            <v>33.299999999999997</v>
          </cell>
          <cell r="BH3066">
            <v>33.299999999999997</v>
          </cell>
          <cell r="BI3066">
            <v>17</v>
          </cell>
          <cell r="BJ3066">
            <v>0</v>
          </cell>
        </row>
        <row r="3067">
          <cell r="D3067" t="str">
            <v>Technická univerzita v Košiciach</v>
          </cell>
          <cell r="E3067" t="str">
            <v>Letecká fakulta</v>
          </cell>
          <cell r="AN3067">
            <v>16</v>
          </cell>
          <cell r="AO3067">
            <v>18</v>
          </cell>
          <cell r="AP3067">
            <v>0</v>
          </cell>
          <cell r="AQ3067">
            <v>0</v>
          </cell>
          <cell r="AR3067">
            <v>16</v>
          </cell>
          <cell r="BF3067">
            <v>24</v>
          </cell>
          <cell r="BG3067">
            <v>35.519999999999996</v>
          </cell>
          <cell r="BH3067">
            <v>28.415999999999997</v>
          </cell>
          <cell r="BI3067">
            <v>18</v>
          </cell>
          <cell r="BJ3067">
            <v>0</v>
          </cell>
        </row>
        <row r="3068">
          <cell r="D3068" t="str">
            <v>Technická univerzita v Košiciach</v>
          </cell>
          <cell r="E3068" t="str">
            <v>Ekonomická fakulta</v>
          </cell>
          <cell r="AN3068">
            <v>0</v>
          </cell>
          <cell r="AO3068">
            <v>14</v>
          </cell>
          <cell r="AP3068">
            <v>0</v>
          </cell>
          <cell r="AQ3068">
            <v>0</v>
          </cell>
          <cell r="AR3068">
            <v>0</v>
          </cell>
          <cell r="BF3068">
            <v>0</v>
          </cell>
          <cell r="BG3068">
            <v>0</v>
          </cell>
          <cell r="BH3068">
            <v>0</v>
          </cell>
          <cell r="BI3068">
            <v>14</v>
          </cell>
          <cell r="BJ3068">
            <v>0</v>
          </cell>
        </row>
        <row r="3069">
          <cell r="D3069" t="str">
            <v>Technická univerzita v Košiciach</v>
          </cell>
          <cell r="E3069" t="str">
            <v>Ekonomická fakulta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BF3069">
            <v>0</v>
          </cell>
          <cell r="BG3069">
            <v>0</v>
          </cell>
          <cell r="BH3069">
            <v>0</v>
          </cell>
          <cell r="BI3069">
            <v>10</v>
          </cell>
          <cell r="BJ3069">
            <v>0</v>
          </cell>
        </row>
        <row r="3070">
          <cell r="D3070" t="str">
            <v>Technická univerzita v Košiciach</v>
          </cell>
          <cell r="E3070" t="str">
            <v>Ekonomická fakulta</v>
          </cell>
          <cell r="AN3070">
            <v>0</v>
          </cell>
          <cell r="AO3070">
            <v>20</v>
          </cell>
          <cell r="AP3070">
            <v>0</v>
          </cell>
          <cell r="AQ3070">
            <v>0</v>
          </cell>
          <cell r="AR3070">
            <v>0</v>
          </cell>
          <cell r="BF3070">
            <v>0</v>
          </cell>
          <cell r="BG3070">
            <v>0</v>
          </cell>
          <cell r="BH3070">
            <v>0</v>
          </cell>
          <cell r="BI3070">
            <v>20</v>
          </cell>
          <cell r="BJ3070">
            <v>0</v>
          </cell>
        </row>
        <row r="3071">
          <cell r="D3071" t="str">
            <v>Technická univerzita v Košiciach</v>
          </cell>
          <cell r="E3071" t="str">
            <v>Ekonomická fakulta</v>
          </cell>
          <cell r="AN3071">
            <v>0</v>
          </cell>
          <cell r="AO3071">
            <v>14</v>
          </cell>
          <cell r="AP3071">
            <v>0</v>
          </cell>
          <cell r="AQ3071">
            <v>0</v>
          </cell>
          <cell r="AR3071">
            <v>0</v>
          </cell>
          <cell r="BF3071">
            <v>0</v>
          </cell>
          <cell r="BG3071">
            <v>0</v>
          </cell>
          <cell r="BH3071">
            <v>0</v>
          </cell>
          <cell r="BI3071">
            <v>14</v>
          </cell>
          <cell r="BJ3071">
            <v>0</v>
          </cell>
        </row>
        <row r="3072">
          <cell r="D3072" t="str">
            <v>Slovenská zdravotnícka univerzita v Bratislave</v>
          </cell>
          <cell r="E3072" t="str">
            <v>Fakulta zdravotníctva so sídlom v Banskej Bystrici</v>
          </cell>
          <cell r="AN3072">
            <v>26</v>
          </cell>
          <cell r="AO3072">
            <v>26</v>
          </cell>
          <cell r="AP3072">
            <v>0</v>
          </cell>
          <cell r="AQ3072">
            <v>0</v>
          </cell>
          <cell r="AR3072">
            <v>26</v>
          </cell>
          <cell r="BF3072">
            <v>39</v>
          </cell>
          <cell r="BG3072">
            <v>83.85</v>
          </cell>
          <cell r="BH3072">
            <v>83.85</v>
          </cell>
          <cell r="BI3072">
            <v>26</v>
          </cell>
          <cell r="BJ3072">
            <v>0</v>
          </cell>
        </row>
        <row r="3073">
          <cell r="D3073" t="str">
            <v>Technická univerzita v Košiciach</v>
          </cell>
          <cell r="E3073" t="str">
            <v>Fakulta elektrotechniky a informatiky</v>
          </cell>
          <cell r="AN3073">
            <v>66</v>
          </cell>
          <cell r="AO3073">
            <v>69</v>
          </cell>
          <cell r="AP3073">
            <v>0</v>
          </cell>
          <cell r="AQ3073">
            <v>0</v>
          </cell>
          <cell r="AR3073">
            <v>66</v>
          </cell>
          <cell r="BF3073">
            <v>99</v>
          </cell>
          <cell r="BG3073">
            <v>146.52000000000001</v>
          </cell>
          <cell r="BH3073">
            <v>136.75200000000001</v>
          </cell>
          <cell r="BI3073">
            <v>69</v>
          </cell>
          <cell r="BJ3073">
            <v>0</v>
          </cell>
        </row>
        <row r="3074">
          <cell r="D3074" t="str">
            <v>Technická univerzita v Košiciach</v>
          </cell>
          <cell r="E3074" t="str">
            <v>Fakulta elektrotechniky a informatiky</v>
          </cell>
          <cell r="AN3074">
            <v>48</v>
          </cell>
          <cell r="AO3074">
            <v>48</v>
          </cell>
          <cell r="AP3074">
            <v>48</v>
          </cell>
          <cell r="AQ3074">
            <v>48</v>
          </cell>
          <cell r="AR3074">
            <v>48</v>
          </cell>
          <cell r="BF3074">
            <v>72</v>
          </cell>
          <cell r="BG3074">
            <v>106.56</v>
          </cell>
          <cell r="BH3074">
            <v>106.56</v>
          </cell>
          <cell r="BI3074">
            <v>48</v>
          </cell>
          <cell r="BJ3074">
            <v>0</v>
          </cell>
        </row>
        <row r="3075">
          <cell r="D3075" t="str">
            <v>Technická univerzita v Košiciach</v>
          </cell>
          <cell r="E3075" t="str">
            <v>Fakulta elektrotechniky a informatiky</v>
          </cell>
          <cell r="AN3075">
            <v>27</v>
          </cell>
          <cell r="AO3075">
            <v>34</v>
          </cell>
          <cell r="AP3075">
            <v>0</v>
          </cell>
          <cell r="AQ3075">
            <v>0</v>
          </cell>
          <cell r="AR3075">
            <v>27</v>
          </cell>
          <cell r="BF3075">
            <v>40.5</v>
          </cell>
          <cell r="BG3075">
            <v>59.94</v>
          </cell>
          <cell r="BH3075">
            <v>47.951999999999998</v>
          </cell>
          <cell r="BI3075">
            <v>34</v>
          </cell>
          <cell r="BJ3075">
            <v>0</v>
          </cell>
        </row>
        <row r="3076">
          <cell r="D3076" t="str">
            <v>Technická univerzita v Košiciach</v>
          </cell>
          <cell r="E3076" t="str">
            <v>Fakulta elektrotechniky a informatiky</v>
          </cell>
          <cell r="AN3076">
            <v>8</v>
          </cell>
          <cell r="AO3076">
            <v>9</v>
          </cell>
          <cell r="AP3076">
            <v>0</v>
          </cell>
          <cell r="AQ3076">
            <v>0</v>
          </cell>
          <cell r="AR3076">
            <v>8</v>
          </cell>
          <cell r="BF3076">
            <v>12</v>
          </cell>
          <cell r="BG3076">
            <v>17.759999999999998</v>
          </cell>
          <cell r="BH3076">
            <v>14.799999999999999</v>
          </cell>
          <cell r="BI3076">
            <v>9</v>
          </cell>
          <cell r="BJ3076">
            <v>0</v>
          </cell>
        </row>
        <row r="3077">
          <cell r="D3077" t="str">
            <v>Technická univerzita v Košiciach</v>
          </cell>
          <cell r="E3077" t="str">
            <v>Fakulta elektrotechniky a informatiky</v>
          </cell>
          <cell r="AN3077">
            <v>0</v>
          </cell>
          <cell r="AO3077">
            <v>16</v>
          </cell>
          <cell r="AP3077">
            <v>0</v>
          </cell>
          <cell r="AQ3077">
            <v>0</v>
          </cell>
          <cell r="AR3077">
            <v>0</v>
          </cell>
          <cell r="BF3077">
            <v>0</v>
          </cell>
          <cell r="BG3077">
            <v>0</v>
          </cell>
          <cell r="BH3077">
            <v>0</v>
          </cell>
          <cell r="BI3077">
            <v>16</v>
          </cell>
          <cell r="BJ3077">
            <v>0</v>
          </cell>
        </row>
        <row r="3078">
          <cell r="D3078" t="str">
            <v>Technická univerzita v Košiciach</v>
          </cell>
          <cell r="E3078" t="str">
            <v>Fakulta elektrotechniky a informatiky</v>
          </cell>
          <cell r="AN3078">
            <v>47</v>
          </cell>
          <cell r="AO3078">
            <v>48</v>
          </cell>
          <cell r="AP3078">
            <v>0</v>
          </cell>
          <cell r="AQ3078">
            <v>0</v>
          </cell>
          <cell r="AR3078">
            <v>47</v>
          </cell>
          <cell r="BF3078">
            <v>70.5</v>
          </cell>
          <cell r="BG3078">
            <v>104.34</v>
          </cell>
          <cell r="BH3078">
            <v>96.887142857142862</v>
          </cell>
          <cell r="BI3078">
            <v>48</v>
          </cell>
          <cell r="BJ3078">
            <v>0</v>
          </cell>
        </row>
        <row r="3079">
          <cell r="D3079" t="str">
            <v>Technická univerzita v Košiciach</v>
          </cell>
          <cell r="E3079" t="str">
            <v>Fakulta elektrotechniky a informatiky</v>
          </cell>
          <cell r="AN3079">
            <v>6</v>
          </cell>
          <cell r="AO3079">
            <v>6</v>
          </cell>
          <cell r="AP3079">
            <v>6</v>
          </cell>
          <cell r="AQ3079">
            <v>6</v>
          </cell>
          <cell r="AR3079">
            <v>6</v>
          </cell>
          <cell r="BF3079">
            <v>9</v>
          </cell>
          <cell r="BG3079">
            <v>13.32</v>
          </cell>
          <cell r="BH3079">
            <v>13.32</v>
          </cell>
          <cell r="BI3079">
            <v>6</v>
          </cell>
          <cell r="BJ3079">
            <v>0</v>
          </cell>
        </row>
        <row r="3080">
          <cell r="D3080" t="str">
            <v>Technická univerzita v Košiciach</v>
          </cell>
          <cell r="E3080" t="str">
            <v>Fakulta elektrotechniky a informatiky</v>
          </cell>
          <cell r="AN3080">
            <v>60</v>
          </cell>
          <cell r="AO3080">
            <v>62</v>
          </cell>
          <cell r="AP3080">
            <v>62</v>
          </cell>
          <cell r="AQ3080">
            <v>60</v>
          </cell>
          <cell r="AR3080">
            <v>60</v>
          </cell>
          <cell r="BF3080">
            <v>43.8</v>
          </cell>
          <cell r="BG3080">
            <v>64.823999999999998</v>
          </cell>
          <cell r="BH3080">
            <v>61.912283687943265</v>
          </cell>
          <cell r="BI3080">
            <v>62</v>
          </cell>
          <cell r="BJ3080">
            <v>0</v>
          </cell>
        </row>
        <row r="3081">
          <cell r="D3081" t="str">
            <v>Technická univerzita v Košiciach</v>
          </cell>
          <cell r="E3081" t="str">
            <v>Fakulta elektrotechniky a informatiky</v>
          </cell>
          <cell r="AN3081">
            <v>14</v>
          </cell>
          <cell r="AO3081">
            <v>14</v>
          </cell>
          <cell r="AP3081">
            <v>14</v>
          </cell>
          <cell r="AQ3081">
            <v>14</v>
          </cell>
          <cell r="AR3081">
            <v>14</v>
          </cell>
          <cell r="BF3081">
            <v>10.1</v>
          </cell>
          <cell r="BG3081">
            <v>14.947999999999999</v>
          </cell>
          <cell r="BH3081">
            <v>14.370299516908212</v>
          </cell>
          <cell r="BI3081">
            <v>14</v>
          </cell>
          <cell r="BJ3081">
            <v>0</v>
          </cell>
        </row>
        <row r="3082">
          <cell r="D3082" t="str">
            <v>Technická univerzita v Košiciach</v>
          </cell>
          <cell r="E3082" t="str">
            <v>Fakulta elektrotechniky a informatiky</v>
          </cell>
          <cell r="AN3082">
            <v>20</v>
          </cell>
          <cell r="AO3082">
            <v>20</v>
          </cell>
          <cell r="AP3082">
            <v>20</v>
          </cell>
          <cell r="AQ3082">
            <v>20</v>
          </cell>
          <cell r="AR3082">
            <v>20</v>
          </cell>
          <cell r="BF3082">
            <v>14.299999999999999</v>
          </cell>
          <cell r="BG3082">
            <v>21.163999999999998</v>
          </cell>
          <cell r="BH3082">
            <v>20.346067632850239</v>
          </cell>
          <cell r="BI3082">
            <v>20</v>
          </cell>
          <cell r="BJ3082">
            <v>0</v>
          </cell>
        </row>
        <row r="3083">
          <cell r="D3083" t="str">
            <v>Technická univerzita v Košiciach</v>
          </cell>
          <cell r="E3083" t="str">
            <v>Fakulta elektrotechniky a informatiky</v>
          </cell>
          <cell r="AN3083">
            <v>0</v>
          </cell>
          <cell r="AO3083">
            <v>12</v>
          </cell>
          <cell r="AP3083">
            <v>12</v>
          </cell>
          <cell r="AQ3083">
            <v>0</v>
          </cell>
          <cell r="AR3083">
            <v>0</v>
          </cell>
          <cell r="BF3083">
            <v>0</v>
          </cell>
          <cell r="BG3083">
            <v>0</v>
          </cell>
          <cell r="BH3083">
            <v>0</v>
          </cell>
          <cell r="BI3083">
            <v>12</v>
          </cell>
          <cell r="BJ3083">
            <v>0</v>
          </cell>
        </row>
        <row r="3084">
          <cell r="D3084" t="str">
            <v>Univerzita Komenského v Bratislave</v>
          </cell>
          <cell r="E3084" t="str">
            <v>Jesseniova lekárska fakulta v Martine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BF3084">
            <v>0</v>
          </cell>
          <cell r="BG3084">
            <v>0</v>
          </cell>
          <cell r="BH3084">
            <v>0</v>
          </cell>
          <cell r="BI3084">
            <v>5</v>
          </cell>
          <cell r="BJ3084">
            <v>0</v>
          </cell>
        </row>
        <row r="3085">
          <cell r="D3085" t="str">
            <v>Univerzita Komenského v Bratislave</v>
          </cell>
          <cell r="E3085" t="str">
            <v>Jesseniova lekárska fakulta v Martine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BF3085">
            <v>0</v>
          </cell>
          <cell r="BG3085">
            <v>0</v>
          </cell>
          <cell r="BH3085">
            <v>0</v>
          </cell>
          <cell r="BI3085">
            <v>2</v>
          </cell>
          <cell r="BJ3085">
            <v>0</v>
          </cell>
        </row>
        <row r="3086">
          <cell r="D3086" t="str">
            <v>Univerzita Komenského v Bratislave</v>
          </cell>
          <cell r="E3086" t="str">
            <v>Jesseniova lekárska fakulta v Martine</v>
          </cell>
          <cell r="AN3086">
            <v>5</v>
          </cell>
          <cell r="AO3086">
            <v>5</v>
          </cell>
          <cell r="AP3086">
            <v>0</v>
          </cell>
          <cell r="AQ3086">
            <v>0</v>
          </cell>
          <cell r="AR3086">
            <v>5</v>
          </cell>
          <cell r="BF3086">
            <v>7.5</v>
          </cell>
          <cell r="BG3086">
            <v>7.8000000000000007</v>
          </cell>
          <cell r="BH3086">
            <v>7.8000000000000007</v>
          </cell>
          <cell r="BI3086">
            <v>5</v>
          </cell>
          <cell r="BJ3086">
            <v>0</v>
          </cell>
        </row>
        <row r="3087">
          <cell r="D3087" t="str">
            <v>Univerzita Komenského v Bratislave</v>
          </cell>
          <cell r="E3087" t="str">
            <v>Jesseniova lekárska fakulta v Martine</v>
          </cell>
          <cell r="AN3087">
            <v>1</v>
          </cell>
          <cell r="AO3087">
            <v>0</v>
          </cell>
          <cell r="AP3087">
            <v>0</v>
          </cell>
          <cell r="AQ3087">
            <v>0</v>
          </cell>
          <cell r="AR3087">
            <v>1</v>
          </cell>
          <cell r="BF3087">
            <v>3</v>
          </cell>
          <cell r="BG3087">
            <v>10.23</v>
          </cell>
          <cell r="BH3087">
            <v>10.23</v>
          </cell>
          <cell r="BI3087">
            <v>1</v>
          </cell>
          <cell r="BJ3087">
            <v>1</v>
          </cell>
        </row>
        <row r="3088">
          <cell r="D3088" t="str">
            <v>Univerzita Komenského v Bratislave</v>
          </cell>
          <cell r="E3088" t="str">
            <v>Jesseniova lekárska fakulta v Martine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BF3088">
            <v>0</v>
          </cell>
          <cell r="BG3088">
            <v>0</v>
          </cell>
          <cell r="BH3088">
            <v>0</v>
          </cell>
          <cell r="BI3088">
            <v>5</v>
          </cell>
          <cell r="BJ3088">
            <v>0</v>
          </cell>
        </row>
        <row r="3089">
          <cell r="D3089" t="str">
            <v>Univerzita Komenského v Bratislave</v>
          </cell>
          <cell r="E3089" t="str">
            <v>Jesseniova lekárska fakulta v Martine</v>
          </cell>
          <cell r="AN3089">
            <v>8</v>
          </cell>
          <cell r="AO3089">
            <v>8</v>
          </cell>
          <cell r="AP3089">
            <v>0</v>
          </cell>
          <cell r="AQ3089">
            <v>0</v>
          </cell>
          <cell r="AR3089">
            <v>8</v>
          </cell>
          <cell r="BF3089">
            <v>12</v>
          </cell>
          <cell r="BG3089">
            <v>17.759999999999998</v>
          </cell>
          <cell r="BH3089">
            <v>14.799999999999999</v>
          </cell>
          <cell r="BI3089">
            <v>8</v>
          </cell>
          <cell r="BJ3089">
            <v>0</v>
          </cell>
        </row>
        <row r="3090">
          <cell r="D3090" t="str">
            <v>Slovenská zdravotnícka univerzita v Bratislave</v>
          </cell>
          <cell r="E3090" t="str">
            <v>Fakulta verejného zdravotníctva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BF3090">
            <v>0</v>
          </cell>
          <cell r="BG3090">
            <v>0</v>
          </cell>
          <cell r="BH3090">
            <v>0</v>
          </cell>
          <cell r="BI3090">
            <v>3</v>
          </cell>
          <cell r="BJ3090">
            <v>0</v>
          </cell>
        </row>
        <row r="3091">
          <cell r="D3091" t="str">
            <v>Slovenská zdravotnícka univerzita v Bratislave</v>
          </cell>
          <cell r="E3091" t="str">
            <v>Fakulta verejného zdravotníctva</v>
          </cell>
          <cell r="AN3091">
            <v>12</v>
          </cell>
          <cell r="AO3091">
            <v>12</v>
          </cell>
          <cell r="AP3091">
            <v>0</v>
          </cell>
          <cell r="AQ3091">
            <v>0</v>
          </cell>
          <cell r="AR3091">
            <v>12</v>
          </cell>
          <cell r="BF3091">
            <v>18</v>
          </cell>
          <cell r="BG3091">
            <v>26.64</v>
          </cell>
          <cell r="BH3091">
            <v>22.433684210526316</v>
          </cell>
          <cell r="BI3091">
            <v>12</v>
          </cell>
          <cell r="BJ3091">
            <v>0</v>
          </cell>
        </row>
        <row r="3092">
          <cell r="D3092" t="str">
            <v>Univerzita Komenského v Bratislave</v>
          </cell>
          <cell r="E3092" t="str">
            <v>Lekárska fakulta</v>
          </cell>
          <cell r="AN3092">
            <v>2</v>
          </cell>
          <cell r="AO3092">
            <v>0</v>
          </cell>
          <cell r="AP3092">
            <v>0</v>
          </cell>
          <cell r="AQ3092">
            <v>0</v>
          </cell>
          <cell r="AR3092">
            <v>2</v>
          </cell>
          <cell r="BF3092">
            <v>6</v>
          </cell>
          <cell r="BG3092">
            <v>20.46</v>
          </cell>
          <cell r="BH3092">
            <v>20.46</v>
          </cell>
          <cell r="BI3092">
            <v>2</v>
          </cell>
          <cell r="BJ3092">
            <v>2</v>
          </cell>
        </row>
        <row r="3093">
          <cell r="D3093" t="str">
            <v>Technická univerzita v Košiciach</v>
          </cell>
          <cell r="E3093" t="str">
            <v>Strojnícka fakulta</v>
          </cell>
          <cell r="AN3093">
            <v>0</v>
          </cell>
          <cell r="AO3093">
            <v>0</v>
          </cell>
          <cell r="AP3093">
            <v>0</v>
          </cell>
          <cell r="AQ3093">
            <v>0</v>
          </cell>
          <cell r="AR3093">
            <v>0</v>
          </cell>
          <cell r="BF3093">
            <v>0</v>
          </cell>
          <cell r="BG3093">
            <v>0</v>
          </cell>
          <cell r="BH3093">
            <v>0</v>
          </cell>
          <cell r="BI3093">
            <v>1</v>
          </cell>
          <cell r="BJ3093">
            <v>0</v>
          </cell>
        </row>
        <row r="3094">
          <cell r="D3094" t="str">
            <v>Technická univerzita v Košiciach</v>
          </cell>
          <cell r="E3094" t="str">
            <v>Strojnícka fakulta</v>
          </cell>
          <cell r="AN3094">
            <v>56</v>
          </cell>
          <cell r="AO3094">
            <v>58</v>
          </cell>
          <cell r="AP3094">
            <v>0</v>
          </cell>
          <cell r="AQ3094">
            <v>0</v>
          </cell>
          <cell r="AR3094">
            <v>56</v>
          </cell>
          <cell r="BF3094">
            <v>84</v>
          </cell>
          <cell r="BG3094">
            <v>124.32</v>
          </cell>
          <cell r="BH3094">
            <v>113.0181818181818</v>
          </cell>
          <cell r="BI3094">
            <v>58</v>
          </cell>
          <cell r="BJ3094">
            <v>0</v>
          </cell>
        </row>
        <row r="3095">
          <cell r="D3095" t="str">
            <v>Technická univerzita v Košiciach</v>
          </cell>
          <cell r="E3095" t="str">
            <v>Strojnícka fakulta</v>
          </cell>
          <cell r="AN3095">
            <v>4</v>
          </cell>
          <cell r="AO3095">
            <v>0</v>
          </cell>
          <cell r="AP3095">
            <v>0</v>
          </cell>
          <cell r="AQ3095">
            <v>4</v>
          </cell>
          <cell r="AR3095">
            <v>4</v>
          </cell>
          <cell r="BF3095">
            <v>12</v>
          </cell>
          <cell r="BG3095">
            <v>25.56</v>
          </cell>
          <cell r="BH3095">
            <v>25.56</v>
          </cell>
          <cell r="BI3095">
            <v>4</v>
          </cell>
          <cell r="BJ3095">
            <v>4</v>
          </cell>
        </row>
        <row r="3096">
          <cell r="D3096" t="str">
            <v>Technická univerzita v Košiciach</v>
          </cell>
          <cell r="E3096" t="str">
            <v>Strojnícka fakulta</v>
          </cell>
          <cell r="AN3096">
            <v>20</v>
          </cell>
          <cell r="AO3096">
            <v>20</v>
          </cell>
          <cell r="AP3096">
            <v>20</v>
          </cell>
          <cell r="AQ3096">
            <v>20</v>
          </cell>
          <cell r="AR3096">
            <v>20</v>
          </cell>
          <cell r="BF3096">
            <v>30</v>
          </cell>
          <cell r="BG3096">
            <v>44.4</v>
          </cell>
          <cell r="BH3096">
            <v>44.4</v>
          </cell>
          <cell r="BI3096">
            <v>20</v>
          </cell>
          <cell r="BJ3096">
            <v>0</v>
          </cell>
        </row>
        <row r="3097">
          <cell r="D3097" t="str">
            <v>Technická univerzita v Košiciach</v>
          </cell>
          <cell r="E3097" t="str">
            <v>Strojnícka fakulta</v>
          </cell>
          <cell r="AN3097">
            <v>21</v>
          </cell>
          <cell r="AO3097">
            <v>21</v>
          </cell>
          <cell r="AP3097">
            <v>0</v>
          </cell>
          <cell r="AQ3097">
            <v>0</v>
          </cell>
          <cell r="AR3097">
            <v>21</v>
          </cell>
          <cell r="BF3097">
            <v>31.5</v>
          </cell>
          <cell r="BG3097">
            <v>46.62</v>
          </cell>
          <cell r="BH3097">
            <v>42.566086956521737</v>
          </cell>
          <cell r="BI3097">
            <v>21</v>
          </cell>
          <cell r="BJ3097">
            <v>0</v>
          </cell>
        </row>
        <row r="3098">
          <cell r="D3098" t="str">
            <v>Technická univerzita v Košiciach</v>
          </cell>
          <cell r="E3098" t="str">
            <v>Strojnícka fakulta</v>
          </cell>
          <cell r="AN3098">
            <v>36</v>
          </cell>
          <cell r="AO3098">
            <v>36</v>
          </cell>
          <cell r="AP3098">
            <v>0</v>
          </cell>
          <cell r="AQ3098">
            <v>0</v>
          </cell>
          <cell r="AR3098">
            <v>36</v>
          </cell>
          <cell r="BF3098">
            <v>54</v>
          </cell>
          <cell r="BG3098">
            <v>79.92</v>
          </cell>
          <cell r="BH3098">
            <v>72.654545454545456</v>
          </cell>
          <cell r="BI3098">
            <v>36</v>
          </cell>
          <cell r="BJ3098">
            <v>0</v>
          </cell>
        </row>
        <row r="3099">
          <cell r="D3099" t="str">
            <v>Technická univerzita v Košiciach</v>
          </cell>
          <cell r="E3099" t="str">
            <v>Strojnícka fakulta</v>
          </cell>
          <cell r="AN3099">
            <v>58</v>
          </cell>
          <cell r="AO3099">
            <v>60</v>
          </cell>
          <cell r="AP3099">
            <v>0</v>
          </cell>
          <cell r="AQ3099">
            <v>0</v>
          </cell>
          <cell r="AR3099">
            <v>58</v>
          </cell>
          <cell r="BF3099">
            <v>87</v>
          </cell>
          <cell r="BG3099">
            <v>128.76</v>
          </cell>
          <cell r="BH3099">
            <v>120.71249999999999</v>
          </cell>
          <cell r="BI3099">
            <v>60</v>
          </cell>
          <cell r="BJ3099">
            <v>0</v>
          </cell>
        </row>
        <row r="3100">
          <cell r="D3100" t="str">
            <v>Technická univerzita v Košiciach</v>
          </cell>
          <cell r="E3100" t="str">
            <v>Strojnícka fakulta</v>
          </cell>
          <cell r="AN3100">
            <v>6</v>
          </cell>
          <cell r="AO3100">
            <v>6</v>
          </cell>
          <cell r="AP3100">
            <v>6</v>
          </cell>
          <cell r="AQ3100">
            <v>6</v>
          </cell>
          <cell r="AR3100">
            <v>6</v>
          </cell>
          <cell r="BF3100">
            <v>9</v>
          </cell>
          <cell r="BG3100">
            <v>13.32</v>
          </cell>
          <cell r="BH3100">
            <v>13.32</v>
          </cell>
          <cell r="BI3100">
            <v>6</v>
          </cell>
          <cell r="BJ3100">
            <v>0</v>
          </cell>
        </row>
        <row r="3101">
          <cell r="D3101" t="str">
            <v>Technická univerzita v Košiciach</v>
          </cell>
          <cell r="E3101" t="str">
            <v>Strojnícka fakulta</v>
          </cell>
          <cell r="AN3101">
            <v>18</v>
          </cell>
          <cell r="AO3101">
            <v>19</v>
          </cell>
          <cell r="AP3101">
            <v>19</v>
          </cell>
          <cell r="AQ3101">
            <v>18</v>
          </cell>
          <cell r="AR3101">
            <v>18</v>
          </cell>
          <cell r="BF3101">
            <v>27</v>
          </cell>
          <cell r="BG3101">
            <v>39.96</v>
          </cell>
          <cell r="BH3101">
            <v>39.030697674418604</v>
          </cell>
          <cell r="BI3101">
            <v>19</v>
          </cell>
          <cell r="BJ3101">
            <v>0</v>
          </cell>
        </row>
        <row r="3102">
          <cell r="D3102" t="str">
            <v>Technická univerzita v Košiciach</v>
          </cell>
          <cell r="E3102" t="str">
            <v>Strojnícka fakulta</v>
          </cell>
          <cell r="AN3102">
            <v>6</v>
          </cell>
          <cell r="AO3102">
            <v>6</v>
          </cell>
          <cell r="AP3102">
            <v>0</v>
          </cell>
          <cell r="AQ3102">
            <v>0</v>
          </cell>
          <cell r="AR3102">
            <v>6</v>
          </cell>
          <cell r="BF3102">
            <v>9</v>
          </cell>
          <cell r="BG3102">
            <v>13.32</v>
          </cell>
          <cell r="BH3102">
            <v>11.917894736842106</v>
          </cell>
          <cell r="BI3102">
            <v>6</v>
          </cell>
          <cell r="BJ3102">
            <v>0</v>
          </cell>
        </row>
        <row r="3103">
          <cell r="D3103" t="str">
            <v>Technická univerzita v Košiciach</v>
          </cell>
          <cell r="E3103" t="str">
            <v>Strojnícka fakulta</v>
          </cell>
          <cell r="AN3103">
            <v>5</v>
          </cell>
          <cell r="AO3103">
            <v>5</v>
          </cell>
          <cell r="AP3103">
            <v>0</v>
          </cell>
          <cell r="AQ3103">
            <v>0</v>
          </cell>
          <cell r="AR3103">
            <v>5</v>
          </cell>
          <cell r="BF3103">
            <v>7.5</v>
          </cell>
          <cell r="BG3103">
            <v>11.1</v>
          </cell>
          <cell r="BH3103">
            <v>10.134782608695652</v>
          </cell>
          <cell r="BI3103">
            <v>5</v>
          </cell>
          <cell r="BJ3103">
            <v>0</v>
          </cell>
        </row>
        <row r="3104">
          <cell r="D3104" t="str">
            <v>Technická univerzita v Košiciach</v>
          </cell>
          <cell r="E3104" t="str">
            <v>Strojnícka fakulta</v>
          </cell>
          <cell r="AN3104">
            <v>16</v>
          </cell>
          <cell r="AO3104">
            <v>16</v>
          </cell>
          <cell r="AP3104">
            <v>16</v>
          </cell>
          <cell r="AQ3104">
            <v>16</v>
          </cell>
          <cell r="AR3104">
            <v>16</v>
          </cell>
          <cell r="BF3104">
            <v>24</v>
          </cell>
          <cell r="BG3104">
            <v>35.519999999999996</v>
          </cell>
          <cell r="BH3104">
            <v>35.519999999999996</v>
          </cell>
          <cell r="BI3104">
            <v>16</v>
          </cell>
          <cell r="BJ3104">
            <v>0</v>
          </cell>
        </row>
        <row r="3105">
          <cell r="D3105" t="str">
            <v>Technická univerzita v Košiciach</v>
          </cell>
          <cell r="E3105" t="str">
            <v>Strojnícka fakulta</v>
          </cell>
          <cell r="AN3105">
            <v>0</v>
          </cell>
          <cell r="AO3105">
            <v>6</v>
          </cell>
          <cell r="AP3105">
            <v>6</v>
          </cell>
          <cell r="AQ3105">
            <v>0</v>
          </cell>
          <cell r="AR3105">
            <v>0</v>
          </cell>
          <cell r="BF3105">
            <v>0</v>
          </cell>
          <cell r="BG3105">
            <v>0</v>
          </cell>
          <cell r="BH3105">
            <v>0</v>
          </cell>
          <cell r="BI3105">
            <v>6</v>
          </cell>
          <cell r="BJ3105">
            <v>0</v>
          </cell>
        </row>
        <row r="3106">
          <cell r="D3106" t="str">
            <v>Univerzita Konštantína Filozofa v Nitre</v>
          </cell>
          <cell r="E3106" t="str">
            <v>Fakulta stredoeurópskych štúdií</v>
          </cell>
          <cell r="AN3106">
            <v>3</v>
          </cell>
          <cell r="AO3106">
            <v>0</v>
          </cell>
          <cell r="AP3106">
            <v>0</v>
          </cell>
          <cell r="AQ3106">
            <v>0</v>
          </cell>
          <cell r="AR3106">
            <v>3</v>
          </cell>
          <cell r="BF3106">
            <v>12</v>
          </cell>
          <cell r="BG3106">
            <v>13.200000000000001</v>
          </cell>
          <cell r="BH3106">
            <v>13.200000000000001</v>
          </cell>
          <cell r="BI3106">
            <v>3</v>
          </cell>
          <cell r="BJ3106">
            <v>3</v>
          </cell>
        </row>
        <row r="3107">
          <cell r="D3107" t="str">
            <v>Univerzita Konštantína Filozofa v Nitre</v>
          </cell>
          <cell r="E3107" t="str">
            <v>Fakulta stredoeurópskych štúdií</v>
          </cell>
          <cell r="AN3107">
            <v>19</v>
          </cell>
          <cell r="AO3107">
            <v>20</v>
          </cell>
          <cell r="AP3107">
            <v>0</v>
          </cell>
          <cell r="AQ3107">
            <v>0</v>
          </cell>
          <cell r="AR3107">
            <v>19</v>
          </cell>
          <cell r="BF3107">
            <v>28.5</v>
          </cell>
          <cell r="BG3107">
            <v>29.64</v>
          </cell>
          <cell r="BH3107">
            <v>27.664000000000001</v>
          </cell>
          <cell r="BI3107">
            <v>20</v>
          </cell>
          <cell r="BJ3107">
            <v>0</v>
          </cell>
        </row>
        <row r="3108">
          <cell r="D3108" t="str">
            <v>Univerzita Konštantína Filozofa v Nitre</v>
          </cell>
          <cell r="E3108" t="str">
            <v>Fakulta stredoeurópskych štúdií</v>
          </cell>
          <cell r="AN3108">
            <v>48</v>
          </cell>
          <cell r="AO3108">
            <v>51</v>
          </cell>
          <cell r="AP3108">
            <v>0</v>
          </cell>
          <cell r="AQ3108">
            <v>0</v>
          </cell>
          <cell r="AR3108">
            <v>48</v>
          </cell>
          <cell r="BF3108">
            <v>72</v>
          </cell>
          <cell r="BG3108">
            <v>74.88</v>
          </cell>
          <cell r="BH3108">
            <v>65.613913043478249</v>
          </cell>
          <cell r="BI3108">
            <v>51</v>
          </cell>
          <cell r="BJ3108">
            <v>0</v>
          </cell>
        </row>
        <row r="3109">
          <cell r="D3109" t="str">
            <v>Univerzita Konštantína Filozofa v Nitre</v>
          </cell>
          <cell r="E3109" t="str">
            <v>Fakulta stredoeurópskych štúdií</v>
          </cell>
          <cell r="AN3109">
            <v>30</v>
          </cell>
          <cell r="AO3109">
            <v>31</v>
          </cell>
          <cell r="AP3109">
            <v>0</v>
          </cell>
          <cell r="AQ3109">
            <v>0</v>
          </cell>
          <cell r="AR3109">
            <v>30</v>
          </cell>
          <cell r="BF3109">
            <v>45</v>
          </cell>
          <cell r="BG3109">
            <v>46.800000000000004</v>
          </cell>
          <cell r="BH3109">
            <v>41.008695652173913</v>
          </cell>
          <cell r="BI3109">
            <v>31</v>
          </cell>
          <cell r="BJ3109">
            <v>0</v>
          </cell>
        </row>
        <row r="3110">
          <cell r="D3110" t="str">
            <v>Univerzita Konštantína Filozofa v Nitre</v>
          </cell>
          <cell r="E3110" t="str">
            <v>Fakulta stredoeurópskych štúdií</v>
          </cell>
          <cell r="AN3110">
            <v>6.5</v>
          </cell>
          <cell r="AO3110">
            <v>7</v>
          </cell>
          <cell r="AP3110">
            <v>0</v>
          </cell>
          <cell r="AQ3110">
            <v>0</v>
          </cell>
          <cell r="AR3110">
            <v>6.5</v>
          </cell>
          <cell r="BF3110">
            <v>5.75</v>
          </cell>
          <cell r="BG3110">
            <v>8.625</v>
          </cell>
          <cell r="BH3110">
            <v>8.625</v>
          </cell>
          <cell r="BI3110">
            <v>7</v>
          </cell>
          <cell r="BJ3110">
            <v>0</v>
          </cell>
        </row>
        <row r="3111">
          <cell r="D3111" t="str">
            <v>Univerzita Komenského v Bratislave</v>
          </cell>
          <cell r="E3111" t="str">
            <v>Prírodovedecká fakulta</v>
          </cell>
          <cell r="AN3111">
            <v>0</v>
          </cell>
          <cell r="AO3111">
            <v>0</v>
          </cell>
          <cell r="AP3111">
            <v>0</v>
          </cell>
          <cell r="AQ3111">
            <v>0</v>
          </cell>
          <cell r="AR3111">
            <v>0</v>
          </cell>
          <cell r="BF3111">
            <v>0</v>
          </cell>
          <cell r="BG3111">
            <v>0</v>
          </cell>
          <cell r="BH3111">
            <v>0</v>
          </cell>
          <cell r="BI3111">
            <v>1</v>
          </cell>
          <cell r="BJ3111">
            <v>0</v>
          </cell>
        </row>
        <row r="3112">
          <cell r="D3112" t="str">
            <v>Univerzita Komenského v Bratislave</v>
          </cell>
          <cell r="E3112" t="str">
            <v>Prírodovedecká fakulta</v>
          </cell>
          <cell r="AN3112">
            <v>48</v>
          </cell>
          <cell r="AO3112">
            <v>48</v>
          </cell>
          <cell r="AP3112">
            <v>0</v>
          </cell>
          <cell r="AQ3112">
            <v>0</v>
          </cell>
          <cell r="AR3112">
            <v>48</v>
          </cell>
          <cell r="BF3112">
            <v>72</v>
          </cell>
          <cell r="BG3112">
            <v>106.56</v>
          </cell>
          <cell r="BH3112">
            <v>99.685161290322583</v>
          </cell>
          <cell r="BI3112">
            <v>48</v>
          </cell>
          <cell r="BJ3112">
            <v>0</v>
          </cell>
        </row>
        <row r="3113">
          <cell r="D3113" t="str">
            <v>Univerzita Komenského v Bratislave</v>
          </cell>
          <cell r="E3113" t="str">
            <v>Prírodovedecká fakulta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BF3113">
            <v>0</v>
          </cell>
          <cell r="BG3113">
            <v>0</v>
          </cell>
          <cell r="BH3113">
            <v>0</v>
          </cell>
          <cell r="BI3113">
            <v>1</v>
          </cell>
          <cell r="BJ3113">
            <v>0</v>
          </cell>
        </row>
        <row r="3114">
          <cell r="D3114" t="str">
            <v>Univerzita Komenského v Bratislave</v>
          </cell>
          <cell r="E3114" t="str">
            <v>Prírodovedecká fakulta</v>
          </cell>
          <cell r="AN3114">
            <v>11</v>
          </cell>
          <cell r="AO3114">
            <v>12</v>
          </cell>
          <cell r="AP3114">
            <v>0</v>
          </cell>
          <cell r="AQ3114">
            <v>0</v>
          </cell>
          <cell r="AR3114">
            <v>11</v>
          </cell>
          <cell r="BF3114">
            <v>16.5</v>
          </cell>
          <cell r="BG3114">
            <v>24.419999999999998</v>
          </cell>
          <cell r="BH3114">
            <v>21.3675</v>
          </cell>
          <cell r="BI3114">
            <v>12</v>
          </cell>
          <cell r="BJ3114">
            <v>0</v>
          </cell>
        </row>
        <row r="3115">
          <cell r="D3115" t="str">
            <v>Univerzita Komenského v Bratislave</v>
          </cell>
          <cell r="E3115" t="str">
            <v>Prírodovedecká fakulta</v>
          </cell>
          <cell r="AN3115">
            <v>37</v>
          </cell>
          <cell r="AO3115">
            <v>37</v>
          </cell>
          <cell r="AP3115">
            <v>37</v>
          </cell>
          <cell r="AQ3115">
            <v>37</v>
          </cell>
          <cell r="AR3115">
            <v>37</v>
          </cell>
          <cell r="BF3115">
            <v>55.5</v>
          </cell>
          <cell r="BG3115">
            <v>82.14</v>
          </cell>
          <cell r="BH3115">
            <v>77.308235294117651</v>
          </cell>
          <cell r="BI3115">
            <v>37</v>
          </cell>
          <cell r="BJ3115">
            <v>0</v>
          </cell>
        </row>
        <row r="3116">
          <cell r="D3116" t="str">
            <v>Univerzita Komenského v Bratislave</v>
          </cell>
          <cell r="E3116" t="str">
            <v>Prírodovedecká fakulta</v>
          </cell>
          <cell r="AN3116">
            <v>43</v>
          </cell>
          <cell r="AO3116">
            <v>43</v>
          </cell>
          <cell r="AP3116">
            <v>0</v>
          </cell>
          <cell r="AQ3116">
            <v>0</v>
          </cell>
          <cell r="AR3116">
            <v>43</v>
          </cell>
          <cell r="BF3116">
            <v>64.5</v>
          </cell>
          <cell r="BG3116">
            <v>95.46</v>
          </cell>
          <cell r="BH3116">
            <v>83.527499999999989</v>
          </cell>
          <cell r="BI3116">
            <v>43</v>
          </cell>
          <cell r="BJ3116">
            <v>0</v>
          </cell>
        </row>
        <row r="3117">
          <cell r="D3117" t="str">
            <v>Univerzita Komenského v Bratislave</v>
          </cell>
          <cell r="E3117" t="str">
            <v>Prírodovedecká fakulta</v>
          </cell>
          <cell r="AN3117">
            <v>4</v>
          </cell>
          <cell r="AO3117">
            <v>4</v>
          </cell>
          <cell r="AP3117">
            <v>4</v>
          </cell>
          <cell r="AQ3117">
            <v>4</v>
          </cell>
          <cell r="AR3117">
            <v>4</v>
          </cell>
          <cell r="BF3117">
            <v>6</v>
          </cell>
          <cell r="BG3117">
            <v>8.879999999999999</v>
          </cell>
          <cell r="BH3117">
            <v>8.879999999999999</v>
          </cell>
          <cell r="BI3117">
            <v>4</v>
          </cell>
          <cell r="BJ3117">
            <v>0</v>
          </cell>
        </row>
        <row r="3118">
          <cell r="D3118" t="str">
            <v>Univerzita Komenského v Bratislave</v>
          </cell>
          <cell r="E3118" t="str">
            <v>Prírodovedecká fakulta</v>
          </cell>
          <cell r="AN3118">
            <v>3</v>
          </cell>
          <cell r="AO3118">
            <v>3</v>
          </cell>
          <cell r="AP3118">
            <v>0</v>
          </cell>
          <cell r="AQ3118">
            <v>0</v>
          </cell>
          <cell r="AR3118">
            <v>3</v>
          </cell>
          <cell r="BF3118">
            <v>4.5</v>
          </cell>
          <cell r="BG3118">
            <v>6.66</v>
          </cell>
          <cell r="BH3118">
            <v>6.1126027397260279</v>
          </cell>
          <cell r="BI3118">
            <v>3</v>
          </cell>
          <cell r="BJ3118">
            <v>0</v>
          </cell>
        </row>
        <row r="3119">
          <cell r="D3119" t="str">
            <v>Univerzita Komenského v Bratislave</v>
          </cell>
          <cell r="E3119" t="str">
            <v>Prírodovedecká fakulta</v>
          </cell>
          <cell r="AN3119">
            <v>11</v>
          </cell>
          <cell r="AO3119">
            <v>11</v>
          </cell>
          <cell r="AP3119">
            <v>0</v>
          </cell>
          <cell r="AQ3119">
            <v>0</v>
          </cell>
          <cell r="AR3119">
            <v>11</v>
          </cell>
          <cell r="BF3119">
            <v>16.5</v>
          </cell>
          <cell r="BG3119">
            <v>24.419999999999998</v>
          </cell>
          <cell r="BH3119">
            <v>21.3675</v>
          </cell>
          <cell r="BI3119">
            <v>11</v>
          </cell>
          <cell r="BJ3119">
            <v>0</v>
          </cell>
        </row>
        <row r="3120">
          <cell r="D3120" t="str">
            <v>Univerzita Komenského v Bratislave</v>
          </cell>
          <cell r="E3120" t="str">
            <v>Prírodovedecká fakulta</v>
          </cell>
          <cell r="AN3120">
            <v>28</v>
          </cell>
          <cell r="AO3120">
            <v>28</v>
          </cell>
          <cell r="AP3120">
            <v>0</v>
          </cell>
          <cell r="AQ3120">
            <v>0</v>
          </cell>
          <cell r="AR3120">
            <v>28</v>
          </cell>
          <cell r="BF3120">
            <v>42</v>
          </cell>
          <cell r="BG3120">
            <v>62.16</v>
          </cell>
          <cell r="BH3120">
            <v>55.943999999999996</v>
          </cell>
          <cell r="BI3120">
            <v>28</v>
          </cell>
          <cell r="BJ3120">
            <v>0</v>
          </cell>
        </row>
        <row r="3121">
          <cell r="D3121" t="str">
            <v>Univerzita Komenského v Bratislave</v>
          </cell>
          <cell r="E3121" t="str">
            <v>Prírodovedecká fakulta</v>
          </cell>
          <cell r="AN3121">
            <v>6</v>
          </cell>
          <cell r="AO3121">
            <v>6</v>
          </cell>
          <cell r="AP3121">
            <v>0</v>
          </cell>
          <cell r="AQ3121">
            <v>0</v>
          </cell>
          <cell r="AR3121">
            <v>6</v>
          </cell>
          <cell r="BF3121">
            <v>9</v>
          </cell>
          <cell r="BG3121">
            <v>13.32</v>
          </cell>
          <cell r="BH3121">
            <v>9.99</v>
          </cell>
          <cell r="BI3121">
            <v>6</v>
          </cell>
          <cell r="BJ3121">
            <v>0</v>
          </cell>
        </row>
        <row r="3122">
          <cell r="D3122" t="str">
            <v>Univerzita Komenského v Bratislave</v>
          </cell>
          <cell r="E3122" t="str">
            <v>Prírodovedecká fakulta</v>
          </cell>
          <cell r="AN3122">
            <v>16</v>
          </cell>
          <cell r="AO3122">
            <v>16</v>
          </cell>
          <cell r="AP3122">
            <v>16</v>
          </cell>
          <cell r="AQ3122">
            <v>16</v>
          </cell>
          <cell r="AR3122">
            <v>16</v>
          </cell>
          <cell r="BF3122">
            <v>24</v>
          </cell>
          <cell r="BG3122">
            <v>35.519999999999996</v>
          </cell>
          <cell r="BH3122">
            <v>35.519999999999996</v>
          </cell>
          <cell r="BI3122">
            <v>16</v>
          </cell>
          <cell r="BJ3122">
            <v>0</v>
          </cell>
        </row>
        <row r="3123">
          <cell r="D3123" t="str">
            <v>Univerzita Komenského v Bratislave</v>
          </cell>
          <cell r="E3123" t="str">
            <v>Prírodovedecká fakulta</v>
          </cell>
          <cell r="AN3123">
            <v>11</v>
          </cell>
          <cell r="AO3123">
            <v>11</v>
          </cell>
          <cell r="AP3123">
            <v>11</v>
          </cell>
          <cell r="AQ3123">
            <v>11</v>
          </cell>
          <cell r="AR3123">
            <v>11</v>
          </cell>
          <cell r="BF3123">
            <v>16.5</v>
          </cell>
          <cell r="BG3123">
            <v>24.419999999999998</v>
          </cell>
          <cell r="BH3123">
            <v>24.419999999999998</v>
          </cell>
          <cell r="BI3123">
            <v>11</v>
          </cell>
          <cell r="BJ3123">
            <v>0</v>
          </cell>
        </row>
        <row r="3124">
          <cell r="D3124" t="str">
            <v>Univerzita Komenského v Bratislave</v>
          </cell>
          <cell r="E3124" t="str">
            <v>Prírodovedecká fakulta</v>
          </cell>
          <cell r="AN3124">
            <v>36</v>
          </cell>
          <cell r="AO3124">
            <v>39</v>
          </cell>
          <cell r="AP3124">
            <v>39</v>
          </cell>
          <cell r="AQ3124">
            <v>36</v>
          </cell>
          <cell r="AR3124">
            <v>36</v>
          </cell>
          <cell r="BF3124">
            <v>54</v>
          </cell>
          <cell r="BG3124">
            <v>79.92</v>
          </cell>
          <cell r="BH3124">
            <v>76.287272727272736</v>
          </cell>
          <cell r="BI3124">
            <v>39</v>
          </cell>
          <cell r="BJ3124">
            <v>0</v>
          </cell>
        </row>
        <row r="3125">
          <cell r="D3125" t="str">
            <v>Univerzita Komenského v Bratislave</v>
          </cell>
          <cell r="E3125" t="str">
            <v>Prírodovedecká fakulta</v>
          </cell>
          <cell r="AN3125">
            <v>6</v>
          </cell>
          <cell r="AO3125">
            <v>6</v>
          </cell>
          <cell r="AP3125">
            <v>6</v>
          </cell>
          <cell r="AQ3125">
            <v>6</v>
          </cell>
          <cell r="AR3125">
            <v>6</v>
          </cell>
          <cell r="BF3125">
            <v>9</v>
          </cell>
          <cell r="BG3125">
            <v>13.32</v>
          </cell>
          <cell r="BH3125">
            <v>13.32</v>
          </cell>
          <cell r="BI3125">
            <v>6</v>
          </cell>
          <cell r="BJ3125">
            <v>0</v>
          </cell>
        </row>
        <row r="3126">
          <cell r="D3126" t="str">
            <v>Univerzita Komenského v Bratislave</v>
          </cell>
          <cell r="E3126" t="str">
            <v>Prírodovedecká fakulta</v>
          </cell>
          <cell r="AN3126">
            <v>35</v>
          </cell>
          <cell r="AO3126">
            <v>35</v>
          </cell>
          <cell r="AP3126">
            <v>0</v>
          </cell>
          <cell r="AQ3126">
            <v>0</v>
          </cell>
          <cell r="AR3126">
            <v>35</v>
          </cell>
          <cell r="BF3126">
            <v>52.5</v>
          </cell>
          <cell r="BG3126">
            <v>77.7</v>
          </cell>
          <cell r="BH3126">
            <v>69.066666666666663</v>
          </cell>
          <cell r="BI3126">
            <v>35</v>
          </cell>
          <cell r="BJ3126">
            <v>0</v>
          </cell>
        </row>
        <row r="3127">
          <cell r="D3127" t="str">
            <v>Univerzita Komenského v Bratislave</v>
          </cell>
          <cell r="E3127" t="str">
            <v>Prírodovedecká fakulta</v>
          </cell>
          <cell r="AN3127">
            <v>7</v>
          </cell>
          <cell r="AO3127">
            <v>8</v>
          </cell>
          <cell r="AP3127">
            <v>0</v>
          </cell>
          <cell r="AQ3127">
            <v>0</v>
          </cell>
          <cell r="AR3127">
            <v>7</v>
          </cell>
          <cell r="BF3127">
            <v>10.5</v>
          </cell>
          <cell r="BG3127">
            <v>15.54</v>
          </cell>
          <cell r="BH3127">
            <v>14.059999999999999</v>
          </cell>
          <cell r="BI3127">
            <v>8</v>
          </cell>
          <cell r="BJ3127">
            <v>0</v>
          </cell>
        </row>
        <row r="3128">
          <cell r="D3128" t="str">
            <v>Univerzita Komenského v Bratislave</v>
          </cell>
          <cell r="E3128" t="str">
            <v>Prírodovedecká fakulta</v>
          </cell>
          <cell r="AN3128">
            <v>17</v>
          </cell>
          <cell r="AO3128">
            <v>17</v>
          </cell>
          <cell r="AP3128">
            <v>17</v>
          </cell>
          <cell r="AQ3128">
            <v>17</v>
          </cell>
          <cell r="AR3128">
            <v>17</v>
          </cell>
          <cell r="BF3128">
            <v>25.5</v>
          </cell>
          <cell r="BG3128">
            <v>37.74</v>
          </cell>
          <cell r="BH3128">
            <v>37.74</v>
          </cell>
          <cell r="BI3128">
            <v>17</v>
          </cell>
          <cell r="BJ3128">
            <v>0</v>
          </cell>
        </row>
        <row r="3129">
          <cell r="D3129" t="str">
            <v>Univerzita Komenského v Bratislave</v>
          </cell>
          <cell r="E3129" t="str">
            <v>Prírodovedecká fakulta</v>
          </cell>
          <cell r="AN3129">
            <v>8</v>
          </cell>
          <cell r="AO3129">
            <v>8</v>
          </cell>
          <cell r="AP3129">
            <v>8</v>
          </cell>
          <cell r="AQ3129">
            <v>8</v>
          </cell>
          <cell r="AR3129">
            <v>8</v>
          </cell>
          <cell r="BF3129">
            <v>12</v>
          </cell>
          <cell r="BG3129">
            <v>17.759999999999998</v>
          </cell>
          <cell r="BH3129">
            <v>17.759999999999998</v>
          </cell>
          <cell r="BI3129">
            <v>8</v>
          </cell>
          <cell r="BJ3129">
            <v>0</v>
          </cell>
        </row>
        <row r="3130">
          <cell r="D3130" t="str">
            <v>Univerzita Komenského v Bratislave</v>
          </cell>
          <cell r="E3130" t="str">
            <v>Prírodovedecká fakulta</v>
          </cell>
          <cell r="AN3130">
            <v>15</v>
          </cell>
          <cell r="AO3130">
            <v>15</v>
          </cell>
          <cell r="AP3130">
            <v>0</v>
          </cell>
          <cell r="AQ3130">
            <v>0</v>
          </cell>
          <cell r="AR3130">
            <v>15</v>
          </cell>
          <cell r="BF3130">
            <v>22.5</v>
          </cell>
          <cell r="BG3130">
            <v>33.299999999999997</v>
          </cell>
          <cell r="BH3130">
            <v>29.599999999999994</v>
          </cell>
          <cell r="BI3130">
            <v>15</v>
          </cell>
          <cell r="BJ3130">
            <v>0</v>
          </cell>
        </row>
        <row r="3131">
          <cell r="D3131" t="str">
            <v>Univerzita Komenského v Bratislave</v>
          </cell>
          <cell r="E3131" t="str">
            <v>Prírodovedecká fakulta</v>
          </cell>
          <cell r="AN3131">
            <v>4</v>
          </cell>
          <cell r="AO3131">
            <v>4</v>
          </cell>
          <cell r="AP3131">
            <v>4</v>
          </cell>
          <cell r="AQ3131">
            <v>4</v>
          </cell>
          <cell r="AR3131">
            <v>4</v>
          </cell>
          <cell r="BF3131">
            <v>6</v>
          </cell>
          <cell r="BG3131">
            <v>8.879999999999999</v>
          </cell>
          <cell r="BH3131">
            <v>8.879999999999999</v>
          </cell>
          <cell r="BI3131">
            <v>4</v>
          </cell>
          <cell r="BJ3131">
            <v>0</v>
          </cell>
        </row>
        <row r="3132">
          <cell r="D3132" t="str">
            <v>Univerzita Komenského v Bratislave</v>
          </cell>
          <cell r="E3132" t="str">
            <v>Prírodovedecká fakulta</v>
          </cell>
          <cell r="AN3132">
            <v>5</v>
          </cell>
          <cell r="AO3132">
            <v>5</v>
          </cell>
          <cell r="AP3132">
            <v>5</v>
          </cell>
          <cell r="AQ3132">
            <v>5</v>
          </cell>
          <cell r="AR3132">
            <v>5</v>
          </cell>
          <cell r="BF3132">
            <v>7.5</v>
          </cell>
          <cell r="BG3132">
            <v>11.1</v>
          </cell>
          <cell r="BH3132">
            <v>11.1</v>
          </cell>
          <cell r="BI3132">
            <v>5</v>
          </cell>
          <cell r="BJ3132">
            <v>0</v>
          </cell>
        </row>
        <row r="3133">
          <cell r="D3133" t="str">
            <v>Univerzita Komenského v Bratislave</v>
          </cell>
          <cell r="E3133" t="str">
            <v>Prírodovedecká fakulta</v>
          </cell>
          <cell r="AN3133">
            <v>3</v>
          </cell>
          <cell r="AO3133">
            <v>3</v>
          </cell>
          <cell r="AP3133">
            <v>0</v>
          </cell>
          <cell r="AQ3133">
            <v>0</v>
          </cell>
          <cell r="AR3133">
            <v>3</v>
          </cell>
          <cell r="BF3133">
            <v>4.5</v>
          </cell>
          <cell r="BG3133">
            <v>6.66</v>
          </cell>
          <cell r="BH3133">
            <v>6.0257142857142858</v>
          </cell>
          <cell r="BI3133">
            <v>3</v>
          </cell>
          <cell r="BJ3133">
            <v>0</v>
          </cell>
        </row>
        <row r="3134">
          <cell r="D3134" t="str">
            <v>Univerzita Komenského v Bratislave</v>
          </cell>
          <cell r="E3134" t="str">
            <v>Prírodovedecká fakulta</v>
          </cell>
          <cell r="AN3134">
            <v>2</v>
          </cell>
          <cell r="AO3134">
            <v>2</v>
          </cell>
          <cell r="AP3134">
            <v>2</v>
          </cell>
          <cell r="AQ3134">
            <v>2</v>
          </cell>
          <cell r="AR3134">
            <v>2</v>
          </cell>
          <cell r="BF3134">
            <v>3</v>
          </cell>
          <cell r="BG3134">
            <v>4.4399999999999995</v>
          </cell>
          <cell r="BH3134">
            <v>4.4399999999999995</v>
          </cell>
          <cell r="BI3134">
            <v>2</v>
          </cell>
          <cell r="BJ3134">
            <v>0</v>
          </cell>
        </row>
        <row r="3135">
          <cell r="D3135" t="str">
            <v>Univerzita Komenského v Bratislave</v>
          </cell>
          <cell r="E3135" t="str">
            <v>Prírodovedecká fakulta</v>
          </cell>
          <cell r="AN3135">
            <v>15</v>
          </cell>
          <cell r="AO3135">
            <v>16</v>
          </cell>
          <cell r="AP3135">
            <v>16</v>
          </cell>
          <cell r="AQ3135">
            <v>15</v>
          </cell>
          <cell r="AR3135">
            <v>15</v>
          </cell>
          <cell r="BF3135">
            <v>12.899999999999999</v>
          </cell>
          <cell r="BG3135">
            <v>19.091999999999999</v>
          </cell>
          <cell r="BH3135">
            <v>19.091999999999999</v>
          </cell>
          <cell r="BI3135">
            <v>16</v>
          </cell>
          <cell r="BJ3135">
            <v>0</v>
          </cell>
        </row>
        <row r="3136">
          <cell r="D3136" t="str">
            <v>Univerzita Komenského v Bratislave</v>
          </cell>
          <cell r="E3136" t="str">
            <v>Prírodovedecká fakulta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BF3136">
            <v>0</v>
          </cell>
          <cell r="BG3136">
            <v>0</v>
          </cell>
          <cell r="BH3136">
            <v>0</v>
          </cell>
          <cell r="BI3136">
            <v>1</v>
          </cell>
          <cell r="BJ3136">
            <v>0</v>
          </cell>
        </row>
        <row r="3137">
          <cell r="D3137" t="str">
            <v>Univerzita Komenského v Bratislave</v>
          </cell>
          <cell r="E3137" t="str">
            <v>Fakulta sociálnych a ekonomických vied</v>
          </cell>
          <cell r="AN3137">
            <v>11</v>
          </cell>
          <cell r="AO3137">
            <v>11</v>
          </cell>
          <cell r="AP3137">
            <v>0</v>
          </cell>
          <cell r="AQ3137">
            <v>0</v>
          </cell>
          <cell r="AR3137">
            <v>11</v>
          </cell>
          <cell r="BF3137">
            <v>16.5</v>
          </cell>
          <cell r="BG3137">
            <v>16.5</v>
          </cell>
          <cell r="BH3137">
            <v>16.5</v>
          </cell>
          <cell r="BI3137">
            <v>11</v>
          </cell>
          <cell r="BJ3137">
            <v>0</v>
          </cell>
        </row>
        <row r="3138">
          <cell r="D3138" t="str">
            <v>Slovenská zdravotnícka univerzita v Bratislave</v>
          </cell>
          <cell r="E3138" t="str">
            <v>Fakulta ošetrovateľstva a zdravotníckych odborných štúdií</v>
          </cell>
          <cell r="AN3138">
            <v>13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BF3138">
            <v>0</v>
          </cell>
          <cell r="BG3138">
            <v>0</v>
          </cell>
          <cell r="BH3138">
            <v>0</v>
          </cell>
          <cell r="BI3138">
            <v>13</v>
          </cell>
          <cell r="BJ3138">
            <v>0</v>
          </cell>
        </row>
        <row r="3139">
          <cell r="D3139" t="str">
            <v>Trenčianska univerzita Alexandra Dubčeka v Trenčíne</v>
          </cell>
          <cell r="E3139" t="str">
            <v>Fakulta špeciálnej techniky</v>
          </cell>
          <cell r="AN3139">
            <v>49</v>
          </cell>
          <cell r="AO3139">
            <v>51</v>
          </cell>
          <cell r="AP3139">
            <v>0</v>
          </cell>
          <cell r="AQ3139">
            <v>0</v>
          </cell>
          <cell r="AR3139">
            <v>49</v>
          </cell>
          <cell r="BF3139">
            <v>73.5</v>
          </cell>
          <cell r="BG3139">
            <v>108.78</v>
          </cell>
          <cell r="BH3139">
            <v>75.309230769230766</v>
          </cell>
          <cell r="BI3139">
            <v>51</v>
          </cell>
          <cell r="BJ3139">
            <v>0</v>
          </cell>
        </row>
        <row r="3140">
          <cell r="D3140" t="str">
            <v>Trenčianska univerzita Alexandra Dubčeka v Trenčíne</v>
          </cell>
          <cell r="E3140" t="str">
            <v>Fakulta špeciálnej techniky</v>
          </cell>
          <cell r="AN3140">
            <v>37</v>
          </cell>
          <cell r="AO3140">
            <v>40</v>
          </cell>
          <cell r="AP3140">
            <v>0</v>
          </cell>
          <cell r="AQ3140">
            <v>0</v>
          </cell>
          <cell r="AR3140">
            <v>37</v>
          </cell>
          <cell r="BF3140">
            <v>55.5</v>
          </cell>
          <cell r="BG3140">
            <v>82.14</v>
          </cell>
          <cell r="BH3140">
            <v>70.939090909090908</v>
          </cell>
          <cell r="BI3140">
            <v>40</v>
          </cell>
          <cell r="BJ3140">
            <v>0</v>
          </cell>
        </row>
        <row r="3141">
          <cell r="D3141" t="str">
            <v>Trenčianska univerzita Alexandra Dubčeka v Trenčíne</v>
          </cell>
          <cell r="E3141" t="str">
            <v>Fakulta sociálno-ekonomických vzťahov</v>
          </cell>
          <cell r="AN3141">
            <v>6</v>
          </cell>
          <cell r="AO3141">
            <v>6</v>
          </cell>
          <cell r="AP3141">
            <v>0</v>
          </cell>
          <cell r="AQ3141">
            <v>0</v>
          </cell>
          <cell r="AR3141">
            <v>6</v>
          </cell>
          <cell r="BF3141">
            <v>9</v>
          </cell>
          <cell r="BG3141">
            <v>9.36</v>
          </cell>
          <cell r="BH3141">
            <v>8.0090721649484546</v>
          </cell>
          <cell r="BI3141">
            <v>6</v>
          </cell>
          <cell r="BJ3141">
            <v>0</v>
          </cell>
        </row>
        <row r="3142">
          <cell r="D3142" t="str">
            <v>Trenčianska univerzita Alexandra Dubčeka v Trenčíne</v>
          </cell>
          <cell r="E3142" t="str">
            <v>Fakulta priemyselných technológií v Púchove</v>
          </cell>
          <cell r="AN3142">
            <v>7</v>
          </cell>
          <cell r="AO3142">
            <v>0</v>
          </cell>
          <cell r="AP3142">
            <v>0</v>
          </cell>
          <cell r="AQ3142">
            <v>0</v>
          </cell>
          <cell r="AR3142">
            <v>0</v>
          </cell>
          <cell r="BF3142">
            <v>0</v>
          </cell>
          <cell r="BG3142">
            <v>0</v>
          </cell>
          <cell r="BH3142">
            <v>0</v>
          </cell>
          <cell r="BI3142">
            <v>7</v>
          </cell>
          <cell r="BJ3142">
            <v>0</v>
          </cell>
        </row>
        <row r="3143">
          <cell r="D3143" t="str">
            <v>Trenčianska univerzita Alexandra Dubčeka v Trenčíne</v>
          </cell>
          <cell r="E3143">
            <v>0</v>
          </cell>
          <cell r="AN3143">
            <v>14</v>
          </cell>
          <cell r="AO3143">
            <v>14</v>
          </cell>
          <cell r="AP3143">
            <v>0</v>
          </cell>
          <cell r="AQ3143">
            <v>0</v>
          </cell>
          <cell r="AR3143">
            <v>14</v>
          </cell>
          <cell r="BF3143">
            <v>10.7</v>
          </cell>
          <cell r="BG3143">
            <v>10.7</v>
          </cell>
          <cell r="BH3143">
            <v>9.7272727272727266</v>
          </cell>
          <cell r="BI3143">
            <v>14</v>
          </cell>
          <cell r="BJ3143">
            <v>0</v>
          </cell>
        </row>
        <row r="3144">
          <cell r="D3144" t="str">
            <v>Vysoká škola múzických umení v Bratislave</v>
          </cell>
          <cell r="E3144" t="str">
            <v>Divadelná fakulta</v>
          </cell>
          <cell r="AN3144">
            <v>7</v>
          </cell>
          <cell r="AO3144">
            <v>8</v>
          </cell>
          <cell r="AP3144">
            <v>0</v>
          </cell>
          <cell r="AQ3144">
            <v>0</v>
          </cell>
          <cell r="AR3144">
            <v>7</v>
          </cell>
          <cell r="BF3144">
            <v>10.5</v>
          </cell>
          <cell r="BG3144">
            <v>10.5</v>
          </cell>
          <cell r="BH3144">
            <v>10.5</v>
          </cell>
          <cell r="BI3144">
            <v>8</v>
          </cell>
          <cell r="BJ3144">
            <v>0</v>
          </cell>
        </row>
        <row r="3145">
          <cell r="D3145" t="str">
            <v>Vysoká škola múzických umení v Bratislave</v>
          </cell>
          <cell r="E3145" t="str">
            <v>Divadelná fakulta</v>
          </cell>
          <cell r="AN3145">
            <v>27</v>
          </cell>
          <cell r="AO3145">
            <v>27</v>
          </cell>
          <cell r="AP3145">
            <v>0</v>
          </cell>
          <cell r="AQ3145">
            <v>0</v>
          </cell>
          <cell r="AR3145">
            <v>27</v>
          </cell>
          <cell r="BF3145">
            <v>40.5</v>
          </cell>
          <cell r="BG3145">
            <v>130.815</v>
          </cell>
          <cell r="BH3145">
            <v>112.12714285714286</v>
          </cell>
          <cell r="BI3145">
            <v>27</v>
          </cell>
          <cell r="BJ3145">
            <v>0</v>
          </cell>
        </row>
        <row r="3146">
          <cell r="D3146" t="str">
            <v>Vysoká škola múzických umení v Bratislave</v>
          </cell>
          <cell r="E3146" t="str">
            <v>Filmová a televízna fakulta</v>
          </cell>
          <cell r="AN3146">
            <v>1</v>
          </cell>
          <cell r="AO3146">
            <v>0</v>
          </cell>
          <cell r="AP3146">
            <v>0</v>
          </cell>
          <cell r="AQ3146">
            <v>0</v>
          </cell>
          <cell r="AR3146">
            <v>1</v>
          </cell>
          <cell r="BF3146">
            <v>4</v>
          </cell>
          <cell r="BG3146">
            <v>4.4000000000000004</v>
          </cell>
          <cell r="BH3146">
            <v>4.4000000000000004</v>
          </cell>
          <cell r="BI3146">
            <v>1</v>
          </cell>
          <cell r="BJ3146">
            <v>1</v>
          </cell>
        </row>
        <row r="3147">
          <cell r="D3147" t="str">
            <v>Vysoká škola múzických umení v Bratislave</v>
          </cell>
          <cell r="E3147" t="str">
            <v>Filmová a televízna fakulta</v>
          </cell>
          <cell r="AN3147">
            <v>15</v>
          </cell>
          <cell r="AO3147">
            <v>15</v>
          </cell>
          <cell r="AP3147">
            <v>0</v>
          </cell>
          <cell r="AQ3147">
            <v>0</v>
          </cell>
          <cell r="AR3147">
            <v>15</v>
          </cell>
          <cell r="BF3147">
            <v>22.5</v>
          </cell>
          <cell r="BG3147">
            <v>72.674999999999997</v>
          </cell>
          <cell r="BH3147">
            <v>61.494230769230768</v>
          </cell>
          <cell r="BI3147">
            <v>15</v>
          </cell>
          <cell r="BJ3147">
            <v>0</v>
          </cell>
        </row>
        <row r="3148">
          <cell r="D3148" t="str">
            <v>Vysoká škola múzických umení v Bratislave</v>
          </cell>
          <cell r="E3148" t="str">
            <v>Hudobná a tanečná fakulta</v>
          </cell>
          <cell r="AN3148">
            <v>22</v>
          </cell>
          <cell r="AO3148">
            <v>22</v>
          </cell>
          <cell r="AP3148">
            <v>0</v>
          </cell>
          <cell r="AQ3148">
            <v>0</v>
          </cell>
          <cell r="AR3148">
            <v>22</v>
          </cell>
          <cell r="BF3148">
            <v>33</v>
          </cell>
          <cell r="BG3148">
            <v>106.59</v>
          </cell>
          <cell r="BH3148">
            <v>106.59</v>
          </cell>
          <cell r="BI3148">
            <v>22</v>
          </cell>
          <cell r="BJ3148">
            <v>0</v>
          </cell>
        </row>
        <row r="3149">
          <cell r="D3149" t="str">
            <v>Vysoká škola múzických umení v Bratislave</v>
          </cell>
          <cell r="E3149" t="str">
            <v>Divadelná fakulta</v>
          </cell>
          <cell r="AN3149">
            <v>3</v>
          </cell>
          <cell r="AO3149">
            <v>0</v>
          </cell>
          <cell r="AP3149">
            <v>0</v>
          </cell>
          <cell r="AQ3149">
            <v>0</v>
          </cell>
          <cell r="AR3149">
            <v>3</v>
          </cell>
          <cell r="BF3149">
            <v>12</v>
          </cell>
          <cell r="BG3149">
            <v>13.200000000000001</v>
          </cell>
          <cell r="BH3149">
            <v>13.200000000000001</v>
          </cell>
          <cell r="BI3149">
            <v>3</v>
          </cell>
          <cell r="BJ3149">
            <v>3</v>
          </cell>
        </row>
        <row r="3150">
          <cell r="D3150" t="str">
            <v>Vysoká škola múzických umení v Bratislave</v>
          </cell>
          <cell r="E3150" t="str">
            <v>Filmová a televízna fakulta</v>
          </cell>
          <cell r="AN3150">
            <v>6</v>
          </cell>
          <cell r="AO3150">
            <v>6</v>
          </cell>
          <cell r="AP3150">
            <v>0</v>
          </cell>
          <cell r="AQ3150">
            <v>0</v>
          </cell>
          <cell r="AR3150">
            <v>6</v>
          </cell>
          <cell r="BF3150">
            <v>9</v>
          </cell>
          <cell r="BG3150">
            <v>9</v>
          </cell>
          <cell r="BH3150">
            <v>9</v>
          </cell>
          <cell r="BI3150">
            <v>6</v>
          </cell>
          <cell r="BJ3150">
            <v>0</v>
          </cell>
        </row>
        <row r="3151">
          <cell r="D3151" t="str">
            <v>Vysoká škola múzických umení v Bratislave</v>
          </cell>
          <cell r="E3151" t="str">
            <v>Filmová a televízna fakulta</v>
          </cell>
          <cell r="AN3151">
            <v>12</v>
          </cell>
          <cell r="AO3151">
            <v>12</v>
          </cell>
          <cell r="AP3151">
            <v>0</v>
          </cell>
          <cell r="AQ3151">
            <v>0</v>
          </cell>
          <cell r="AR3151">
            <v>12</v>
          </cell>
          <cell r="BF3151">
            <v>18</v>
          </cell>
          <cell r="BG3151">
            <v>58.14</v>
          </cell>
          <cell r="BH3151">
            <v>58.14</v>
          </cell>
          <cell r="BI3151">
            <v>12</v>
          </cell>
          <cell r="BJ3151">
            <v>0</v>
          </cell>
        </row>
        <row r="3152">
          <cell r="D3152" t="str">
            <v>Vysoká škola múzických umení v Bratislave</v>
          </cell>
          <cell r="E3152" t="str">
            <v>Hudobná a tanečná fakulta</v>
          </cell>
          <cell r="AN3152">
            <v>35</v>
          </cell>
          <cell r="AO3152">
            <v>35</v>
          </cell>
          <cell r="AP3152">
            <v>0</v>
          </cell>
          <cell r="AQ3152">
            <v>0</v>
          </cell>
          <cell r="AR3152">
            <v>35</v>
          </cell>
          <cell r="BF3152">
            <v>52.5</v>
          </cell>
          <cell r="BG3152">
            <v>169.57499999999999</v>
          </cell>
          <cell r="BH3152">
            <v>148.37812499999998</v>
          </cell>
          <cell r="BI3152">
            <v>35</v>
          </cell>
          <cell r="BJ3152">
            <v>0</v>
          </cell>
        </row>
        <row r="3153">
          <cell r="D3153" t="str">
            <v>Vysoká škola múzických umení v Bratislave</v>
          </cell>
          <cell r="E3153" t="str">
            <v>Divadelná fakulta</v>
          </cell>
          <cell r="AN3153">
            <v>6</v>
          </cell>
          <cell r="AO3153">
            <v>6</v>
          </cell>
          <cell r="AP3153">
            <v>0</v>
          </cell>
          <cell r="AQ3153">
            <v>0</v>
          </cell>
          <cell r="AR3153">
            <v>6</v>
          </cell>
          <cell r="BF3153">
            <v>9</v>
          </cell>
          <cell r="BG3153">
            <v>29.07</v>
          </cell>
          <cell r="BH3153">
            <v>29.07</v>
          </cell>
          <cell r="BI3153">
            <v>6</v>
          </cell>
          <cell r="BJ3153">
            <v>0</v>
          </cell>
        </row>
        <row r="3154">
          <cell r="D3154" t="str">
            <v>Vysoká škola múzických umení v Bratislave</v>
          </cell>
          <cell r="E3154" t="str">
            <v>Hudobná a tanečná fakulta</v>
          </cell>
          <cell r="AN3154">
            <v>1</v>
          </cell>
          <cell r="AO3154">
            <v>1</v>
          </cell>
          <cell r="AP3154">
            <v>0</v>
          </cell>
          <cell r="AQ3154">
            <v>0</v>
          </cell>
          <cell r="AR3154">
            <v>1</v>
          </cell>
          <cell r="BF3154">
            <v>1.5</v>
          </cell>
          <cell r="BG3154">
            <v>4.8449999999999998</v>
          </cell>
          <cell r="BH3154">
            <v>4.5394594594594588</v>
          </cell>
          <cell r="BI3154">
            <v>1</v>
          </cell>
          <cell r="BJ3154">
            <v>0</v>
          </cell>
        </row>
        <row r="3155">
          <cell r="D3155" t="str">
            <v>Vysoká škola múzických umení v Bratislave</v>
          </cell>
          <cell r="E3155" t="str">
            <v>Filmová a televízna fakulta</v>
          </cell>
          <cell r="AN3155">
            <v>2</v>
          </cell>
          <cell r="AO3155">
            <v>0</v>
          </cell>
          <cell r="AP3155">
            <v>0</v>
          </cell>
          <cell r="AQ3155">
            <v>0</v>
          </cell>
          <cell r="AR3155">
            <v>2</v>
          </cell>
          <cell r="BF3155">
            <v>8</v>
          </cell>
          <cell r="BG3155">
            <v>8.8000000000000007</v>
          </cell>
          <cell r="BH3155">
            <v>8.8000000000000007</v>
          </cell>
          <cell r="BI3155">
            <v>2</v>
          </cell>
          <cell r="BJ3155">
            <v>2</v>
          </cell>
        </row>
        <row r="3156">
          <cell r="D3156" t="str">
            <v>Vysoká škola múzických umení v Bratislave</v>
          </cell>
          <cell r="E3156" t="str">
            <v>Filmová a televízna fakulta</v>
          </cell>
          <cell r="AN3156">
            <v>6</v>
          </cell>
          <cell r="AO3156">
            <v>6</v>
          </cell>
          <cell r="AP3156">
            <v>0</v>
          </cell>
          <cell r="AQ3156">
            <v>0</v>
          </cell>
          <cell r="AR3156">
            <v>6</v>
          </cell>
          <cell r="BF3156">
            <v>9</v>
          </cell>
          <cell r="BG3156">
            <v>29.07</v>
          </cell>
          <cell r="BH3156">
            <v>29.07</v>
          </cell>
          <cell r="BI3156">
            <v>6</v>
          </cell>
          <cell r="BJ3156">
            <v>0</v>
          </cell>
        </row>
        <row r="3157">
          <cell r="D3157" t="str">
            <v>Vysoká škola múzických umení v Bratislave</v>
          </cell>
          <cell r="E3157" t="str">
            <v>Divadelná fakulta</v>
          </cell>
          <cell r="AN3157">
            <v>8</v>
          </cell>
          <cell r="AO3157">
            <v>8</v>
          </cell>
          <cell r="AP3157">
            <v>0</v>
          </cell>
          <cell r="AQ3157">
            <v>0</v>
          </cell>
          <cell r="AR3157">
            <v>8</v>
          </cell>
          <cell r="BF3157">
            <v>12</v>
          </cell>
          <cell r="BG3157">
            <v>38.76</v>
          </cell>
          <cell r="BH3157">
            <v>38.76</v>
          </cell>
          <cell r="BI3157">
            <v>8</v>
          </cell>
          <cell r="BJ3157">
            <v>0</v>
          </cell>
        </row>
        <row r="3158">
          <cell r="D3158" t="str">
            <v>Vysoká škola múzických umení v Bratislave</v>
          </cell>
          <cell r="E3158" t="str">
            <v>Divadelná fakulta</v>
          </cell>
          <cell r="AN3158">
            <v>3</v>
          </cell>
          <cell r="AO3158">
            <v>3</v>
          </cell>
          <cell r="AP3158">
            <v>0</v>
          </cell>
          <cell r="AQ3158">
            <v>0</v>
          </cell>
          <cell r="AR3158">
            <v>3</v>
          </cell>
          <cell r="BF3158">
            <v>4.5</v>
          </cell>
          <cell r="BG3158">
            <v>14.535</v>
          </cell>
          <cell r="BH3158">
            <v>14.535</v>
          </cell>
          <cell r="BI3158">
            <v>3</v>
          </cell>
          <cell r="BJ3158">
            <v>0</v>
          </cell>
        </row>
        <row r="3159">
          <cell r="D3159" t="str">
            <v>Vysoká škola múzických umení v Bratislave</v>
          </cell>
          <cell r="E3159" t="str">
            <v>Hudobná a tanečná fakulta</v>
          </cell>
          <cell r="AN3159">
            <v>1</v>
          </cell>
          <cell r="AO3159">
            <v>1</v>
          </cell>
          <cell r="AP3159">
            <v>0</v>
          </cell>
          <cell r="AQ3159">
            <v>0</v>
          </cell>
          <cell r="AR3159">
            <v>1</v>
          </cell>
          <cell r="BF3159">
            <v>1.5</v>
          </cell>
          <cell r="BG3159">
            <v>4.8449999999999998</v>
          </cell>
          <cell r="BH3159">
            <v>4.5394594594594588</v>
          </cell>
          <cell r="BI3159">
            <v>1</v>
          </cell>
          <cell r="BJ3159">
            <v>0</v>
          </cell>
        </row>
        <row r="3160">
          <cell r="D3160" t="str">
            <v>Technická univerzita vo Zvolene</v>
          </cell>
          <cell r="E3160" t="str">
            <v>Drevárska fakulta</v>
          </cell>
          <cell r="AN3160">
            <v>26</v>
          </cell>
          <cell r="AO3160">
            <v>26</v>
          </cell>
          <cell r="AP3160">
            <v>0</v>
          </cell>
          <cell r="AQ3160">
            <v>0</v>
          </cell>
          <cell r="AR3160">
            <v>26</v>
          </cell>
          <cell r="BF3160">
            <v>39</v>
          </cell>
          <cell r="BG3160">
            <v>125.97</v>
          </cell>
          <cell r="BH3160">
            <v>102.35062499999999</v>
          </cell>
          <cell r="BI3160">
            <v>26</v>
          </cell>
          <cell r="BJ3160">
            <v>0</v>
          </cell>
        </row>
        <row r="3161">
          <cell r="D3161" t="str">
            <v>Technická univerzita vo Zvolene</v>
          </cell>
          <cell r="E3161" t="str">
            <v>Lesnícka fakulta</v>
          </cell>
          <cell r="AN3161">
            <v>37</v>
          </cell>
          <cell r="AO3161">
            <v>38</v>
          </cell>
          <cell r="AP3161">
            <v>0</v>
          </cell>
          <cell r="AQ3161">
            <v>0</v>
          </cell>
          <cell r="AR3161">
            <v>37</v>
          </cell>
          <cell r="BF3161">
            <v>55.5</v>
          </cell>
          <cell r="BG3161">
            <v>88.245000000000005</v>
          </cell>
          <cell r="BH3161">
            <v>73.537500000000009</v>
          </cell>
          <cell r="BI3161">
            <v>38</v>
          </cell>
          <cell r="BJ3161">
            <v>0</v>
          </cell>
        </row>
        <row r="3162">
          <cell r="D3162" t="str">
            <v>Technická univerzita vo Zvolene</v>
          </cell>
          <cell r="E3162" t="str">
            <v>Lesnícka fakulta</v>
          </cell>
          <cell r="AN3162">
            <v>3</v>
          </cell>
          <cell r="AO3162">
            <v>0</v>
          </cell>
          <cell r="AP3162">
            <v>0</v>
          </cell>
          <cell r="AQ3162">
            <v>0</v>
          </cell>
          <cell r="AR3162">
            <v>3</v>
          </cell>
          <cell r="BF3162">
            <v>12</v>
          </cell>
          <cell r="BG3162">
            <v>25.56</v>
          </cell>
          <cell r="BH3162">
            <v>8.5200000000000014</v>
          </cell>
          <cell r="BI3162">
            <v>3</v>
          </cell>
          <cell r="BJ3162">
            <v>3</v>
          </cell>
        </row>
        <row r="3163">
          <cell r="D3163" t="str">
            <v>Technická univerzita vo Zvolene</v>
          </cell>
          <cell r="E3163" t="str">
            <v>Drevárska fakulta</v>
          </cell>
          <cell r="AN3163">
            <v>1</v>
          </cell>
          <cell r="AO3163">
            <v>0</v>
          </cell>
          <cell r="AP3163">
            <v>0</v>
          </cell>
          <cell r="AQ3163">
            <v>1</v>
          </cell>
          <cell r="AR3163">
            <v>1</v>
          </cell>
          <cell r="BF3163">
            <v>4</v>
          </cell>
          <cell r="BG3163">
            <v>8.52</v>
          </cell>
          <cell r="BH3163">
            <v>8.52</v>
          </cell>
          <cell r="BI3163">
            <v>1</v>
          </cell>
          <cell r="BJ3163">
            <v>1</v>
          </cell>
        </row>
        <row r="3164">
          <cell r="D3164" t="str">
            <v>Technická univerzita vo Zvolene</v>
          </cell>
          <cell r="E3164">
            <v>0</v>
          </cell>
          <cell r="AN3164">
            <v>66</v>
          </cell>
          <cell r="AO3164">
            <v>68</v>
          </cell>
          <cell r="AP3164">
            <v>0</v>
          </cell>
          <cell r="AQ3164">
            <v>0</v>
          </cell>
          <cell r="AR3164">
            <v>66</v>
          </cell>
          <cell r="BF3164">
            <v>99</v>
          </cell>
          <cell r="BG3164">
            <v>102.96000000000001</v>
          </cell>
          <cell r="BH3164">
            <v>90.09</v>
          </cell>
          <cell r="BI3164">
            <v>68</v>
          </cell>
          <cell r="BJ3164">
            <v>0</v>
          </cell>
        </row>
        <row r="3165">
          <cell r="D3165" t="str">
            <v>Technická univerzita vo Zvolene</v>
          </cell>
          <cell r="E3165" t="str">
            <v>Drevárska fakulta</v>
          </cell>
          <cell r="AN3165">
            <v>70</v>
          </cell>
          <cell r="AO3165">
            <v>70</v>
          </cell>
          <cell r="AP3165">
            <v>0</v>
          </cell>
          <cell r="AQ3165">
            <v>0</v>
          </cell>
          <cell r="AR3165">
            <v>70</v>
          </cell>
          <cell r="BF3165">
            <v>105</v>
          </cell>
          <cell r="BG3165">
            <v>155.4</v>
          </cell>
          <cell r="BH3165">
            <v>115.64651162790697</v>
          </cell>
          <cell r="BI3165">
            <v>70</v>
          </cell>
          <cell r="BJ3165">
            <v>0</v>
          </cell>
        </row>
        <row r="3166">
          <cell r="D3166" t="str">
            <v>Technická univerzita vo Zvolene</v>
          </cell>
          <cell r="E3166" t="str">
            <v>Lesnícka fakulta</v>
          </cell>
          <cell r="AN3166">
            <v>124</v>
          </cell>
          <cell r="AO3166">
            <v>132</v>
          </cell>
          <cell r="AP3166">
            <v>0</v>
          </cell>
          <cell r="AQ3166">
            <v>0</v>
          </cell>
          <cell r="AR3166">
            <v>124</v>
          </cell>
          <cell r="BF3166">
            <v>186</v>
          </cell>
          <cell r="BG3166">
            <v>295.74</v>
          </cell>
          <cell r="BH3166">
            <v>235.6678125</v>
          </cell>
          <cell r="BI3166">
            <v>132</v>
          </cell>
          <cell r="BJ3166">
            <v>0</v>
          </cell>
        </row>
        <row r="3167">
          <cell r="D3167" t="str">
            <v>Technická univerzita vo Zvolene</v>
          </cell>
          <cell r="E3167" t="str">
            <v>Lesnícka fakulta</v>
          </cell>
          <cell r="AN3167">
            <v>4</v>
          </cell>
          <cell r="AO3167">
            <v>0</v>
          </cell>
          <cell r="AP3167">
            <v>0</v>
          </cell>
          <cell r="AQ3167">
            <v>0</v>
          </cell>
          <cell r="AR3167">
            <v>4</v>
          </cell>
          <cell r="BF3167">
            <v>16</v>
          </cell>
          <cell r="BG3167">
            <v>34.08</v>
          </cell>
          <cell r="BH3167">
            <v>22.720000000000002</v>
          </cell>
          <cell r="BI3167">
            <v>4</v>
          </cell>
          <cell r="BJ3167">
            <v>4</v>
          </cell>
        </row>
        <row r="3168">
          <cell r="D3168" t="str">
            <v>Technická univerzita vo Zvolene</v>
          </cell>
          <cell r="E3168" t="str">
            <v>Drevárska fakulta</v>
          </cell>
          <cell r="AN3168">
            <v>8</v>
          </cell>
          <cell r="AO3168">
            <v>9</v>
          </cell>
          <cell r="AP3168">
            <v>0</v>
          </cell>
          <cell r="AQ3168">
            <v>0</v>
          </cell>
          <cell r="AR3168">
            <v>8</v>
          </cell>
          <cell r="BF3168">
            <v>12</v>
          </cell>
          <cell r="BG3168">
            <v>17.759999999999998</v>
          </cell>
          <cell r="BH3168">
            <v>5.92</v>
          </cell>
          <cell r="BI3168">
            <v>9</v>
          </cell>
          <cell r="BJ3168">
            <v>0</v>
          </cell>
        </row>
        <row r="3169">
          <cell r="D3169" t="str">
            <v>Technická univerzita vo Zvolene</v>
          </cell>
          <cell r="E3169" t="str">
            <v>Drevárska fakulta</v>
          </cell>
          <cell r="AN3169">
            <v>13</v>
          </cell>
          <cell r="AO3169">
            <v>13</v>
          </cell>
          <cell r="AP3169">
            <v>0</v>
          </cell>
          <cell r="AQ3169">
            <v>0</v>
          </cell>
          <cell r="AR3169">
            <v>13</v>
          </cell>
          <cell r="BF3169">
            <v>19.5</v>
          </cell>
          <cell r="BG3169">
            <v>28.86</v>
          </cell>
          <cell r="BH3169">
            <v>16.491428571428571</v>
          </cell>
          <cell r="BI3169">
            <v>13</v>
          </cell>
          <cell r="BJ3169">
            <v>0</v>
          </cell>
        </row>
        <row r="3170">
          <cell r="D3170" t="str">
            <v>Technická univerzita vo Zvolene</v>
          </cell>
          <cell r="E3170" t="str">
            <v>Fakulta ekológie a environmentalistiky</v>
          </cell>
          <cell r="AN3170">
            <v>13</v>
          </cell>
          <cell r="AO3170">
            <v>13</v>
          </cell>
          <cell r="AP3170">
            <v>0</v>
          </cell>
          <cell r="AQ3170">
            <v>0</v>
          </cell>
          <cell r="AR3170">
            <v>13</v>
          </cell>
          <cell r="BF3170">
            <v>19.5</v>
          </cell>
          <cell r="BG3170">
            <v>28.86</v>
          </cell>
          <cell r="BH3170">
            <v>20.989090909090908</v>
          </cell>
          <cell r="BI3170">
            <v>13</v>
          </cell>
          <cell r="BJ3170">
            <v>0</v>
          </cell>
        </row>
        <row r="3171">
          <cell r="D3171" t="str">
            <v>Technická univerzita vo Zvolene</v>
          </cell>
          <cell r="E3171" t="str">
            <v>Fakulta ekológie a environmentalistiky</v>
          </cell>
          <cell r="AN3171">
            <v>14</v>
          </cell>
          <cell r="AO3171">
            <v>14</v>
          </cell>
          <cell r="AP3171">
            <v>0</v>
          </cell>
          <cell r="AQ3171">
            <v>0</v>
          </cell>
          <cell r="AR3171">
            <v>14</v>
          </cell>
          <cell r="BF3171">
            <v>21</v>
          </cell>
          <cell r="BG3171">
            <v>31.08</v>
          </cell>
          <cell r="BH3171">
            <v>17.759999999999998</v>
          </cell>
          <cell r="BI3171">
            <v>14</v>
          </cell>
          <cell r="BJ3171">
            <v>0</v>
          </cell>
        </row>
        <row r="3172">
          <cell r="D3172" t="str">
            <v>Technická univerzita vo Zvolene</v>
          </cell>
          <cell r="E3172" t="str">
            <v>Fakulta techniky</v>
          </cell>
          <cell r="AN3172">
            <v>35</v>
          </cell>
          <cell r="AO3172">
            <v>35</v>
          </cell>
          <cell r="AP3172">
            <v>0</v>
          </cell>
          <cell r="AQ3172">
            <v>0</v>
          </cell>
          <cell r="AR3172">
            <v>35</v>
          </cell>
          <cell r="BF3172">
            <v>52.5</v>
          </cell>
          <cell r="BG3172">
            <v>77.7</v>
          </cell>
          <cell r="BH3172">
            <v>67.987499999999997</v>
          </cell>
          <cell r="BI3172">
            <v>35</v>
          </cell>
          <cell r="BJ3172">
            <v>0</v>
          </cell>
        </row>
        <row r="3173">
          <cell r="D3173" t="str">
            <v>Technická univerzita vo Zvolene</v>
          </cell>
          <cell r="E3173" t="str">
            <v>Fakulta techniky</v>
          </cell>
          <cell r="AN3173">
            <v>4</v>
          </cell>
          <cell r="AO3173">
            <v>4</v>
          </cell>
          <cell r="AP3173">
            <v>0</v>
          </cell>
          <cell r="AQ3173">
            <v>0</v>
          </cell>
          <cell r="AR3173">
            <v>4</v>
          </cell>
          <cell r="BF3173">
            <v>6</v>
          </cell>
          <cell r="BG3173">
            <v>8.879999999999999</v>
          </cell>
          <cell r="BH3173">
            <v>7.1039999999999992</v>
          </cell>
          <cell r="BI3173">
            <v>4</v>
          </cell>
          <cell r="BJ3173">
            <v>0</v>
          </cell>
        </row>
        <row r="3174">
          <cell r="D3174" t="str">
            <v>Technická univerzita vo Zvolene</v>
          </cell>
          <cell r="E3174" t="str">
            <v>Fakulta techniky</v>
          </cell>
          <cell r="AN3174">
            <v>7</v>
          </cell>
          <cell r="AO3174">
            <v>8</v>
          </cell>
          <cell r="AP3174">
            <v>8</v>
          </cell>
          <cell r="AQ3174">
            <v>7</v>
          </cell>
          <cell r="AR3174">
            <v>7</v>
          </cell>
          <cell r="BF3174">
            <v>5.8</v>
          </cell>
          <cell r="BG3174">
            <v>8.5839999999999996</v>
          </cell>
          <cell r="BH3174">
            <v>8.5839999999999996</v>
          </cell>
          <cell r="BI3174">
            <v>8</v>
          </cell>
          <cell r="BJ3174">
            <v>0</v>
          </cell>
        </row>
        <row r="3175">
          <cell r="D3175" t="str">
            <v>Technická univerzita vo Zvolene</v>
          </cell>
          <cell r="E3175" t="str">
            <v>Fakulta ekológie a environmentalistiky</v>
          </cell>
          <cell r="AN3175">
            <v>0</v>
          </cell>
          <cell r="AO3175">
            <v>0</v>
          </cell>
          <cell r="AP3175">
            <v>0</v>
          </cell>
          <cell r="AQ3175">
            <v>0</v>
          </cell>
          <cell r="AR3175">
            <v>0</v>
          </cell>
          <cell r="BF3175">
            <v>0</v>
          </cell>
          <cell r="BG3175">
            <v>0</v>
          </cell>
          <cell r="BH3175">
            <v>0</v>
          </cell>
          <cell r="BI3175">
            <v>8</v>
          </cell>
          <cell r="BJ3175">
            <v>0</v>
          </cell>
        </row>
        <row r="3176">
          <cell r="D3176" t="str">
            <v>Technická univerzita vo Zvolene</v>
          </cell>
          <cell r="E3176" t="str">
            <v>Fakulta ekológie a environmentalistiky</v>
          </cell>
          <cell r="AN3176">
            <v>0</v>
          </cell>
          <cell r="AO3176">
            <v>0</v>
          </cell>
          <cell r="AP3176">
            <v>0</v>
          </cell>
          <cell r="AQ3176">
            <v>0</v>
          </cell>
          <cell r="AR3176">
            <v>0</v>
          </cell>
          <cell r="BF3176">
            <v>0</v>
          </cell>
          <cell r="BG3176">
            <v>0</v>
          </cell>
          <cell r="BH3176">
            <v>0</v>
          </cell>
          <cell r="BI3176">
            <v>4</v>
          </cell>
          <cell r="BJ3176">
            <v>0</v>
          </cell>
        </row>
        <row r="3177">
          <cell r="D3177" t="str">
            <v>Technická univerzita vo Zvolene</v>
          </cell>
          <cell r="E3177" t="str">
            <v>Fakulta techniky</v>
          </cell>
          <cell r="AN3177">
            <v>11</v>
          </cell>
          <cell r="AO3177">
            <v>12</v>
          </cell>
          <cell r="AP3177">
            <v>0</v>
          </cell>
          <cell r="AQ3177">
            <v>0</v>
          </cell>
          <cell r="AR3177">
            <v>11</v>
          </cell>
          <cell r="BF3177">
            <v>8.6</v>
          </cell>
          <cell r="BG3177">
            <v>12.728</v>
          </cell>
          <cell r="BH3177">
            <v>11.956606060606061</v>
          </cell>
          <cell r="BI3177">
            <v>12</v>
          </cell>
          <cell r="BJ3177">
            <v>0</v>
          </cell>
        </row>
        <row r="3178">
          <cell r="D3178" t="str">
            <v>Akadémia Policajného zboru</v>
          </cell>
          <cell r="E3178">
            <v>0</v>
          </cell>
          <cell r="AN3178">
            <v>101</v>
          </cell>
          <cell r="AO3178">
            <v>101</v>
          </cell>
          <cell r="AP3178">
            <v>0</v>
          </cell>
          <cell r="AQ3178">
            <v>0</v>
          </cell>
          <cell r="AR3178">
            <v>101</v>
          </cell>
          <cell r="BF3178">
            <v>151.5</v>
          </cell>
          <cell r="BG3178">
            <v>224.22</v>
          </cell>
          <cell r="BH3178">
            <v>194.71736842105264</v>
          </cell>
          <cell r="BI3178">
            <v>101</v>
          </cell>
          <cell r="BJ3178">
            <v>0</v>
          </cell>
        </row>
        <row r="3179">
          <cell r="D3179" t="str">
            <v>Akadémia Policajného zboru</v>
          </cell>
          <cell r="E3179">
            <v>0</v>
          </cell>
          <cell r="AN3179">
            <v>70</v>
          </cell>
          <cell r="AO3179">
            <v>70</v>
          </cell>
          <cell r="AP3179">
            <v>0</v>
          </cell>
          <cell r="AQ3179">
            <v>0</v>
          </cell>
          <cell r="AR3179">
            <v>70</v>
          </cell>
          <cell r="BF3179">
            <v>105</v>
          </cell>
          <cell r="BG3179">
            <v>155.4</v>
          </cell>
          <cell r="BH3179">
            <v>133.71627906976744</v>
          </cell>
          <cell r="BI3179">
            <v>70</v>
          </cell>
          <cell r="BJ3179">
            <v>0</v>
          </cell>
        </row>
        <row r="3180">
          <cell r="D3180" t="str">
            <v>Univerzita Komenského v Bratislave</v>
          </cell>
          <cell r="E3180" t="str">
            <v>Farmaceutická fakulta</v>
          </cell>
          <cell r="AN3180">
            <v>0</v>
          </cell>
          <cell r="AO3180">
            <v>0</v>
          </cell>
          <cell r="AP3180">
            <v>0</v>
          </cell>
          <cell r="AQ3180">
            <v>0</v>
          </cell>
          <cell r="AR3180">
            <v>0</v>
          </cell>
          <cell r="BF3180">
            <v>0</v>
          </cell>
          <cell r="BG3180">
            <v>0</v>
          </cell>
          <cell r="BH3180">
            <v>0</v>
          </cell>
          <cell r="BI3180">
            <v>2</v>
          </cell>
          <cell r="BJ3180">
            <v>0</v>
          </cell>
        </row>
        <row r="3181">
          <cell r="D3181" t="str">
            <v>Paneurópska vysoká škola</v>
          </cell>
          <cell r="E3181" t="str">
            <v>Fakulta masmédií</v>
          </cell>
          <cell r="AN3181">
            <v>0</v>
          </cell>
          <cell r="AO3181">
            <v>70</v>
          </cell>
          <cell r="AP3181">
            <v>0</v>
          </cell>
          <cell r="AQ3181">
            <v>0</v>
          </cell>
          <cell r="AR3181">
            <v>0</v>
          </cell>
          <cell r="BF3181">
            <v>0</v>
          </cell>
          <cell r="BG3181">
            <v>0</v>
          </cell>
          <cell r="BH3181">
            <v>0</v>
          </cell>
          <cell r="BI3181">
            <v>70</v>
          </cell>
          <cell r="BJ3181">
            <v>0</v>
          </cell>
        </row>
        <row r="3182">
          <cell r="D3182" t="str">
            <v>Paneurópska vysoká škola</v>
          </cell>
          <cell r="E3182" t="str">
            <v>Fakulta práva</v>
          </cell>
          <cell r="AN3182">
            <v>1</v>
          </cell>
          <cell r="AO3182">
            <v>26</v>
          </cell>
          <cell r="AP3182">
            <v>0</v>
          </cell>
          <cell r="AQ3182">
            <v>0</v>
          </cell>
          <cell r="AR3182">
            <v>1</v>
          </cell>
          <cell r="BF3182">
            <v>0.7</v>
          </cell>
          <cell r="BG3182">
            <v>0.7</v>
          </cell>
          <cell r="BH3182">
            <v>0.62564102564102564</v>
          </cell>
          <cell r="BI3182">
            <v>26</v>
          </cell>
          <cell r="BJ3182">
            <v>0</v>
          </cell>
        </row>
        <row r="3183">
          <cell r="D3183" t="str">
            <v>Paneurópska vysoká škola</v>
          </cell>
          <cell r="E3183" t="str">
            <v>Fakulta psychológie</v>
          </cell>
          <cell r="AN3183">
            <v>0</v>
          </cell>
          <cell r="AO3183">
            <v>0</v>
          </cell>
          <cell r="AP3183">
            <v>0</v>
          </cell>
          <cell r="AQ3183">
            <v>0</v>
          </cell>
          <cell r="AR3183">
            <v>0</v>
          </cell>
          <cell r="BF3183">
            <v>0</v>
          </cell>
          <cell r="BG3183">
            <v>0</v>
          </cell>
          <cell r="BH3183">
            <v>0</v>
          </cell>
          <cell r="BI3183">
            <v>2</v>
          </cell>
          <cell r="BJ3183">
            <v>0</v>
          </cell>
        </row>
        <row r="3184">
          <cell r="D3184" t="str">
            <v>Paneurópska vysoká škola</v>
          </cell>
          <cell r="E3184" t="str">
            <v>Fakulta práva</v>
          </cell>
          <cell r="AN3184">
            <v>0</v>
          </cell>
          <cell r="AO3184">
            <v>8</v>
          </cell>
          <cell r="AP3184">
            <v>0</v>
          </cell>
          <cell r="AQ3184">
            <v>0</v>
          </cell>
          <cell r="AR3184">
            <v>0</v>
          </cell>
          <cell r="BF3184">
            <v>0</v>
          </cell>
          <cell r="BG3184">
            <v>0</v>
          </cell>
          <cell r="BH3184">
            <v>0</v>
          </cell>
          <cell r="BI3184">
            <v>8</v>
          </cell>
          <cell r="BJ3184">
            <v>0</v>
          </cell>
        </row>
        <row r="3185">
          <cell r="D3185" t="str">
            <v>Žilinská univerzita v Žiline</v>
          </cell>
          <cell r="E3185" t="str">
            <v>Fakulta bezpečnostného inžinierstva</v>
          </cell>
          <cell r="AN3185">
            <v>41</v>
          </cell>
          <cell r="AO3185">
            <v>41</v>
          </cell>
          <cell r="AP3185">
            <v>0</v>
          </cell>
          <cell r="AQ3185">
            <v>0</v>
          </cell>
          <cell r="AR3185">
            <v>41</v>
          </cell>
          <cell r="BF3185">
            <v>61.5</v>
          </cell>
          <cell r="BG3185">
            <v>91.02</v>
          </cell>
          <cell r="BH3185">
            <v>68.265000000000001</v>
          </cell>
          <cell r="BI3185">
            <v>41</v>
          </cell>
          <cell r="BJ3185">
            <v>0</v>
          </cell>
        </row>
        <row r="3186">
          <cell r="D3186" t="str">
            <v>Žilinská univerzita v Žiline</v>
          </cell>
          <cell r="E3186" t="str">
            <v>Fakulta bezpečnostného inžinierstva</v>
          </cell>
          <cell r="AN3186">
            <v>0</v>
          </cell>
          <cell r="AO3186">
            <v>0</v>
          </cell>
          <cell r="AP3186">
            <v>0</v>
          </cell>
          <cell r="AQ3186">
            <v>0</v>
          </cell>
          <cell r="AR3186">
            <v>0</v>
          </cell>
          <cell r="BF3186">
            <v>0</v>
          </cell>
          <cell r="BG3186">
            <v>0</v>
          </cell>
          <cell r="BH3186">
            <v>0</v>
          </cell>
          <cell r="BI3186">
            <v>20</v>
          </cell>
          <cell r="BJ3186">
            <v>0</v>
          </cell>
        </row>
        <row r="3187">
          <cell r="D3187" t="str">
            <v>Žilinská univerzita v Žiline</v>
          </cell>
          <cell r="E3187" t="str">
            <v>Stavebná fakulta</v>
          </cell>
          <cell r="AN3187">
            <v>13</v>
          </cell>
          <cell r="AO3187">
            <v>13</v>
          </cell>
          <cell r="AP3187">
            <v>13</v>
          </cell>
          <cell r="AQ3187">
            <v>13</v>
          </cell>
          <cell r="AR3187">
            <v>13</v>
          </cell>
          <cell r="BF3187">
            <v>19.5</v>
          </cell>
          <cell r="BG3187">
            <v>28.86</v>
          </cell>
          <cell r="BH3187">
            <v>28.86</v>
          </cell>
          <cell r="BI3187">
            <v>13</v>
          </cell>
          <cell r="BJ3187">
            <v>0</v>
          </cell>
        </row>
        <row r="3188">
          <cell r="D3188" t="str">
            <v>Žilinská univerzita v Žiline</v>
          </cell>
          <cell r="E3188" t="str">
            <v>Strojnícka fakulta</v>
          </cell>
          <cell r="AN3188">
            <v>5</v>
          </cell>
          <cell r="AO3188">
            <v>0</v>
          </cell>
          <cell r="AP3188">
            <v>0</v>
          </cell>
          <cell r="AQ3188">
            <v>5</v>
          </cell>
          <cell r="AR3188">
            <v>5</v>
          </cell>
          <cell r="BF3188">
            <v>20</v>
          </cell>
          <cell r="BG3188">
            <v>42.599999999999994</v>
          </cell>
          <cell r="BH3188">
            <v>42.599999999999994</v>
          </cell>
          <cell r="BI3188">
            <v>5</v>
          </cell>
          <cell r="BJ3188">
            <v>5</v>
          </cell>
        </row>
        <row r="3189">
          <cell r="D3189" t="str">
            <v>Žilinská univerzita v Žiline</v>
          </cell>
          <cell r="E3189" t="str">
            <v>Fakulta bezpečnostného inžinierstva</v>
          </cell>
          <cell r="AN3189">
            <v>1</v>
          </cell>
          <cell r="AO3189">
            <v>0</v>
          </cell>
          <cell r="AP3189">
            <v>0</v>
          </cell>
          <cell r="AQ3189">
            <v>0</v>
          </cell>
          <cell r="AR3189">
            <v>0</v>
          </cell>
          <cell r="BF3189">
            <v>0</v>
          </cell>
          <cell r="BG3189">
            <v>0</v>
          </cell>
          <cell r="BH3189">
            <v>0</v>
          </cell>
          <cell r="BI3189">
            <v>23</v>
          </cell>
          <cell r="BJ3189">
            <v>0</v>
          </cell>
        </row>
        <row r="3190">
          <cell r="D3190" t="str">
            <v>Žilinská univerzita v Žiline</v>
          </cell>
          <cell r="E3190" t="str">
            <v>Stavebná fakulta</v>
          </cell>
          <cell r="AN3190">
            <v>6</v>
          </cell>
          <cell r="AO3190">
            <v>6</v>
          </cell>
          <cell r="AP3190">
            <v>0</v>
          </cell>
          <cell r="AQ3190">
            <v>0</v>
          </cell>
          <cell r="AR3190">
            <v>6</v>
          </cell>
          <cell r="BF3190">
            <v>9</v>
          </cell>
          <cell r="BG3190">
            <v>13.32</v>
          </cell>
          <cell r="BH3190">
            <v>11.544</v>
          </cell>
          <cell r="BI3190">
            <v>6</v>
          </cell>
          <cell r="BJ3190">
            <v>0</v>
          </cell>
        </row>
        <row r="3191">
          <cell r="D3191" t="str">
            <v>Žilinská univerzita v Žiline</v>
          </cell>
          <cell r="E3191" t="str">
            <v>Fakulta bezpečnostného inžinierstva</v>
          </cell>
          <cell r="AN3191">
            <v>0</v>
          </cell>
          <cell r="AO3191">
            <v>0</v>
          </cell>
          <cell r="AP3191">
            <v>0</v>
          </cell>
          <cell r="AQ3191">
            <v>0</v>
          </cell>
          <cell r="AR3191">
            <v>0</v>
          </cell>
          <cell r="BF3191">
            <v>0</v>
          </cell>
          <cell r="BG3191">
            <v>0</v>
          </cell>
          <cell r="BH3191">
            <v>0</v>
          </cell>
          <cell r="BI3191">
            <v>11</v>
          </cell>
          <cell r="BJ3191">
            <v>0</v>
          </cell>
        </row>
        <row r="3192">
          <cell r="D3192" t="str">
            <v>Žilinská univerzita v Žiline</v>
          </cell>
          <cell r="E3192" t="str">
            <v>Strojnícka fakulta</v>
          </cell>
          <cell r="AN3192">
            <v>22</v>
          </cell>
          <cell r="AO3192">
            <v>22</v>
          </cell>
          <cell r="AP3192">
            <v>22</v>
          </cell>
          <cell r="AQ3192">
            <v>22</v>
          </cell>
          <cell r="AR3192">
            <v>22</v>
          </cell>
          <cell r="BF3192">
            <v>33</v>
          </cell>
          <cell r="BG3192">
            <v>48.839999999999996</v>
          </cell>
          <cell r="BH3192">
            <v>48.839999999999996</v>
          </cell>
          <cell r="BI3192">
            <v>22</v>
          </cell>
          <cell r="BJ3192">
            <v>0</v>
          </cell>
        </row>
        <row r="3193">
          <cell r="D3193" t="str">
            <v>Žilinská univerzita v Žiline</v>
          </cell>
          <cell r="E3193" t="str">
            <v>Fakulta elektrotechniky a informačných technológií</v>
          </cell>
          <cell r="AN3193">
            <v>7</v>
          </cell>
          <cell r="AO3193">
            <v>7</v>
          </cell>
          <cell r="AP3193">
            <v>0</v>
          </cell>
          <cell r="AQ3193">
            <v>0</v>
          </cell>
          <cell r="AR3193">
            <v>7</v>
          </cell>
          <cell r="BF3193">
            <v>10.5</v>
          </cell>
          <cell r="BG3193">
            <v>15.54</v>
          </cell>
          <cell r="BH3193">
            <v>11.654999999999999</v>
          </cell>
          <cell r="BI3193">
            <v>7</v>
          </cell>
          <cell r="BJ3193">
            <v>0</v>
          </cell>
        </row>
        <row r="3194">
          <cell r="D3194" t="str">
            <v>Žilinská univerzita v Žiline</v>
          </cell>
          <cell r="E3194" t="str">
            <v>Fakulta elektrotechniky a informačných technológií</v>
          </cell>
          <cell r="AN3194">
            <v>12</v>
          </cell>
          <cell r="AO3194">
            <v>12</v>
          </cell>
          <cell r="AP3194">
            <v>12</v>
          </cell>
          <cell r="AQ3194">
            <v>12</v>
          </cell>
          <cell r="AR3194">
            <v>12</v>
          </cell>
          <cell r="BF3194">
            <v>18</v>
          </cell>
          <cell r="BG3194">
            <v>26.64</v>
          </cell>
          <cell r="BH3194">
            <v>26.64</v>
          </cell>
          <cell r="BI3194">
            <v>12</v>
          </cell>
          <cell r="BJ3194">
            <v>0</v>
          </cell>
        </row>
        <row r="3195">
          <cell r="D3195" t="str">
            <v>Žilinská univerzita v Žiline</v>
          </cell>
          <cell r="E3195" t="str">
            <v>Strojnícka fakulta</v>
          </cell>
          <cell r="AN3195">
            <v>15</v>
          </cell>
          <cell r="AO3195">
            <v>15</v>
          </cell>
          <cell r="AP3195">
            <v>15</v>
          </cell>
          <cell r="AQ3195">
            <v>15</v>
          </cell>
          <cell r="AR3195">
            <v>15</v>
          </cell>
          <cell r="BF3195">
            <v>22.5</v>
          </cell>
          <cell r="BG3195">
            <v>33.299999999999997</v>
          </cell>
          <cell r="BH3195">
            <v>33.299999999999997</v>
          </cell>
          <cell r="BI3195">
            <v>15</v>
          </cell>
          <cell r="BJ3195">
            <v>0</v>
          </cell>
        </row>
        <row r="3196">
          <cell r="D3196" t="str">
            <v>Žilinská univerzita v Žiline</v>
          </cell>
          <cell r="E3196" t="str">
            <v>Strojnícka fakulta</v>
          </cell>
          <cell r="AN3196">
            <v>58</v>
          </cell>
          <cell r="AO3196">
            <v>59</v>
          </cell>
          <cell r="AP3196">
            <v>0</v>
          </cell>
          <cell r="AQ3196">
            <v>0</v>
          </cell>
          <cell r="AR3196">
            <v>58</v>
          </cell>
          <cell r="BF3196">
            <v>87</v>
          </cell>
          <cell r="BG3196">
            <v>128.76</v>
          </cell>
          <cell r="BH3196">
            <v>107.3</v>
          </cell>
          <cell r="BI3196">
            <v>59</v>
          </cell>
          <cell r="BJ3196">
            <v>0</v>
          </cell>
        </row>
        <row r="3197">
          <cell r="D3197" t="str">
            <v>Žilinská univerzita v Žiline</v>
          </cell>
          <cell r="E3197" t="str">
            <v>Strojnícka fakulta</v>
          </cell>
          <cell r="AN3197">
            <v>32</v>
          </cell>
          <cell r="AO3197">
            <v>32</v>
          </cell>
          <cell r="AP3197">
            <v>32</v>
          </cell>
          <cell r="AQ3197">
            <v>32</v>
          </cell>
          <cell r="AR3197">
            <v>32</v>
          </cell>
          <cell r="BF3197">
            <v>48</v>
          </cell>
          <cell r="BG3197">
            <v>71.039999999999992</v>
          </cell>
          <cell r="BH3197">
            <v>71.039999999999992</v>
          </cell>
          <cell r="BI3197">
            <v>32</v>
          </cell>
          <cell r="BJ3197">
            <v>0</v>
          </cell>
        </row>
        <row r="3198">
          <cell r="D3198" t="str">
            <v>Žilinská univerzita v Žiline</v>
          </cell>
          <cell r="E3198" t="str">
            <v>Strojnícka fakulta</v>
          </cell>
          <cell r="AN3198">
            <v>21</v>
          </cell>
          <cell r="AO3198">
            <v>21</v>
          </cell>
          <cell r="AP3198">
            <v>0</v>
          </cell>
          <cell r="AQ3198">
            <v>0</v>
          </cell>
          <cell r="AR3198">
            <v>21</v>
          </cell>
          <cell r="BF3198">
            <v>31.5</v>
          </cell>
          <cell r="BG3198">
            <v>46.62</v>
          </cell>
          <cell r="BH3198">
            <v>37.878749999999997</v>
          </cell>
          <cell r="BI3198">
            <v>21</v>
          </cell>
          <cell r="BJ3198">
            <v>0</v>
          </cell>
        </row>
        <row r="3199">
          <cell r="D3199" t="str">
            <v>Žilinská univerzita v Žiline</v>
          </cell>
          <cell r="E3199" t="str">
            <v>Fakulta elektrotechniky a informačných technológií</v>
          </cell>
          <cell r="AN3199">
            <v>7</v>
          </cell>
          <cell r="AO3199">
            <v>7</v>
          </cell>
          <cell r="AP3199">
            <v>0</v>
          </cell>
          <cell r="AQ3199">
            <v>0</v>
          </cell>
          <cell r="AR3199">
            <v>7</v>
          </cell>
          <cell r="BF3199">
            <v>10.5</v>
          </cell>
          <cell r="BG3199">
            <v>15.54</v>
          </cell>
          <cell r="BH3199">
            <v>14.43</v>
          </cell>
          <cell r="BI3199">
            <v>7</v>
          </cell>
          <cell r="BJ3199">
            <v>0</v>
          </cell>
        </row>
        <row r="3200">
          <cell r="D3200" t="str">
            <v>Žilinská univerzita v Žiline</v>
          </cell>
          <cell r="E3200" t="str">
            <v>Strojnícka fakulta</v>
          </cell>
          <cell r="AN3200">
            <v>29</v>
          </cell>
          <cell r="AO3200">
            <v>29</v>
          </cell>
          <cell r="AP3200">
            <v>29</v>
          </cell>
          <cell r="AQ3200">
            <v>29</v>
          </cell>
          <cell r="AR3200">
            <v>29</v>
          </cell>
          <cell r="BF3200">
            <v>43.5</v>
          </cell>
          <cell r="BG3200">
            <v>64.38</v>
          </cell>
          <cell r="BH3200">
            <v>64.38</v>
          </cell>
          <cell r="BI3200">
            <v>29</v>
          </cell>
          <cell r="BJ3200">
            <v>0</v>
          </cell>
        </row>
        <row r="3201">
          <cell r="D3201" t="str">
            <v>Žilinská univerzita v Žiline</v>
          </cell>
          <cell r="E3201" t="str">
            <v>Fakulta elektrotechniky a informačných technológií</v>
          </cell>
          <cell r="AN3201">
            <v>20</v>
          </cell>
          <cell r="AO3201">
            <v>21</v>
          </cell>
          <cell r="AP3201">
            <v>0</v>
          </cell>
          <cell r="AQ3201">
            <v>0</v>
          </cell>
          <cell r="AR3201">
            <v>20</v>
          </cell>
          <cell r="BF3201">
            <v>30</v>
          </cell>
          <cell r="BG3201">
            <v>44.4</v>
          </cell>
          <cell r="BH3201">
            <v>39.17647058823529</v>
          </cell>
          <cell r="BI3201">
            <v>21</v>
          </cell>
          <cell r="BJ3201">
            <v>0</v>
          </cell>
        </row>
        <row r="3202">
          <cell r="D3202" t="str">
            <v>Žilinská univerzita v Žiline</v>
          </cell>
          <cell r="E3202" t="str">
            <v>Strojnícka fakulta</v>
          </cell>
          <cell r="AN3202">
            <v>30</v>
          </cell>
          <cell r="AO3202">
            <v>31</v>
          </cell>
          <cell r="AP3202">
            <v>0</v>
          </cell>
          <cell r="AQ3202">
            <v>0</v>
          </cell>
          <cell r="AR3202">
            <v>30</v>
          </cell>
          <cell r="BF3202">
            <v>45</v>
          </cell>
          <cell r="BG3202">
            <v>66.599999999999994</v>
          </cell>
          <cell r="BH3202">
            <v>56.353846153846149</v>
          </cell>
          <cell r="BI3202">
            <v>31</v>
          </cell>
          <cell r="BJ3202">
            <v>0</v>
          </cell>
        </row>
        <row r="3203">
          <cell r="D3203" t="str">
            <v>Žilinská univerzita v Žiline</v>
          </cell>
          <cell r="E3203" t="str">
            <v>Strojnícka fakulta</v>
          </cell>
          <cell r="AN3203">
            <v>21</v>
          </cell>
          <cell r="AO3203">
            <v>21</v>
          </cell>
          <cell r="AP3203">
            <v>0</v>
          </cell>
          <cell r="AQ3203">
            <v>0</v>
          </cell>
          <cell r="AR3203">
            <v>21</v>
          </cell>
          <cell r="BF3203">
            <v>31.5</v>
          </cell>
          <cell r="BG3203">
            <v>46.62</v>
          </cell>
          <cell r="BH3203">
            <v>37.295999999999999</v>
          </cell>
          <cell r="BI3203">
            <v>21</v>
          </cell>
          <cell r="BJ3203">
            <v>0</v>
          </cell>
        </row>
        <row r="3204">
          <cell r="D3204" t="str">
            <v>Žilinská univerzita v Žiline</v>
          </cell>
          <cell r="E3204" t="str">
            <v>Fakulta humanitných vied</v>
          </cell>
          <cell r="AN3204">
            <v>0</v>
          </cell>
          <cell r="AO3204">
            <v>0</v>
          </cell>
          <cell r="AP3204">
            <v>0</v>
          </cell>
          <cell r="AQ3204">
            <v>0</v>
          </cell>
          <cell r="AR3204">
            <v>0</v>
          </cell>
          <cell r="BF3204">
            <v>0</v>
          </cell>
          <cell r="BG3204">
            <v>0</v>
          </cell>
          <cell r="BH3204">
            <v>0</v>
          </cell>
          <cell r="BI3204">
            <v>10</v>
          </cell>
          <cell r="BJ3204">
            <v>0</v>
          </cell>
        </row>
        <row r="3205">
          <cell r="D3205" t="str">
            <v>Žilinská univerzita v Žiline</v>
          </cell>
          <cell r="E3205" t="str">
            <v>Fakulta humanitných vied</v>
          </cell>
          <cell r="AN3205">
            <v>2</v>
          </cell>
          <cell r="AO3205">
            <v>0</v>
          </cell>
          <cell r="AP3205">
            <v>0</v>
          </cell>
          <cell r="AQ3205">
            <v>0</v>
          </cell>
          <cell r="AR3205">
            <v>0</v>
          </cell>
          <cell r="BF3205">
            <v>0</v>
          </cell>
          <cell r="BG3205">
            <v>0</v>
          </cell>
          <cell r="BH3205">
            <v>0</v>
          </cell>
          <cell r="BI3205">
            <v>16</v>
          </cell>
          <cell r="BJ3205">
            <v>0</v>
          </cell>
        </row>
        <row r="3206">
          <cell r="D3206" t="str">
            <v>Žilinská univerzita v Žiline</v>
          </cell>
          <cell r="E3206" t="str">
            <v>Fakulta prevádzky a ekonomiky dopravy a spojov</v>
          </cell>
          <cell r="AN3206">
            <v>1</v>
          </cell>
          <cell r="AO3206">
            <v>0</v>
          </cell>
          <cell r="AP3206">
            <v>0</v>
          </cell>
          <cell r="AQ3206">
            <v>0</v>
          </cell>
          <cell r="AR3206">
            <v>0</v>
          </cell>
          <cell r="BF3206">
            <v>0</v>
          </cell>
          <cell r="BG3206">
            <v>0</v>
          </cell>
          <cell r="BH3206">
            <v>0</v>
          </cell>
          <cell r="BI3206">
            <v>20</v>
          </cell>
          <cell r="BJ3206">
            <v>0</v>
          </cell>
        </row>
        <row r="3207">
          <cell r="D3207" t="str">
            <v>Žilinská univerzita v Žiline</v>
          </cell>
          <cell r="E3207" t="str">
            <v>Fakulta prevádzky a ekonomiky dopravy a spojov</v>
          </cell>
          <cell r="AN3207">
            <v>48</v>
          </cell>
          <cell r="AO3207">
            <v>50</v>
          </cell>
          <cell r="AP3207">
            <v>0</v>
          </cell>
          <cell r="AQ3207">
            <v>0</v>
          </cell>
          <cell r="AR3207">
            <v>48</v>
          </cell>
          <cell r="BF3207">
            <v>72</v>
          </cell>
          <cell r="BG3207">
            <v>106.56</v>
          </cell>
          <cell r="BH3207">
            <v>78.761739130434776</v>
          </cell>
          <cell r="BI3207">
            <v>50</v>
          </cell>
          <cell r="BJ3207">
            <v>0</v>
          </cell>
        </row>
        <row r="3208">
          <cell r="D3208" t="str">
            <v>Žilinská univerzita v Žiline</v>
          </cell>
          <cell r="E3208" t="str">
            <v>Fakulta prevádzky a ekonomiky dopravy a spojov</v>
          </cell>
          <cell r="AN3208">
            <v>8</v>
          </cell>
          <cell r="AO3208">
            <v>10</v>
          </cell>
          <cell r="AP3208">
            <v>0</v>
          </cell>
          <cell r="AQ3208">
            <v>8</v>
          </cell>
          <cell r="AR3208">
            <v>8</v>
          </cell>
          <cell r="BF3208">
            <v>12</v>
          </cell>
          <cell r="BG3208">
            <v>17.759999999999998</v>
          </cell>
          <cell r="BH3208">
            <v>17.759999999999998</v>
          </cell>
          <cell r="BI3208">
            <v>10</v>
          </cell>
          <cell r="BJ3208">
            <v>0</v>
          </cell>
        </row>
        <row r="3209">
          <cell r="D3209" t="str">
            <v>Žilinská univerzita v Žiline</v>
          </cell>
          <cell r="E3209" t="str">
            <v>Fakulta prevádzky a ekonomiky dopravy a spojov</v>
          </cell>
          <cell r="AN3209">
            <v>11</v>
          </cell>
          <cell r="AO3209">
            <v>14</v>
          </cell>
          <cell r="AP3209">
            <v>0</v>
          </cell>
          <cell r="AQ3209">
            <v>0</v>
          </cell>
          <cell r="AR3209">
            <v>11</v>
          </cell>
          <cell r="BF3209">
            <v>8.6</v>
          </cell>
          <cell r="BG3209">
            <v>12.728</v>
          </cell>
          <cell r="BH3209">
            <v>11.673609467455622</v>
          </cell>
          <cell r="BI3209">
            <v>14</v>
          </cell>
          <cell r="BJ3209">
            <v>0</v>
          </cell>
        </row>
        <row r="3210">
          <cell r="D3210" t="str">
            <v>Žilinská univerzita v Žiline</v>
          </cell>
          <cell r="E3210" t="str">
            <v>Fakulta humanitných vied</v>
          </cell>
          <cell r="AN3210">
            <v>2</v>
          </cell>
          <cell r="AO3210">
            <v>3</v>
          </cell>
          <cell r="AP3210">
            <v>0</v>
          </cell>
          <cell r="AQ3210">
            <v>0</v>
          </cell>
          <cell r="AR3210">
            <v>2</v>
          </cell>
          <cell r="BF3210">
            <v>3</v>
          </cell>
          <cell r="BG3210">
            <v>3.57</v>
          </cell>
          <cell r="BH3210">
            <v>3.57</v>
          </cell>
          <cell r="BI3210">
            <v>3</v>
          </cell>
          <cell r="BJ3210">
            <v>0</v>
          </cell>
        </row>
        <row r="3211">
          <cell r="D3211" t="str">
            <v>Žilinská univerzita v Žiline</v>
          </cell>
          <cell r="E3211" t="str">
            <v>Fakulta prevádzky a ekonomiky dopravy a spojov</v>
          </cell>
          <cell r="AN3211">
            <v>9</v>
          </cell>
          <cell r="AO3211">
            <v>12</v>
          </cell>
          <cell r="AP3211">
            <v>0</v>
          </cell>
          <cell r="AQ3211">
            <v>9</v>
          </cell>
          <cell r="AR3211">
            <v>9</v>
          </cell>
          <cell r="BF3211">
            <v>7.5</v>
          </cell>
          <cell r="BG3211">
            <v>11.1</v>
          </cell>
          <cell r="BH3211">
            <v>11.1</v>
          </cell>
          <cell r="BI3211">
            <v>12</v>
          </cell>
          <cell r="BJ3211">
            <v>0</v>
          </cell>
        </row>
        <row r="3212">
          <cell r="D3212" t="str">
            <v>Žilinská univerzita v Žiline</v>
          </cell>
          <cell r="E3212" t="str">
            <v>Fakulta elektrotechniky a informačných technológií</v>
          </cell>
          <cell r="AN3212">
            <v>20</v>
          </cell>
          <cell r="AO3212">
            <v>24</v>
          </cell>
          <cell r="AP3212">
            <v>24</v>
          </cell>
          <cell r="AQ3212">
            <v>20</v>
          </cell>
          <cell r="AR3212">
            <v>20</v>
          </cell>
          <cell r="BF3212">
            <v>16.399999999999999</v>
          </cell>
          <cell r="BG3212">
            <v>24.271999999999998</v>
          </cell>
          <cell r="BH3212">
            <v>24.271999999999998</v>
          </cell>
          <cell r="BI3212">
            <v>24</v>
          </cell>
          <cell r="BJ3212">
            <v>0</v>
          </cell>
        </row>
        <row r="3213">
          <cell r="D3213" t="str">
            <v>Žilinská univerzita v Žiline</v>
          </cell>
          <cell r="E3213" t="str">
            <v>Strojnícka fakulta</v>
          </cell>
          <cell r="AN3213">
            <v>0</v>
          </cell>
          <cell r="AO3213">
            <v>0</v>
          </cell>
          <cell r="AP3213">
            <v>0</v>
          </cell>
          <cell r="AQ3213">
            <v>0</v>
          </cell>
          <cell r="AR3213">
            <v>0</v>
          </cell>
          <cell r="BF3213">
            <v>0</v>
          </cell>
          <cell r="BG3213">
            <v>0</v>
          </cell>
          <cell r="BH3213">
            <v>0</v>
          </cell>
          <cell r="BI3213">
            <v>2</v>
          </cell>
          <cell r="BJ3213">
            <v>0</v>
          </cell>
        </row>
        <row r="3214">
          <cell r="D3214" t="str">
            <v>Vysoká škola zdravotníctva a sociálnej práce sv. Alžbety v Bratislave, n. o.</v>
          </cell>
          <cell r="E3214" t="str">
            <v>Fakulta zdravotníctva a sociálnej práce sv. Ladislava</v>
          </cell>
          <cell r="AN3214">
            <v>219</v>
          </cell>
          <cell r="AO3214">
            <v>0</v>
          </cell>
          <cell r="AP3214">
            <v>0</v>
          </cell>
          <cell r="AQ3214">
            <v>0</v>
          </cell>
          <cell r="AR3214">
            <v>0</v>
          </cell>
          <cell r="BF3214">
            <v>0</v>
          </cell>
          <cell r="BG3214">
            <v>0</v>
          </cell>
          <cell r="BH3214">
            <v>0</v>
          </cell>
          <cell r="BI3214">
            <v>219</v>
          </cell>
          <cell r="BJ3214">
            <v>0</v>
          </cell>
        </row>
        <row r="3215">
          <cell r="D3215" t="str">
            <v>Vysoká škola zdravotníctva a sociálnej práce sv. Alžbety v Bratislave, n. o.</v>
          </cell>
          <cell r="E3215">
            <v>0</v>
          </cell>
          <cell r="AN3215">
            <v>13</v>
          </cell>
          <cell r="AO3215">
            <v>13</v>
          </cell>
          <cell r="AP3215">
            <v>0</v>
          </cell>
          <cell r="AQ3215">
            <v>0</v>
          </cell>
          <cell r="AR3215">
            <v>13</v>
          </cell>
          <cell r="BF3215">
            <v>19.5</v>
          </cell>
          <cell r="BG3215">
            <v>19.5</v>
          </cell>
          <cell r="BH3215">
            <v>19.5</v>
          </cell>
          <cell r="BI3215">
            <v>13</v>
          </cell>
          <cell r="BJ3215">
            <v>0</v>
          </cell>
        </row>
        <row r="3216">
          <cell r="D3216" t="str">
            <v>Vysoká škola zdravotníctva a sociálnej práce sv. Alžbety v Bratislave, n. o.</v>
          </cell>
          <cell r="E3216">
            <v>0</v>
          </cell>
          <cell r="AN3216">
            <v>13</v>
          </cell>
          <cell r="AO3216">
            <v>13</v>
          </cell>
          <cell r="AP3216">
            <v>0</v>
          </cell>
          <cell r="AQ3216">
            <v>0</v>
          </cell>
          <cell r="AR3216">
            <v>13</v>
          </cell>
          <cell r="BF3216">
            <v>10</v>
          </cell>
          <cell r="BG3216">
            <v>21.5</v>
          </cell>
          <cell r="BH3216">
            <v>12.285714285714285</v>
          </cell>
          <cell r="BI3216">
            <v>13</v>
          </cell>
          <cell r="BJ3216">
            <v>0</v>
          </cell>
        </row>
        <row r="3217">
          <cell r="D3217" t="str">
            <v>Vysoká škola Danubius</v>
          </cell>
          <cell r="E3217" t="str">
            <v>Fakulta verejnej politiky a verejnej správy</v>
          </cell>
          <cell r="AN3217">
            <v>10</v>
          </cell>
          <cell r="AO3217">
            <v>10</v>
          </cell>
          <cell r="AP3217">
            <v>0</v>
          </cell>
          <cell r="AQ3217">
            <v>0</v>
          </cell>
          <cell r="AR3217">
            <v>10</v>
          </cell>
          <cell r="BF3217">
            <v>15</v>
          </cell>
          <cell r="BG3217">
            <v>15</v>
          </cell>
          <cell r="BH3217">
            <v>13.928571428571429</v>
          </cell>
          <cell r="BI3217">
            <v>10</v>
          </cell>
          <cell r="BJ3217">
            <v>0</v>
          </cell>
        </row>
        <row r="3218">
          <cell r="D3218" t="str">
            <v>Slovenská technická univerzita v Bratislave</v>
          </cell>
          <cell r="E3218" t="str">
            <v>Materiálovotechnologická fakulta so sídlom v Trnave</v>
          </cell>
          <cell r="AN3218">
            <v>54</v>
          </cell>
          <cell r="AO3218">
            <v>57</v>
          </cell>
          <cell r="AP3218">
            <v>0</v>
          </cell>
          <cell r="AQ3218">
            <v>0</v>
          </cell>
          <cell r="AR3218">
            <v>54</v>
          </cell>
          <cell r="BF3218">
            <v>81</v>
          </cell>
          <cell r="BG3218">
            <v>119.88</v>
          </cell>
          <cell r="BH3218">
            <v>111.88799999999999</v>
          </cell>
          <cell r="BI3218">
            <v>57</v>
          </cell>
          <cell r="BJ3218">
            <v>0</v>
          </cell>
        </row>
        <row r="3219">
          <cell r="D3219" t="str">
            <v>Slovenská technická univerzita v Bratislave</v>
          </cell>
          <cell r="E3219" t="str">
            <v>Fakulta elektrotechniky a informatiky</v>
          </cell>
          <cell r="AN3219">
            <v>0</v>
          </cell>
          <cell r="AO3219">
            <v>0</v>
          </cell>
          <cell r="AP3219">
            <v>0</v>
          </cell>
          <cell r="AQ3219">
            <v>0</v>
          </cell>
          <cell r="AR3219">
            <v>0</v>
          </cell>
          <cell r="BF3219">
            <v>0</v>
          </cell>
          <cell r="BG3219">
            <v>0</v>
          </cell>
          <cell r="BH3219">
            <v>0</v>
          </cell>
          <cell r="BI3219">
            <v>2</v>
          </cell>
          <cell r="BJ3219">
            <v>0</v>
          </cell>
        </row>
        <row r="3220">
          <cell r="D3220" t="str">
            <v>Slovenská technická univerzita v Bratislave</v>
          </cell>
          <cell r="E3220" t="str">
            <v>Fakulta elektrotechniky a informatiky</v>
          </cell>
          <cell r="AN3220">
            <v>4</v>
          </cell>
          <cell r="AO3220">
            <v>0</v>
          </cell>
          <cell r="AP3220">
            <v>0</v>
          </cell>
          <cell r="AQ3220">
            <v>4</v>
          </cell>
          <cell r="AR3220">
            <v>4</v>
          </cell>
          <cell r="BF3220">
            <v>16</v>
          </cell>
          <cell r="BG3220">
            <v>34.08</v>
          </cell>
          <cell r="BH3220">
            <v>34.08</v>
          </cell>
          <cell r="BI3220">
            <v>4</v>
          </cell>
          <cell r="BJ3220">
            <v>4</v>
          </cell>
        </row>
        <row r="3221">
          <cell r="D3221" t="str">
            <v>Slovenská technická univerzita v Bratislave</v>
          </cell>
          <cell r="E3221" t="str">
            <v>Materiálovotechnologická fakulta so sídlom v Trnave</v>
          </cell>
          <cell r="AN3221">
            <v>33</v>
          </cell>
          <cell r="AO3221">
            <v>39</v>
          </cell>
          <cell r="AP3221">
            <v>0</v>
          </cell>
          <cell r="AQ3221">
            <v>0</v>
          </cell>
          <cell r="AR3221">
            <v>33</v>
          </cell>
          <cell r="BF3221">
            <v>49.5</v>
          </cell>
          <cell r="BG3221">
            <v>73.260000000000005</v>
          </cell>
          <cell r="BH3221">
            <v>56.353846153846156</v>
          </cell>
          <cell r="BI3221">
            <v>39</v>
          </cell>
          <cell r="BJ3221">
            <v>0</v>
          </cell>
        </row>
        <row r="3222">
          <cell r="D3222" t="str">
            <v>Slovenská technická univerzita v Bratislave</v>
          </cell>
          <cell r="E3222" t="str">
            <v>Materiálovotechnologická fakulta so sídlom v Trnave</v>
          </cell>
          <cell r="AN3222">
            <v>8</v>
          </cell>
          <cell r="AO3222">
            <v>9</v>
          </cell>
          <cell r="AP3222">
            <v>0</v>
          </cell>
          <cell r="AQ3222">
            <v>0</v>
          </cell>
          <cell r="AR3222">
            <v>8</v>
          </cell>
          <cell r="BF3222">
            <v>12</v>
          </cell>
          <cell r="BG3222">
            <v>17.759999999999998</v>
          </cell>
          <cell r="BH3222">
            <v>10.148571428571428</v>
          </cell>
          <cell r="BI3222">
            <v>9</v>
          </cell>
          <cell r="BJ3222">
            <v>0</v>
          </cell>
        </row>
        <row r="3223">
          <cell r="D3223" t="str">
            <v>Slovenská technická univerzita v Bratislave</v>
          </cell>
          <cell r="E3223" t="str">
            <v>Strojnícka fakulta</v>
          </cell>
          <cell r="AN3223">
            <v>11</v>
          </cell>
          <cell r="AO3223">
            <v>14</v>
          </cell>
          <cell r="AP3223">
            <v>14</v>
          </cell>
          <cell r="AQ3223">
            <v>11</v>
          </cell>
          <cell r="AR3223">
            <v>11</v>
          </cell>
          <cell r="BF3223">
            <v>16.5</v>
          </cell>
          <cell r="BG3223">
            <v>24.419999999999998</v>
          </cell>
          <cell r="BH3223">
            <v>24.419999999999998</v>
          </cell>
          <cell r="BI3223">
            <v>14</v>
          </cell>
          <cell r="BJ3223">
            <v>0</v>
          </cell>
        </row>
        <row r="3224">
          <cell r="D3224" t="str">
            <v>Slovenská technická univerzita v Bratislave</v>
          </cell>
          <cell r="E3224" t="str">
            <v>Fakulta elektrotechniky a informatiky</v>
          </cell>
          <cell r="AN3224">
            <v>89</v>
          </cell>
          <cell r="AO3224">
            <v>89</v>
          </cell>
          <cell r="AP3224">
            <v>89</v>
          </cell>
          <cell r="AQ3224">
            <v>89</v>
          </cell>
          <cell r="AR3224">
            <v>89</v>
          </cell>
          <cell r="BF3224">
            <v>133.5</v>
          </cell>
          <cell r="BG3224">
            <v>197.57999999999998</v>
          </cell>
          <cell r="BH3224">
            <v>197.57999999999998</v>
          </cell>
          <cell r="BI3224">
            <v>89</v>
          </cell>
          <cell r="BJ3224">
            <v>0</v>
          </cell>
        </row>
        <row r="3225">
          <cell r="D3225" t="str">
            <v>Slovenská technická univerzita v Bratislave</v>
          </cell>
          <cell r="E3225" t="str">
            <v>Fakulta elektrotechniky a informatiky</v>
          </cell>
          <cell r="AN3225">
            <v>57</v>
          </cell>
          <cell r="AO3225">
            <v>62</v>
          </cell>
          <cell r="AP3225">
            <v>0</v>
          </cell>
          <cell r="AQ3225">
            <v>0</v>
          </cell>
          <cell r="AR3225">
            <v>57</v>
          </cell>
          <cell r="BF3225">
            <v>85.5</v>
          </cell>
          <cell r="BG3225">
            <v>126.53999999999999</v>
          </cell>
          <cell r="BH3225">
            <v>118.37612903225806</v>
          </cell>
          <cell r="BI3225">
            <v>62</v>
          </cell>
          <cell r="BJ3225">
            <v>0</v>
          </cell>
        </row>
        <row r="3226">
          <cell r="D3226" t="str">
            <v>Slovenská technická univerzita v Bratislave</v>
          </cell>
          <cell r="E3226" t="str">
            <v>Fakulta chemickej a potravinárskej technológie</v>
          </cell>
          <cell r="AN3226">
            <v>40</v>
          </cell>
          <cell r="AO3226">
            <v>42</v>
          </cell>
          <cell r="AP3226">
            <v>0</v>
          </cell>
          <cell r="AQ3226">
            <v>0</v>
          </cell>
          <cell r="AR3226">
            <v>40</v>
          </cell>
          <cell r="BF3226">
            <v>60</v>
          </cell>
          <cell r="BG3226">
            <v>144.60000000000002</v>
          </cell>
          <cell r="BH3226">
            <v>117.48750000000001</v>
          </cell>
          <cell r="BI3226">
            <v>42</v>
          </cell>
          <cell r="BJ3226">
            <v>0</v>
          </cell>
        </row>
        <row r="3227">
          <cell r="D3227" t="str">
            <v>Slovenská technická univerzita v Bratislave</v>
          </cell>
          <cell r="E3227">
            <v>0</v>
          </cell>
          <cell r="AN3227">
            <v>43</v>
          </cell>
          <cell r="AO3227">
            <v>43</v>
          </cell>
          <cell r="AP3227">
            <v>0</v>
          </cell>
          <cell r="AQ3227">
            <v>0</v>
          </cell>
          <cell r="AR3227">
            <v>43</v>
          </cell>
          <cell r="BF3227">
            <v>64.5</v>
          </cell>
          <cell r="BG3227">
            <v>96.75</v>
          </cell>
          <cell r="BH3227">
            <v>86</v>
          </cell>
          <cell r="BI3227">
            <v>43</v>
          </cell>
          <cell r="BJ3227">
            <v>0</v>
          </cell>
        </row>
        <row r="3228">
          <cell r="D3228" t="str">
            <v>Slovenská technická univerzita v Bratislave</v>
          </cell>
          <cell r="E3228" t="str">
            <v>Fakulta chemickej a potravinárskej technológie</v>
          </cell>
          <cell r="AN3228">
            <v>39</v>
          </cell>
          <cell r="AO3228">
            <v>40</v>
          </cell>
          <cell r="AP3228">
            <v>0</v>
          </cell>
          <cell r="AQ3228">
            <v>0</v>
          </cell>
          <cell r="AR3228">
            <v>39</v>
          </cell>
          <cell r="BF3228">
            <v>58.5</v>
          </cell>
          <cell r="BG3228">
            <v>140.98500000000001</v>
          </cell>
          <cell r="BH3228">
            <v>102.53454545454547</v>
          </cell>
          <cell r="BI3228">
            <v>40</v>
          </cell>
          <cell r="BJ3228">
            <v>0</v>
          </cell>
        </row>
        <row r="3229">
          <cell r="D3229" t="str">
            <v>Slovenská technická univerzita v Bratislave</v>
          </cell>
          <cell r="E3229" t="str">
            <v>Stavebná fakulta</v>
          </cell>
          <cell r="AN3229">
            <v>18</v>
          </cell>
          <cell r="AO3229">
            <v>21</v>
          </cell>
          <cell r="AP3229">
            <v>21</v>
          </cell>
          <cell r="AQ3229">
            <v>18</v>
          </cell>
          <cell r="AR3229">
            <v>18</v>
          </cell>
          <cell r="BF3229">
            <v>27</v>
          </cell>
          <cell r="BG3229">
            <v>39.96</v>
          </cell>
          <cell r="BH3229">
            <v>37.961999999999996</v>
          </cell>
          <cell r="BI3229">
            <v>21</v>
          </cell>
          <cell r="BJ3229">
            <v>0</v>
          </cell>
        </row>
        <row r="3230">
          <cell r="D3230" t="str">
            <v>Slovenská technická univerzita v Bratislave</v>
          </cell>
          <cell r="E3230" t="str">
            <v>Fakulta chemickej a potravinárskej technológie</v>
          </cell>
          <cell r="AN3230">
            <v>32</v>
          </cell>
          <cell r="AO3230">
            <v>33</v>
          </cell>
          <cell r="AP3230">
            <v>0</v>
          </cell>
          <cell r="AQ3230">
            <v>0</v>
          </cell>
          <cell r="AR3230">
            <v>32</v>
          </cell>
          <cell r="BF3230">
            <v>48</v>
          </cell>
          <cell r="BG3230">
            <v>71.039999999999992</v>
          </cell>
          <cell r="BH3230">
            <v>50.74285714285714</v>
          </cell>
          <cell r="BI3230">
            <v>33</v>
          </cell>
          <cell r="BJ3230">
            <v>0</v>
          </cell>
        </row>
        <row r="3231">
          <cell r="D3231" t="str">
            <v>Slovenská technická univerzita v Bratislave</v>
          </cell>
          <cell r="E3231" t="str">
            <v>Strojnícka fakulta</v>
          </cell>
          <cell r="AN3231">
            <v>20</v>
          </cell>
          <cell r="AO3231">
            <v>20</v>
          </cell>
          <cell r="AP3231">
            <v>0</v>
          </cell>
          <cell r="AQ3231">
            <v>0</v>
          </cell>
          <cell r="AR3231">
            <v>20</v>
          </cell>
          <cell r="BF3231">
            <v>30</v>
          </cell>
          <cell r="BG3231">
            <v>44.4</v>
          </cell>
          <cell r="BH3231">
            <v>29.6</v>
          </cell>
          <cell r="BI3231">
            <v>20</v>
          </cell>
          <cell r="BJ3231">
            <v>0</v>
          </cell>
        </row>
        <row r="3232">
          <cell r="D3232" t="str">
            <v>Slovenská technická univerzita v Bratislave</v>
          </cell>
          <cell r="E3232" t="str">
            <v>Fakulta chemickej a potravinárskej technológie</v>
          </cell>
          <cell r="AN3232">
            <v>56</v>
          </cell>
          <cell r="AO3232">
            <v>56</v>
          </cell>
          <cell r="AP3232">
            <v>56</v>
          </cell>
          <cell r="AQ3232">
            <v>56</v>
          </cell>
          <cell r="AR3232">
            <v>56</v>
          </cell>
          <cell r="BF3232">
            <v>84</v>
          </cell>
          <cell r="BG3232">
            <v>124.32</v>
          </cell>
          <cell r="BH3232">
            <v>124.32</v>
          </cell>
          <cell r="BI3232">
            <v>56</v>
          </cell>
          <cell r="BJ3232">
            <v>0</v>
          </cell>
        </row>
        <row r="3233">
          <cell r="D3233" t="str">
            <v>Slovenská technická univerzita v Bratislave</v>
          </cell>
          <cell r="E3233" t="str">
            <v>Strojnícka fakulta</v>
          </cell>
          <cell r="AN3233">
            <v>13</v>
          </cell>
          <cell r="AO3233">
            <v>14</v>
          </cell>
          <cell r="AP3233">
            <v>0</v>
          </cell>
          <cell r="AQ3233">
            <v>0</v>
          </cell>
          <cell r="AR3233">
            <v>13</v>
          </cell>
          <cell r="BF3233">
            <v>19.5</v>
          </cell>
          <cell r="BG3233">
            <v>28.86</v>
          </cell>
          <cell r="BH3233">
            <v>24.73714285714286</v>
          </cell>
          <cell r="BI3233">
            <v>14</v>
          </cell>
          <cell r="BJ3233">
            <v>0</v>
          </cell>
        </row>
        <row r="3234">
          <cell r="D3234" t="str">
            <v>Slovenská technická univerzita v Bratislave</v>
          </cell>
          <cell r="E3234" t="str">
            <v>Stavebná fakulta</v>
          </cell>
          <cell r="AN3234">
            <v>23</v>
          </cell>
          <cell r="AO3234">
            <v>26</v>
          </cell>
          <cell r="AP3234">
            <v>26</v>
          </cell>
          <cell r="AQ3234">
            <v>23</v>
          </cell>
          <cell r="AR3234">
            <v>23</v>
          </cell>
          <cell r="BF3234">
            <v>34.5</v>
          </cell>
          <cell r="BG3234">
            <v>45.54</v>
          </cell>
          <cell r="BH3234">
            <v>45.54</v>
          </cell>
          <cell r="BI3234">
            <v>26</v>
          </cell>
          <cell r="BJ3234">
            <v>0</v>
          </cell>
        </row>
        <row r="3235">
          <cell r="D3235" t="str">
            <v>Slovenská technická univerzita v Bratislave</v>
          </cell>
          <cell r="E3235" t="str">
            <v>Fakulta chemickej a potravinárskej technológie</v>
          </cell>
          <cell r="AN3235">
            <v>0</v>
          </cell>
          <cell r="AO3235">
            <v>0</v>
          </cell>
          <cell r="AP3235">
            <v>0</v>
          </cell>
          <cell r="AQ3235">
            <v>0</v>
          </cell>
          <cell r="AR3235">
            <v>0</v>
          </cell>
          <cell r="BF3235">
            <v>0</v>
          </cell>
          <cell r="BG3235">
            <v>0</v>
          </cell>
          <cell r="BH3235">
            <v>0</v>
          </cell>
          <cell r="BI3235">
            <v>1</v>
          </cell>
          <cell r="BJ3235">
            <v>0</v>
          </cell>
        </row>
        <row r="3236">
          <cell r="D3236" t="str">
            <v>Slovenská technická univerzita v Bratislave</v>
          </cell>
          <cell r="E3236" t="str">
            <v>Fakulta chemickej a potravinárskej technológie</v>
          </cell>
          <cell r="AN3236">
            <v>41</v>
          </cell>
          <cell r="AO3236">
            <v>42</v>
          </cell>
          <cell r="AP3236">
            <v>42</v>
          </cell>
          <cell r="AQ3236">
            <v>41</v>
          </cell>
          <cell r="AR3236">
            <v>41</v>
          </cell>
          <cell r="BF3236">
            <v>61.5</v>
          </cell>
          <cell r="BG3236">
            <v>91.02</v>
          </cell>
          <cell r="BH3236">
            <v>91.02</v>
          </cell>
          <cell r="BI3236">
            <v>42</v>
          </cell>
          <cell r="BJ3236">
            <v>0</v>
          </cell>
        </row>
        <row r="3237">
          <cell r="D3237" t="str">
            <v>Slovenská technická univerzita v Bratislave</v>
          </cell>
          <cell r="E3237" t="str">
            <v>Fakulta chemickej a potravinárskej technológie</v>
          </cell>
          <cell r="AN3237">
            <v>43</v>
          </cell>
          <cell r="AO3237">
            <v>43</v>
          </cell>
          <cell r="AP3237">
            <v>0</v>
          </cell>
          <cell r="AQ3237">
            <v>0</v>
          </cell>
          <cell r="AR3237">
            <v>43</v>
          </cell>
          <cell r="BF3237">
            <v>64.5</v>
          </cell>
          <cell r="BG3237">
            <v>155.44500000000002</v>
          </cell>
          <cell r="BH3237">
            <v>143.00940000000003</v>
          </cell>
          <cell r="BI3237">
            <v>43</v>
          </cell>
          <cell r="BJ3237">
            <v>0</v>
          </cell>
        </row>
        <row r="3238">
          <cell r="D3238" t="str">
            <v>Slovenská technická univerzita v Bratislave</v>
          </cell>
          <cell r="E3238" t="str">
            <v>Strojnícka fakulta</v>
          </cell>
          <cell r="AN3238">
            <v>17</v>
          </cell>
          <cell r="AO3238">
            <v>22</v>
          </cell>
          <cell r="AP3238">
            <v>22</v>
          </cell>
          <cell r="AQ3238">
            <v>17</v>
          </cell>
          <cell r="AR3238">
            <v>17</v>
          </cell>
          <cell r="BF3238">
            <v>13.7</v>
          </cell>
          <cell r="BG3238">
            <v>20.276</v>
          </cell>
          <cell r="BH3238">
            <v>20.276</v>
          </cell>
          <cell r="BI3238">
            <v>22</v>
          </cell>
          <cell r="BJ3238">
            <v>0</v>
          </cell>
        </row>
        <row r="3239">
          <cell r="D3239" t="str">
            <v>Slovenská technická univerzita v Bratislave</v>
          </cell>
          <cell r="E3239" t="str">
            <v>Materiálovotechnologická fakulta so sídlom v Trnave</v>
          </cell>
          <cell r="AN3239">
            <v>6</v>
          </cell>
          <cell r="AO3239">
            <v>0</v>
          </cell>
          <cell r="AP3239">
            <v>0</v>
          </cell>
          <cell r="AQ3239">
            <v>0</v>
          </cell>
          <cell r="AR3239">
            <v>6</v>
          </cell>
          <cell r="BF3239">
            <v>18</v>
          </cell>
          <cell r="BG3239">
            <v>38.339999999999996</v>
          </cell>
          <cell r="BH3239">
            <v>38.339999999999996</v>
          </cell>
          <cell r="BI3239">
            <v>6</v>
          </cell>
          <cell r="BJ3239">
            <v>6</v>
          </cell>
        </row>
        <row r="3240">
          <cell r="D3240" t="str">
            <v>Slovenská technická univerzita v Bratislave</v>
          </cell>
          <cell r="E3240" t="str">
            <v>Fakulta informatiky a informačných technológií</v>
          </cell>
          <cell r="AN3240">
            <v>3</v>
          </cell>
          <cell r="AO3240">
            <v>3</v>
          </cell>
          <cell r="AP3240">
            <v>3</v>
          </cell>
          <cell r="AQ3240">
            <v>3</v>
          </cell>
          <cell r="AR3240">
            <v>3</v>
          </cell>
          <cell r="BF3240">
            <v>4.5</v>
          </cell>
          <cell r="BG3240">
            <v>6.66</v>
          </cell>
          <cell r="BH3240">
            <v>6.4975609756097557</v>
          </cell>
          <cell r="BI3240">
            <v>3</v>
          </cell>
          <cell r="BJ3240">
            <v>0</v>
          </cell>
        </row>
        <row r="3241">
          <cell r="D3241" t="str">
            <v>Slovenská technická univerzita v Bratislave</v>
          </cell>
          <cell r="E3241" t="str">
            <v>Fakulta chemickej a potravinárskej technológie</v>
          </cell>
          <cell r="AN3241">
            <v>27</v>
          </cell>
          <cell r="AO3241">
            <v>27</v>
          </cell>
          <cell r="AP3241">
            <v>27</v>
          </cell>
          <cell r="AQ3241">
            <v>27</v>
          </cell>
          <cell r="AR3241">
            <v>27</v>
          </cell>
          <cell r="BF3241">
            <v>21.299999999999997</v>
          </cell>
          <cell r="BG3241">
            <v>31.523999999999994</v>
          </cell>
          <cell r="BH3241">
            <v>29.651287128712863</v>
          </cell>
          <cell r="BI3241">
            <v>27</v>
          </cell>
          <cell r="BJ3241">
            <v>0</v>
          </cell>
        </row>
        <row r="3242">
          <cell r="D3242" t="str">
            <v>Slovenská technická univerzita v Bratislave</v>
          </cell>
          <cell r="E3242" t="str">
            <v>Strojnícka fakulta</v>
          </cell>
          <cell r="AN3242">
            <v>0</v>
          </cell>
          <cell r="AO3242">
            <v>0</v>
          </cell>
          <cell r="AP3242">
            <v>0</v>
          </cell>
          <cell r="AQ3242">
            <v>0</v>
          </cell>
          <cell r="AR3242">
            <v>0</v>
          </cell>
          <cell r="BF3242">
            <v>0</v>
          </cell>
          <cell r="BG3242">
            <v>0</v>
          </cell>
          <cell r="BH3242">
            <v>0</v>
          </cell>
          <cell r="BI3242">
            <v>1</v>
          </cell>
          <cell r="BJ3242">
            <v>0</v>
          </cell>
        </row>
        <row r="3243">
          <cell r="D3243" t="str">
            <v>Slovenská technická univerzita v Bratislave</v>
          </cell>
          <cell r="E3243" t="str">
            <v>Fakulta informatiky a informačných technológií</v>
          </cell>
          <cell r="AN3243">
            <v>0</v>
          </cell>
          <cell r="AO3243">
            <v>0</v>
          </cell>
          <cell r="AP3243">
            <v>0</v>
          </cell>
          <cell r="AQ3243">
            <v>0</v>
          </cell>
          <cell r="AR3243">
            <v>0</v>
          </cell>
          <cell r="BF3243">
            <v>0</v>
          </cell>
          <cell r="BG3243">
            <v>0</v>
          </cell>
          <cell r="BH3243">
            <v>0</v>
          </cell>
          <cell r="BI3243">
            <v>3</v>
          </cell>
          <cell r="BJ3243">
            <v>0</v>
          </cell>
        </row>
        <row r="3244">
          <cell r="D3244" t="str">
            <v>Slovenská technická univerzita v Bratislave</v>
          </cell>
          <cell r="E3244" t="str">
            <v>Strojnícka fakulta</v>
          </cell>
          <cell r="AN3244">
            <v>0</v>
          </cell>
          <cell r="AO3244">
            <v>25</v>
          </cell>
          <cell r="AP3244">
            <v>0</v>
          </cell>
          <cell r="AQ3244">
            <v>0</v>
          </cell>
          <cell r="AR3244">
            <v>0</v>
          </cell>
          <cell r="BF3244">
            <v>0</v>
          </cell>
          <cell r="BG3244">
            <v>0</v>
          </cell>
          <cell r="BH3244">
            <v>0</v>
          </cell>
          <cell r="BI3244">
            <v>25</v>
          </cell>
          <cell r="BJ3244">
            <v>0</v>
          </cell>
        </row>
        <row r="3245">
          <cell r="D3245" t="str">
            <v>Slovenská technická univerzita v Bratislave</v>
          </cell>
          <cell r="E3245" t="str">
            <v>Fakulta chemickej a potravinárskej technológie</v>
          </cell>
          <cell r="AN3245">
            <v>30</v>
          </cell>
          <cell r="AO3245">
            <v>30</v>
          </cell>
          <cell r="AP3245">
            <v>30</v>
          </cell>
          <cell r="AQ3245">
            <v>30</v>
          </cell>
          <cell r="AR3245">
            <v>30</v>
          </cell>
          <cell r="BF3245">
            <v>23.7</v>
          </cell>
          <cell r="BG3245">
            <v>35.076000000000001</v>
          </cell>
          <cell r="BH3245">
            <v>33.726923076923079</v>
          </cell>
          <cell r="BI3245">
            <v>30</v>
          </cell>
          <cell r="BJ3245">
            <v>0</v>
          </cell>
        </row>
        <row r="3246">
          <cell r="D3246" t="str">
            <v>Slovenská technická univerzita v Bratislave</v>
          </cell>
          <cell r="E3246" t="str">
            <v>Stavebná fakulta</v>
          </cell>
          <cell r="AN3246">
            <v>40</v>
          </cell>
          <cell r="AO3246">
            <v>41</v>
          </cell>
          <cell r="AP3246">
            <v>41</v>
          </cell>
          <cell r="AQ3246">
            <v>40</v>
          </cell>
          <cell r="AR3246">
            <v>40</v>
          </cell>
          <cell r="BF3246">
            <v>30.4</v>
          </cell>
          <cell r="BG3246">
            <v>40.128</v>
          </cell>
          <cell r="BH3246">
            <v>40.128</v>
          </cell>
          <cell r="BI3246">
            <v>41</v>
          </cell>
          <cell r="BJ3246">
            <v>0</v>
          </cell>
        </row>
        <row r="3247">
          <cell r="D3247" t="str">
            <v>Slovenská technická univerzita v Bratislave</v>
          </cell>
          <cell r="E3247" t="str">
            <v>Fakulta chemickej a potravinárskej technológie</v>
          </cell>
          <cell r="AN3247">
            <v>4</v>
          </cell>
          <cell r="AO3247">
            <v>4</v>
          </cell>
          <cell r="AP3247">
            <v>4</v>
          </cell>
          <cell r="AQ3247">
            <v>4</v>
          </cell>
          <cell r="AR3247">
            <v>4</v>
          </cell>
          <cell r="BF3247">
            <v>3.0999999999999996</v>
          </cell>
          <cell r="BG3247">
            <v>4.5879999999999992</v>
          </cell>
          <cell r="BH3247">
            <v>4.5573110367892973</v>
          </cell>
          <cell r="BI3247">
            <v>4</v>
          </cell>
          <cell r="BJ3247">
            <v>0</v>
          </cell>
        </row>
        <row r="3248">
          <cell r="D3248" t="str">
            <v>Slovenská technická univerzita v Bratislave</v>
          </cell>
          <cell r="E3248" t="str">
            <v>Fakulta chemickej a potravinárskej technológie</v>
          </cell>
          <cell r="AN3248">
            <v>17</v>
          </cell>
          <cell r="AO3248">
            <v>17</v>
          </cell>
          <cell r="AP3248">
            <v>0</v>
          </cell>
          <cell r="AQ3248">
            <v>0</v>
          </cell>
          <cell r="AR3248">
            <v>17</v>
          </cell>
          <cell r="BF3248">
            <v>13.1</v>
          </cell>
          <cell r="BG3248">
            <v>31.571000000000002</v>
          </cell>
          <cell r="BH3248">
            <v>29.247593073593077</v>
          </cell>
          <cell r="BI3248">
            <v>17</v>
          </cell>
          <cell r="BJ3248">
            <v>0</v>
          </cell>
        </row>
        <row r="3249">
          <cell r="D3249" t="str">
            <v>Slovenská technická univerzita v Bratislave</v>
          </cell>
          <cell r="E3249" t="str">
            <v>Fakulta chemickej a potravinárskej technológie</v>
          </cell>
          <cell r="AN3249">
            <v>43</v>
          </cell>
          <cell r="AO3249">
            <v>43</v>
          </cell>
          <cell r="AP3249">
            <v>43</v>
          </cell>
          <cell r="AQ3249">
            <v>43</v>
          </cell>
          <cell r="AR3249">
            <v>43</v>
          </cell>
          <cell r="BF3249">
            <v>32.799999999999997</v>
          </cell>
          <cell r="BG3249">
            <v>63.795999999999999</v>
          </cell>
          <cell r="BH3249">
            <v>61.0331811023622</v>
          </cell>
          <cell r="BI3249">
            <v>43</v>
          </cell>
          <cell r="BJ3249">
            <v>0</v>
          </cell>
        </row>
        <row r="3250">
          <cell r="D3250" t="str">
            <v>Univerzita Konštantína Filozofa v Nitre</v>
          </cell>
          <cell r="E3250" t="str">
            <v>Filozofická fakulta</v>
          </cell>
          <cell r="AN3250">
            <v>0</v>
          </cell>
          <cell r="AO3250">
            <v>0</v>
          </cell>
          <cell r="AP3250">
            <v>0</v>
          </cell>
          <cell r="AQ3250">
            <v>0</v>
          </cell>
          <cell r="AR3250">
            <v>0</v>
          </cell>
          <cell r="BF3250">
            <v>0</v>
          </cell>
          <cell r="BG3250">
            <v>0</v>
          </cell>
          <cell r="BH3250">
            <v>0</v>
          </cell>
          <cell r="BI3250">
            <v>0.5</v>
          </cell>
          <cell r="BJ3250">
            <v>0</v>
          </cell>
        </row>
        <row r="3251">
          <cell r="D3251" t="str">
            <v>Univerzita Komenského v Bratislave</v>
          </cell>
          <cell r="E3251" t="str">
            <v>Fakulta managementu</v>
          </cell>
          <cell r="AN3251">
            <v>41</v>
          </cell>
          <cell r="AO3251">
            <v>41</v>
          </cell>
          <cell r="AP3251">
            <v>0</v>
          </cell>
          <cell r="AQ3251">
            <v>0</v>
          </cell>
          <cell r="AR3251">
            <v>41</v>
          </cell>
          <cell r="BF3251">
            <v>61.5</v>
          </cell>
          <cell r="BG3251">
            <v>63.96</v>
          </cell>
          <cell r="BH3251">
            <v>59.833548387096776</v>
          </cell>
          <cell r="BI3251">
            <v>41</v>
          </cell>
          <cell r="BJ3251">
            <v>0</v>
          </cell>
        </row>
        <row r="3252">
          <cell r="D3252" t="str">
            <v>Slovenská poľnohospodárska univerzita v Nitre</v>
          </cell>
          <cell r="E3252" t="str">
            <v>Fakulta agrobiológie a potravinových zdrojov</v>
          </cell>
          <cell r="AN3252">
            <v>1</v>
          </cell>
          <cell r="AO3252">
            <v>0</v>
          </cell>
          <cell r="AP3252">
            <v>0</v>
          </cell>
          <cell r="AQ3252">
            <v>0</v>
          </cell>
          <cell r="AR3252">
            <v>1</v>
          </cell>
          <cell r="BF3252">
            <v>4</v>
          </cell>
          <cell r="BG3252">
            <v>8.52</v>
          </cell>
          <cell r="BH3252">
            <v>8.52</v>
          </cell>
          <cell r="BI3252">
            <v>1</v>
          </cell>
          <cell r="BJ3252">
            <v>1</v>
          </cell>
        </row>
        <row r="3253">
          <cell r="D3253" t="str">
            <v>Slovenská poľnohospodárska univerzita v Nitre</v>
          </cell>
          <cell r="E3253" t="str">
            <v>Fakulta záhradníctva a krajinného inžinierstva</v>
          </cell>
          <cell r="AN3253">
            <v>56</v>
          </cell>
          <cell r="AO3253">
            <v>62</v>
          </cell>
          <cell r="AP3253">
            <v>0</v>
          </cell>
          <cell r="AQ3253">
            <v>0</v>
          </cell>
          <cell r="AR3253">
            <v>56</v>
          </cell>
          <cell r="BF3253">
            <v>84</v>
          </cell>
          <cell r="BG3253">
            <v>133.56</v>
          </cell>
          <cell r="BH3253">
            <v>98.718260869565214</v>
          </cell>
          <cell r="BI3253">
            <v>62</v>
          </cell>
          <cell r="BJ3253">
            <v>0</v>
          </cell>
        </row>
        <row r="3254">
          <cell r="D3254" t="str">
            <v>Slovenská poľnohospodárska univerzita v Nitre</v>
          </cell>
          <cell r="E3254" t="str">
            <v>Technická fakulta</v>
          </cell>
          <cell r="AN3254">
            <v>29</v>
          </cell>
          <cell r="AO3254">
            <v>29</v>
          </cell>
          <cell r="AP3254">
            <v>0</v>
          </cell>
          <cell r="AQ3254">
            <v>0</v>
          </cell>
          <cell r="AR3254">
            <v>29</v>
          </cell>
          <cell r="BF3254">
            <v>43.5</v>
          </cell>
          <cell r="BG3254">
            <v>64.38</v>
          </cell>
          <cell r="BH3254">
            <v>55.251492537313432</v>
          </cell>
          <cell r="BI3254">
            <v>29</v>
          </cell>
          <cell r="BJ3254">
            <v>0</v>
          </cell>
        </row>
        <row r="3255">
          <cell r="D3255" t="str">
            <v>Slovenská poľnohospodárska univerzita v Nitre</v>
          </cell>
          <cell r="E3255" t="str">
            <v>Fakulta biotechnológie a potravinárstva</v>
          </cell>
          <cell r="AN3255">
            <v>26</v>
          </cell>
          <cell r="AO3255">
            <v>29</v>
          </cell>
          <cell r="AP3255">
            <v>0</v>
          </cell>
          <cell r="AQ3255">
            <v>0</v>
          </cell>
          <cell r="AR3255">
            <v>26</v>
          </cell>
          <cell r="BF3255">
            <v>39</v>
          </cell>
          <cell r="BG3255">
            <v>57.72</v>
          </cell>
          <cell r="BH3255">
            <v>38.480000000000004</v>
          </cell>
          <cell r="BI3255">
            <v>29</v>
          </cell>
          <cell r="BJ3255">
            <v>0</v>
          </cell>
        </row>
        <row r="3256">
          <cell r="D3256" t="str">
            <v>Slovenská poľnohospodárska univerzita v Nitre</v>
          </cell>
          <cell r="E3256" t="str">
            <v>Fakulta agrobiológie a potravinových zdrojov</v>
          </cell>
          <cell r="AN3256">
            <v>43</v>
          </cell>
          <cell r="AO3256">
            <v>43</v>
          </cell>
          <cell r="AP3256">
            <v>0</v>
          </cell>
          <cell r="AQ3256">
            <v>0</v>
          </cell>
          <cell r="AR3256">
            <v>43</v>
          </cell>
          <cell r="BF3256">
            <v>64.5</v>
          </cell>
          <cell r="BG3256">
            <v>102.55500000000001</v>
          </cell>
          <cell r="BH3256">
            <v>72.391764705882352</v>
          </cell>
          <cell r="BI3256">
            <v>43</v>
          </cell>
          <cell r="BJ3256">
            <v>0</v>
          </cell>
        </row>
        <row r="3257">
          <cell r="D3257" t="str">
            <v>Slovenská poľnohospodárska univerzita v Nitre</v>
          </cell>
          <cell r="E3257" t="str">
            <v>Technická fakulta</v>
          </cell>
          <cell r="AN3257">
            <v>96</v>
          </cell>
          <cell r="AO3257">
            <v>98</v>
          </cell>
          <cell r="AP3257">
            <v>0</v>
          </cell>
          <cell r="AQ3257">
            <v>0</v>
          </cell>
          <cell r="AR3257">
            <v>96</v>
          </cell>
          <cell r="BF3257">
            <v>144</v>
          </cell>
          <cell r="BG3257">
            <v>213.12</v>
          </cell>
          <cell r="BH3257">
            <v>189.44</v>
          </cell>
          <cell r="BI3257">
            <v>98</v>
          </cell>
          <cell r="BJ3257">
            <v>0</v>
          </cell>
        </row>
        <row r="3258">
          <cell r="D3258" t="str">
            <v>Slovenská poľnohospodárska univerzita v Nitre</v>
          </cell>
          <cell r="E3258" t="str">
            <v>Fakulta ekonomiky a manažmentu</v>
          </cell>
          <cell r="AN3258">
            <v>127</v>
          </cell>
          <cell r="AO3258">
            <v>128</v>
          </cell>
          <cell r="AP3258">
            <v>0</v>
          </cell>
          <cell r="AQ3258">
            <v>0</v>
          </cell>
          <cell r="AR3258">
            <v>127</v>
          </cell>
          <cell r="BF3258">
            <v>190.5</v>
          </cell>
          <cell r="BG3258">
            <v>198.12</v>
          </cell>
          <cell r="BH3258">
            <v>158.49600000000001</v>
          </cell>
          <cell r="BI3258">
            <v>128</v>
          </cell>
          <cell r="BJ3258">
            <v>0</v>
          </cell>
        </row>
        <row r="3259">
          <cell r="D3259" t="str">
            <v>Slovenská poľnohospodárska univerzita v Nitre</v>
          </cell>
          <cell r="E3259" t="str">
            <v>Fakulta ekonomiky a manažmentu</v>
          </cell>
          <cell r="AN3259">
            <v>0</v>
          </cell>
          <cell r="AO3259">
            <v>14</v>
          </cell>
          <cell r="AP3259">
            <v>0</v>
          </cell>
          <cell r="AQ3259">
            <v>0</v>
          </cell>
          <cell r="AR3259">
            <v>0</v>
          </cell>
          <cell r="BF3259">
            <v>0</v>
          </cell>
          <cell r="BG3259">
            <v>0</v>
          </cell>
          <cell r="BH3259">
            <v>0</v>
          </cell>
          <cell r="BI3259">
            <v>14</v>
          </cell>
          <cell r="BJ3259">
            <v>0</v>
          </cell>
        </row>
        <row r="3260">
          <cell r="D3260" t="str">
            <v>Slovenská poľnohospodárska univerzita v Nitre</v>
          </cell>
          <cell r="E3260" t="str">
            <v>Technická fakulta</v>
          </cell>
          <cell r="AN3260">
            <v>30</v>
          </cell>
          <cell r="AO3260">
            <v>31</v>
          </cell>
          <cell r="AP3260">
            <v>0</v>
          </cell>
          <cell r="AQ3260">
            <v>0</v>
          </cell>
          <cell r="AR3260">
            <v>30</v>
          </cell>
          <cell r="BF3260">
            <v>45</v>
          </cell>
          <cell r="BG3260">
            <v>66.599999999999994</v>
          </cell>
          <cell r="BH3260">
            <v>61.04999999999999</v>
          </cell>
          <cell r="BI3260">
            <v>31</v>
          </cell>
          <cell r="BJ3260">
            <v>0</v>
          </cell>
        </row>
        <row r="3261">
          <cell r="D3261" t="str">
            <v>Slovenská poľnohospodárska univerzita v Nitre</v>
          </cell>
          <cell r="E3261" t="str">
            <v>Fakulta agrobiológie a potravinových zdrojov</v>
          </cell>
          <cell r="AN3261">
            <v>40</v>
          </cell>
          <cell r="AO3261">
            <v>40</v>
          </cell>
          <cell r="AP3261">
            <v>0</v>
          </cell>
          <cell r="AQ3261">
            <v>0</v>
          </cell>
          <cell r="AR3261">
            <v>40</v>
          </cell>
          <cell r="BF3261">
            <v>60</v>
          </cell>
          <cell r="BG3261">
            <v>95.4</v>
          </cell>
          <cell r="BH3261">
            <v>68.900000000000006</v>
          </cell>
          <cell r="BI3261">
            <v>40</v>
          </cell>
          <cell r="BJ3261">
            <v>0</v>
          </cell>
        </row>
        <row r="3262">
          <cell r="D3262" t="str">
            <v>Slovenská poľnohospodárska univerzita v Nitre</v>
          </cell>
          <cell r="E3262" t="str">
            <v>Fakulta agrobiológie a potravinových zdrojov</v>
          </cell>
          <cell r="AN3262">
            <v>16</v>
          </cell>
          <cell r="AO3262">
            <v>17</v>
          </cell>
          <cell r="AP3262">
            <v>0</v>
          </cell>
          <cell r="AQ3262">
            <v>0</v>
          </cell>
          <cell r="AR3262">
            <v>16</v>
          </cell>
          <cell r="BF3262">
            <v>24</v>
          </cell>
          <cell r="BG3262">
            <v>38.160000000000004</v>
          </cell>
          <cell r="BH3262">
            <v>32.28923076923077</v>
          </cell>
          <cell r="BI3262">
            <v>17</v>
          </cell>
          <cell r="BJ3262">
            <v>0</v>
          </cell>
        </row>
        <row r="3263">
          <cell r="D3263" t="str">
            <v>Slovenská poľnohospodárska univerzita v Nitre</v>
          </cell>
          <cell r="E3263" t="str">
            <v>Fakulta agrobiológie a potravinových zdrojov</v>
          </cell>
          <cell r="AN3263">
            <v>2</v>
          </cell>
          <cell r="AO3263">
            <v>0</v>
          </cell>
          <cell r="AP3263">
            <v>0</v>
          </cell>
          <cell r="AQ3263">
            <v>0</v>
          </cell>
          <cell r="AR3263">
            <v>2</v>
          </cell>
          <cell r="BF3263">
            <v>8</v>
          </cell>
          <cell r="BG3263">
            <v>17.04</v>
          </cell>
          <cell r="BH3263">
            <v>13.94181818181818</v>
          </cell>
          <cell r="BI3263">
            <v>2</v>
          </cell>
          <cell r="BJ3263">
            <v>2</v>
          </cell>
        </row>
        <row r="3264">
          <cell r="D3264" t="str">
            <v>Slovenská poľnohospodárska univerzita v Nitre</v>
          </cell>
          <cell r="E3264" t="str">
            <v>Fakulta ekonomiky a manažmentu</v>
          </cell>
          <cell r="AN3264">
            <v>0</v>
          </cell>
          <cell r="AO3264">
            <v>0</v>
          </cell>
          <cell r="AP3264">
            <v>0</v>
          </cell>
          <cell r="AQ3264">
            <v>0</v>
          </cell>
          <cell r="AR3264">
            <v>0</v>
          </cell>
          <cell r="BF3264">
            <v>0</v>
          </cell>
          <cell r="BG3264">
            <v>0</v>
          </cell>
          <cell r="BH3264">
            <v>0</v>
          </cell>
          <cell r="BI3264">
            <v>2</v>
          </cell>
          <cell r="BJ3264">
            <v>0</v>
          </cell>
        </row>
        <row r="3265">
          <cell r="D3265" t="str">
            <v>Slovenská poľnohospodárska univerzita v Nitre</v>
          </cell>
          <cell r="E3265" t="str">
            <v>Fakulta agrobiológie a potravinových zdrojov</v>
          </cell>
          <cell r="AN3265">
            <v>5</v>
          </cell>
          <cell r="AO3265">
            <v>5</v>
          </cell>
          <cell r="AP3265">
            <v>0</v>
          </cell>
          <cell r="AQ3265">
            <v>0</v>
          </cell>
          <cell r="AR3265">
            <v>5</v>
          </cell>
          <cell r="BF3265">
            <v>7.5</v>
          </cell>
          <cell r="BG3265">
            <v>11.925000000000001</v>
          </cell>
          <cell r="BH3265">
            <v>9.7568181818181809</v>
          </cell>
          <cell r="BI3265">
            <v>5</v>
          </cell>
          <cell r="BJ3265">
            <v>0</v>
          </cell>
        </row>
        <row r="3266">
          <cell r="D3266" t="str">
            <v>Slovenská poľnohospodárska univerzita v Nitre</v>
          </cell>
          <cell r="E3266" t="str">
            <v>Fakulta záhradníctva a krajinného inžinierstva</v>
          </cell>
          <cell r="AN3266">
            <v>0</v>
          </cell>
          <cell r="AO3266">
            <v>3</v>
          </cell>
          <cell r="AP3266">
            <v>0</v>
          </cell>
          <cell r="AQ3266">
            <v>0</v>
          </cell>
          <cell r="AR3266">
            <v>0</v>
          </cell>
          <cell r="BF3266">
            <v>0</v>
          </cell>
          <cell r="BG3266">
            <v>0</v>
          </cell>
          <cell r="BH3266">
            <v>0</v>
          </cell>
          <cell r="BI3266">
            <v>3</v>
          </cell>
          <cell r="BJ3266">
            <v>0</v>
          </cell>
        </row>
        <row r="3267">
          <cell r="D3267" t="str">
            <v>Slovenská poľnohospodárska univerzita v Nitre</v>
          </cell>
          <cell r="E3267" t="str">
            <v>Fakulta ekonomiky a manažmentu</v>
          </cell>
          <cell r="AN3267">
            <v>0</v>
          </cell>
          <cell r="AO3267">
            <v>11</v>
          </cell>
          <cell r="AP3267">
            <v>0</v>
          </cell>
          <cell r="AQ3267">
            <v>0</v>
          </cell>
          <cell r="AR3267">
            <v>0</v>
          </cell>
          <cell r="BF3267">
            <v>0</v>
          </cell>
          <cell r="BG3267">
            <v>0</v>
          </cell>
          <cell r="BH3267">
            <v>0</v>
          </cell>
          <cell r="BI3267">
            <v>11</v>
          </cell>
          <cell r="BJ3267">
            <v>0</v>
          </cell>
        </row>
        <row r="3268">
          <cell r="D3268" t="str">
            <v>Slovenská poľnohospodárska univerzita v Nitre</v>
          </cell>
          <cell r="E3268" t="str">
            <v>Fakulta ekonomiky a manažmentu</v>
          </cell>
          <cell r="AN3268">
            <v>0</v>
          </cell>
          <cell r="AO3268">
            <v>0</v>
          </cell>
          <cell r="AP3268">
            <v>0</v>
          </cell>
          <cell r="AQ3268">
            <v>0</v>
          </cell>
          <cell r="AR3268">
            <v>0</v>
          </cell>
          <cell r="BF3268">
            <v>0</v>
          </cell>
          <cell r="BG3268">
            <v>0</v>
          </cell>
          <cell r="BH3268">
            <v>0</v>
          </cell>
          <cell r="BI3268">
            <v>4</v>
          </cell>
          <cell r="BJ3268">
            <v>0</v>
          </cell>
        </row>
        <row r="3269">
          <cell r="D3269" t="str">
            <v>Prešovská univerzita v Prešove</v>
          </cell>
          <cell r="E3269" t="str">
            <v>Filozofická fakulta</v>
          </cell>
          <cell r="AN3269">
            <v>0</v>
          </cell>
          <cell r="AO3269">
            <v>0</v>
          </cell>
          <cell r="AP3269">
            <v>0</v>
          </cell>
          <cell r="AQ3269">
            <v>0</v>
          </cell>
          <cell r="AR3269">
            <v>0</v>
          </cell>
          <cell r="BF3269">
            <v>0</v>
          </cell>
          <cell r="BG3269">
            <v>0</v>
          </cell>
          <cell r="BH3269">
            <v>0</v>
          </cell>
          <cell r="BI3269">
            <v>11</v>
          </cell>
          <cell r="BJ3269">
            <v>0</v>
          </cell>
        </row>
        <row r="3270">
          <cell r="D3270" t="str">
            <v>Prešovská univerzita v Prešove</v>
          </cell>
          <cell r="E3270" t="str">
            <v>Filozofická fakulta</v>
          </cell>
          <cell r="AN3270">
            <v>5</v>
          </cell>
          <cell r="AO3270">
            <v>6</v>
          </cell>
          <cell r="AP3270">
            <v>0</v>
          </cell>
          <cell r="AQ3270">
            <v>0</v>
          </cell>
          <cell r="AR3270">
            <v>5</v>
          </cell>
          <cell r="BF3270">
            <v>7.5</v>
          </cell>
          <cell r="BG3270">
            <v>7.5</v>
          </cell>
          <cell r="BH3270">
            <v>3</v>
          </cell>
          <cell r="BI3270">
            <v>6</v>
          </cell>
          <cell r="BJ3270">
            <v>0</v>
          </cell>
        </row>
        <row r="3271">
          <cell r="D3271" t="str">
            <v>Prešovská univerzita v Prešove</v>
          </cell>
          <cell r="E3271" t="str">
            <v>Filozofická fakulta</v>
          </cell>
          <cell r="AN3271">
            <v>27</v>
          </cell>
          <cell r="AO3271">
            <v>27</v>
          </cell>
          <cell r="AP3271">
            <v>0</v>
          </cell>
          <cell r="AQ3271">
            <v>0</v>
          </cell>
          <cell r="AR3271">
            <v>27</v>
          </cell>
          <cell r="BF3271">
            <v>40.5</v>
          </cell>
          <cell r="BG3271">
            <v>42.120000000000005</v>
          </cell>
          <cell r="BH3271">
            <v>30.085714285714289</v>
          </cell>
          <cell r="BI3271">
            <v>27</v>
          </cell>
          <cell r="BJ3271">
            <v>0</v>
          </cell>
        </row>
        <row r="3272">
          <cell r="D3272" t="str">
            <v>Prešovská univerzita v Prešove</v>
          </cell>
          <cell r="E3272" t="str">
            <v>Filozofická fakulta</v>
          </cell>
          <cell r="AN3272">
            <v>0</v>
          </cell>
          <cell r="AO3272">
            <v>0</v>
          </cell>
          <cell r="AP3272">
            <v>0</v>
          </cell>
          <cell r="AQ3272">
            <v>0</v>
          </cell>
          <cell r="AR3272">
            <v>0</v>
          </cell>
          <cell r="BF3272">
            <v>0</v>
          </cell>
          <cell r="BG3272">
            <v>0</v>
          </cell>
          <cell r="BH3272">
            <v>0</v>
          </cell>
          <cell r="BI3272">
            <v>1</v>
          </cell>
          <cell r="BJ3272">
            <v>0</v>
          </cell>
        </row>
        <row r="3273">
          <cell r="D3273" t="str">
            <v>Prešovská univerzita v Prešove</v>
          </cell>
          <cell r="E3273" t="str">
            <v>Filozofická fakulta</v>
          </cell>
          <cell r="AN3273">
            <v>4.5</v>
          </cell>
          <cell r="AO3273">
            <v>5</v>
          </cell>
          <cell r="AP3273">
            <v>0</v>
          </cell>
          <cell r="AQ3273">
            <v>0</v>
          </cell>
          <cell r="AR3273">
            <v>4.5</v>
          </cell>
          <cell r="BF3273">
            <v>6.75</v>
          </cell>
          <cell r="BG3273">
            <v>14.512499999999999</v>
          </cell>
          <cell r="BH3273">
            <v>11.61</v>
          </cell>
          <cell r="BI3273">
            <v>5</v>
          </cell>
          <cell r="BJ3273">
            <v>0</v>
          </cell>
        </row>
        <row r="3274">
          <cell r="D3274" t="str">
            <v>Prešovská univerzita v Prešove</v>
          </cell>
          <cell r="E3274" t="str">
            <v>Filozofická fakulta</v>
          </cell>
          <cell r="AN3274">
            <v>24</v>
          </cell>
          <cell r="AO3274">
            <v>24</v>
          </cell>
          <cell r="AP3274">
            <v>0</v>
          </cell>
          <cell r="AQ3274">
            <v>0</v>
          </cell>
          <cell r="AR3274">
            <v>24</v>
          </cell>
          <cell r="BF3274">
            <v>36</v>
          </cell>
          <cell r="BG3274">
            <v>39.24</v>
          </cell>
          <cell r="BH3274">
            <v>39.24</v>
          </cell>
          <cell r="BI3274">
            <v>24</v>
          </cell>
          <cell r="BJ3274">
            <v>0</v>
          </cell>
        </row>
        <row r="3275">
          <cell r="D3275" t="str">
            <v>Prešovská univerzita v Prešove</v>
          </cell>
          <cell r="E3275" t="str">
            <v>Filozofická fakulta</v>
          </cell>
          <cell r="AN3275">
            <v>2</v>
          </cell>
          <cell r="AO3275">
            <v>0</v>
          </cell>
          <cell r="AP3275">
            <v>0</v>
          </cell>
          <cell r="AQ3275">
            <v>0</v>
          </cell>
          <cell r="AR3275">
            <v>2</v>
          </cell>
          <cell r="BF3275">
            <v>6</v>
          </cell>
          <cell r="BG3275">
            <v>6.6000000000000005</v>
          </cell>
          <cell r="BH3275">
            <v>6.6000000000000005</v>
          </cell>
          <cell r="BI3275">
            <v>2</v>
          </cell>
          <cell r="BJ3275">
            <v>2</v>
          </cell>
        </row>
        <row r="3276">
          <cell r="D3276" t="str">
            <v>Prešovská univerzita v Prešove</v>
          </cell>
          <cell r="E3276" t="str">
            <v>Filozofická fakulta</v>
          </cell>
          <cell r="AN3276">
            <v>60</v>
          </cell>
          <cell r="AO3276">
            <v>60</v>
          </cell>
          <cell r="AP3276">
            <v>0</v>
          </cell>
          <cell r="AQ3276">
            <v>0</v>
          </cell>
          <cell r="AR3276">
            <v>60</v>
          </cell>
          <cell r="BF3276">
            <v>90</v>
          </cell>
          <cell r="BG3276">
            <v>90</v>
          </cell>
          <cell r="BH3276">
            <v>79.615384615384613</v>
          </cell>
          <cell r="BI3276">
            <v>60</v>
          </cell>
          <cell r="BJ3276">
            <v>0</v>
          </cell>
        </row>
        <row r="3277">
          <cell r="D3277" t="str">
            <v>Prešovská univerzita v Prešove</v>
          </cell>
          <cell r="E3277" t="str">
            <v>Filozofická fakulta</v>
          </cell>
          <cell r="AN3277">
            <v>7</v>
          </cell>
          <cell r="AO3277">
            <v>7</v>
          </cell>
          <cell r="AP3277">
            <v>0</v>
          </cell>
          <cell r="AQ3277">
            <v>0</v>
          </cell>
          <cell r="AR3277">
            <v>7</v>
          </cell>
          <cell r="BF3277">
            <v>10.5</v>
          </cell>
          <cell r="BG3277">
            <v>15.75</v>
          </cell>
          <cell r="BH3277">
            <v>9.84375</v>
          </cell>
          <cell r="BI3277">
            <v>7</v>
          </cell>
          <cell r="BJ3277">
            <v>0</v>
          </cell>
        </row>
        <row r="3278">
          <cell r="D3278" t="str">
            <v>Prešovská univerzita v Prešove</v>
          </cell>
          <cell r="E3278" t="str">
            <v>Filozofická fakulta</v>
          </cell>
          <cell r="AN3278">
            <v>4</v>
          </cell>
          <cell r="AO3278">
            <v>4</v>
          </cell>
          <cell r="AP3278">
            <v>0</v>
          </cell>
          <cell r="AQ3278">
            <v>0</v>
          </cell>
          <cell r="AR3278">
            <v>4</v>
          </cell>
          <cell r="BF3278">
            <v>6</v>
          </cell>
          <cell r="BG3278">
            <v>9</v>
          </cell>
          <cell r="BH3278">
            <v>0</v>
          </cell>
          <cell r="BI3278">
            <v>4</v>
          </cell>
          <cell r="BJ3278">
            <v>0</v>
          </cell>
        </row>
        <row r="3279">
          <cell r="D3279" t="str">
            <v>Prešovská univerzita v Prešove</v>
          </cell>
          <cell r="E3279" t="str">
            <v>Filozofická fakulta</v>
          </cell>
          <cell r="AN3279">
            <v>7.5</v>
          </cell>
          <cell r="AO3279">
            <v>7.5</v>
          </cell>
          <cell r="AP3279">
            <v>0</v>
          </cell>
          <cell r="AQ3279">
            <v>0</v>
          </cell>
          <cell r="AR3279">
            <v>7.5</v>
          </cell>
          <cell r="BF3279">
            <v>11.25</v>
          </cell>
          <cell r="BG3279">
            <v>16.875</v>
          </cell>
          <cell r="BH3279">
            <v>12.65625</v>
          </cell>
          <cell r="BI3279">
            <v>7.5</v>
          </cell>
          <cell r="BJ3279">
            <v>0</v>
          </cell>
        </row>
        <row r="3280">
          <cell r="D3280" t="str">
            <v>Prešovská univerzita v Prešove</v>
          </cell>
          <cell r="E3280" t="str">
            <v>Filozofická fakulta</v>
          </cell>
          <cell r="AN3280">
            <v>12</v>
          </cell>
          <cell r="AO3280">
            <v>12</v>
          </cell>
          <cell r="AP3280">
            <v>0</v>
          </cell>
          <cell r="AQ3280">
            <v>0</v>
          </cell>
          <cell r="AR3280">
            <v>12</v>
          </cell>
          <cell r="BF3280">
            <v>18</v>
          </cell>
          <cell r="BG3280">
            <v>19.62</v>
          </cell>
          <cell r="BH3280">
            <v>19.62</v>
          </cell>
          <cell r="BI3280">
            <v>12</v>
          </cell>
          <cell r="BJ3280">
            <v>0</v>
          </cell>
        </row>
        <row r="3281">
          <cell r="D3281" t="str">
            <v>Prešovská univerzita v Prešove</v>
          </cell>
          <cell r="E3281" t="str">
            <v>Filozofická fakulta</v>
          </cell>
          <cell r="AN3281">
            <v>8.5</v>
          </cell>
          <cell r="AO3281">
            <v>8.5</v>
          </cell>
          <cell r="AP3281">
            <v>0</v>
          </cell>
          <cell r="AQ3281">
            <v>0</v>
          </cell>
          <cell r="AR3281">
            <v>8.5</v>
          </cell>
          <cell r="BF3281">
            <v>12.75</v>
          </cell>
          <cell r="BG3281">
            <v>13.897500000000001</v>
          </cell>
          <cell r="BH3281">
            <v>13.897500000000001</v>
          </cell>
          <cell r="BI3281">
            <v>8.5</v>
          </cell>
          <cell r="BJ3281">
            <v>0</v>
          </cell>
        </row>
        <row r="3282">
          <cell r="D3282" t="str">
            <v>Prešovská univerzita v Prešove</v>
          </cell>
          <cell r="E3282" t="str">
            <v>Filozofická fakulta</v>
          </cell>
          <cell r="AN3282">
            <v>5.5</v>
          </cell>
          <cell r="AO3282">
            <v>6</v>
          </cell>
          <cell r="AP3282">
            <v>0</v>
          </cell>
          <cell r="AQ3282">
            <v>0</v>
          </cell>
          <cell r="AR3282">
            <v>5.5</v>
          </cell>
          <cell r="BF3282">
            <v>8.25</v>
          </cell>
          <cell r="BG3282">
            <v>8.9925000000000015</v>
          </cell>
          <cell r="BH3282">
            <v>8.9925000000000015</v>
          </cell>
          <cell r="BI3282">
            <v>6</v>
          </cell>
          <cell r="BJ3282">
            <v>0</v>
          </cell>
        </row>
        <row r="3283">
          <cell r="D3283" t="str">
            <v>Prešovská univerzita v Prešove</v>
          </cell>
          <cell r="E3283" t="str">
            <v>Filozofická fakulta</v>
          </cell>
          <cell r="AN3283">
            <v>3</v>
          </cell>
          <cell r="AO3283">
            <v>3</v>
          </cell>
          <cell r="AP3283">
            <v>0</v>
          </cell>
          <cell r="AQ3283">
            <v>0</v>
          </cell>
          <cell r="AR3283">
            <v>3</v>
          </cell>
          <cell r="BF3283">
            <v>4.5</v>
          </cell>
          <cell r="BG3283">
            <v>4.68</v>
          </cell>
          <cell r="BH3283">
            <v>3.794594594594594</v>
          </cell>
          <cell r="BI3283">
            <v>3</v>
          </cell>
          <cell r="BJ3283">
            <v>0</v>
          </cell>
        </row>
        <row r="3284">
          <cell r="D3284" t="str">
            <v>Prešovská univerzita v Prešove</v>
          </cell>
          <cell r="E3284" t="str">
            <v>Filozofická fakulta</v>
          </cell>
          <cell r="AN3284">
            <v>14</v>
          </cell>
          <cell r="AO3284">
            <v>15</v>
          </cell>
          <cell r="AP3284">
            <v>0</v>
          </cell>
          <cell r="AQ3284">
            <v>0</v>
          </cell>
          <cell r="AR3284">
            <v>14</v>
          </cell>
          <cell r="BF3284">
            <v>12.8</v>
          </cell>
          <cell r="BG3284">
            <v>27.52</v>
          </cell>
          <cell r="BH3284">
            <v>26.243804994054695</v>
          </cell>
          <cell r="BI3284">
            <v>15</v>
          </cell>
          <cell r="BJ3284">
            <v>0</v>
          </cell>
        </row>
        <row r="3285">
          <cell r="D3285" t="str">
            <v>Prešovská univerzita v Prešove</v>
          </cell>
          <cell r="E3285" t="str">
            <v>Filozofická fakulta</v>
          </cell>
          <cell r="AN3285">
            <v>11.5</v>
          </cell>
          <cell r="AO3285">
            <v>11.5</v>
          </cell>
          <cell r="AP3285">
            <v>0</v>
          </cell>
          <cell r="AQ3285">
            <v>0</v>
          </cell>
          <cell r="AR3285">
            <v>11.5</v>
          </cell>
          <cell r="BF3285">
            <v>17.25</v>
          </cell>
          <cell r="BG3285">
            <v>37.087499999999999</v>
          </cell>
          <cell r="BH3285">
            <v>37.087499999999999</v>
          </cell>
          <cell r="BI3285">
            <v>11.5</v>
          </cell>
          <cell r="BJ3285">
            <v>0</v>
          </cell>
        </row>
        <row r="3286">
          <cell r="D3286" t="str">
            <v>Prešovská univerzita v Prešove</v>
          </cell>
          <cell r="E3286" t="str">
            <v>Filozofická fakulta</v>
          </cell>
          <cell r="AN3286">
            <v>5</v>
          </cell>
          <cell r="AO3286">
            <v>5.5</v>
          </cell>
          <cell r="AP3286">
            <v>0</v>
          </cell>
          <cell r="AQ3286">
            <v>0</v>
          </cell>
          <cell r="AR3286">
            <v>5</v>
          </cell>
          <cell r="BF3286">
            <v>7.5</v>
          </cell>
          <cell r="BG3286">
            <v>8.1750000000000007</v>
          </cell>
          <cell r="BH3286">
            <v>7.0850000000000009</v>
          </cell>
          <cell r="BI3286">
            <v>5.5</v>
          </cell>
          <cell r="BJ3286">
            <v>0</v>
          </cell>
        </row>
        <row r="3287">
          <cell r="D3287" t="str">
            <v>Prešovská univerzita v Prešove</v>
          </cell>
          <cell r="E3287" t="str">
            <v>Filozofická fakulta</v>
          </cell>
          <cell r="AN3287">
            <v>12</v>
          </cell>
          <cell r="AO3287">
            <v>12</v>
          </cell>
          <cell r="AP3287">
            <v>0</v>
          </cell>
          <cell r="AQ3287">
            <v>0</v>
          </cell>
          <cell r="AR3287">
            <v>12</v>
          </cell>
          <cell r="BF3287">
            <v>18</v>
          </cell>
          <cell r="BG3287">
            <v>18</v>
          </cell>
          <cell r="BH3287">
            <v>15.600000000000001</v>
          </cell>
          <cell r="BI3287">
            <v>12</v>
          </cell>
          <cell r="BJ3287">
            <v>0</v>
          </cell>
        </row>
        <row r="3288">
          <cell r="D3288" t="str">
            <v>Prešovská univerzita v Prešove</v>
          </cell>
          <cell r="E3288" t="str">
            <v>Filozofická fakulta</v>
          </cell>
          <cell r="AN3288">
            <v>3.5</v>
          </cell>
          <cell r="AO3288">
            <v>3.5</v>
          </cell>
          <cell r="AP3288">
            <v>0</v>
          </cell>
          <cell r="AQ3288">
            <v>0</v>
          </cell>
          <cell r="AR3288">
            <v>3.5</v>
          </cell>
          <cell r="BF3288">
            <v>5.25</v>
          </cell>
          <cell r="BG3288">
            <v>5.7225000000000001</v>
          </cell>
          <cell r="BH3288">
            <v>5.2652899484536091</v>
          </cell>
          <cell r="BI3288">
            <v>3.5</v>
          </cell>
          <cell r="BJ3288">
            <v>0</v>
          </cell>
        </row>
        <row r="3289">
          <cell r="D3289" t="str">
            <v>Prešovská univerzita v Prešove</v>
          </cell>
          <cell r="E3289" t="str">
            <v>Filozofická fakulta</v>
          </cell>
          <cell r="AN3289">
            <v>11</v>
          </cell>
          <cell r="AO3289">
            <v>11</v>
          </cell>
          <cell r="AP3289">
            <v>0</v>
          </cell>
          <cell r="AQ3289">
            <v>0</v>
          </cell>
          <cell r="AR3289">
            <v>11</v>
          </cell>
          <cell r="BF3289">
            <v>16.5</v>
          </cell>
          <cell r="BG3289">
            <v>16.5</v>
          </cell>
          <cell r="BH3289">
            <v>13.961538461538462</v>
          </cell>
          <cell r="BI3289">
            <v>11</v>
          </cell>
          <cell r="BJ3289">
            <v>0</v>
          </cell>
        </row>
        <row r="3290">
          <cell r="D3290" t="str">
            <v>Prešovská univerzita v Prešove</v>
          </cell>
          <cell r="E3290" t="str">
            <v>Filozofická fakulta</v>
          </cell>
          <cell r="AN3290">
            <v>5</v>
          </cell>
          <cell r="AO3290">
            <v>5</v>
          </cell>
          <cell r="AP3290">
            <v>0</v>
          </cell>
          <cell r="AQ3290">
            <v>0</v>
          </cell>
          <cell r="AR3290">
            <v>5</v>
          </cell>
          <cell r="BF3290">
            <v>7.5</v>
          </cell>
          <cell r="BG3290">
            <v>7.8000000000000007</v>
          </cell>
          <cell r="BH3290">
            <v>6.5000000000000009</v>
          </cell>
          <cell r="BI3290">
            <v>5</v>
          </cell>
          <cell r="BJ3290">
            <v>0</v>
          </cell>
        </row>
        <row r="3291">
          <cell r="D3291" t="str">
            <v>Prešovská univerzita v Prešove</v>
          </cell>
          <cell r="E3291" t="str">
            <v>Filozofická fakulta</v>
          </cell>
          <cell r="AN3291">
            <v>13.5</v>
          </cell>
          <cell r="AO3291">
            <v>13.5</v>
          </cell>
          <cell r="AP3291">
            <v>0</v>
          </cell>
          <cell r="AQ3291">
            <v>0</v>
          </cell>
          <cell r="AR3291">
            <v>13.5</v>
          </cell>
          <cell r="BF3291">
            <v>10.8</v>
          </cell>
          <cell r="BG3291">
            <v>23.22</v>
          </cell>
          <cell r="BH3291">
            <v>22.143210463733649</v>
          </cell>
          <cell r="BI3291">
            <v>13.5</v>
          </cell>
          <cell r="BJ3291">
            <v>0</v>
          </cell>
        </row>
        <row r="3292">
          <cell r="D3292" t="str">
            <v>Prešovská univerzita v Prešove</v>
          </cell>
          <cell r="E3292" t="str">
            <v>Filozofická fakulta</v>
          </cell>
          <cell r="AN3292">
            <v>6</v>
          </cell>
          <cell r="AO3292">
            <v>7</v>
          </cell>
          <cell r="AP3292">
            <v>0</v>
          </cell>
          <cell r="AQ3292">
            <v>0</v>
          </cell>
          <cell r="AR3292">
            <v>6</v>
          </cell>
          <cell r="BF3292">
            <v>5.4</v>
          </cell>
          <cell r="BG3292">
            <v>5.6160000000000005</v>
          </cell>
          <cell r="BH3292">
            <v>5.6160000000000005</v>
          </cell>
          <cell r="BI3292">
            <v>7</v>
          </cell>
          <cell r="BJ3292">
            <v>0</v>
          </cell>
        </row>
        <row r="3293">
          <cell r="D3293" t="str">
            <v>Prešovská univerzita v Prešove</v>
          </cell>
          <cell r="E3293" t="str">
            <v>Filozofická fakulta</v>
          </cell>
          <cell r="AN3293">
            <v>0</v>
          </cell>
          <cell r="AO3293">
            <v>0</v>
          </cell>
          <cell r="AP3293">
            <v>0</v>
          </cell>
          <cell r="AQ3293">
            <v>0</v>
          </cell>
          <cell r="AR3293">
            <v>0</v>
          </cell>
          <cell r="BF3293">
            <v>0</v>
          </cell>
          <cell r="BG3293">
            <v>0</v>
          </cell>
          <cell r="BH3293">
            <v>0</v>
          </cell>
          <cell r="BI3293">
            <v>1</v>
          </cell>
          <cell r="BJ3293">
            <v>0</v>
          </cell>
        </row>
        <row r="3294">
          <cell r="D3294" t="str">
            <v>Prešovská univerzita v Prešove</v>
          </cell>
          <cell r="E3294" t="str">
            <v>Fakulta humanitných a prírodných vied</v>
          </cell>
          <cell r="AN3294">
            <v>11</v>
          </cell>
          <cell r="AO3294">
            <v>11</v>
          </cell>
          <cell r="AP3294">
            <v>11</v>
          </cell>
          <cell r="AQ3294">
            <v>11</v>
          </cell>
          <cell r="AR3294">
            <v>11</v>
          </cell>
          <cell r="BF3294">
            <v>16.5</v>
          </cell>
          <cell r="BG3294">
            <v>19.634999999999998</v>
          </cell>
          <cell r="BH3294">
            <v>19.634999999999998</v>
          </cell>
          <cell r="BI3294">
            <v>11</v>
          </cell>
          <cell r="BJ3294">
            <v>0</v>
          </cell>
        </row>
        <row r="3295">
          <cell r="D3295" t="str">
            <v>Prešovská univerzita v Prešove</v>
          </cell>
          <cell r="E3295" t="str">
            <v>Fakulta humanitných a prírodných vied</v>
          </cell>
          <cell r="AN3295">
            <v>11</v>
          </cell>
          <cell r="AO3295">
            <v>11</v>
          </cell>
          <cell r="AP3295">
            <v>0</v>
          </cell>
          <cell r="AQ3295">
            <v>0</v>
          </cell>
          <cell r="AR3295">
            <v>11</v>
          </cell>
          <cell r="BF3295">
            <v>16.5</v>
          </cell>
          <cell r="BG3295">
            <v>24.419999999999998</v>
          </cell>
          <cell r="BH3295">
            <v>18.314999999999998</v>
          </cell>
          <cell r="BI3295">
            <v>11</v>
          </cell>
          <cell r="BJ3295">
            <v>0</v>
          </cell>
        </row>
        <row r="3296">
          <cell r="D3296" t="str">
            <v>Prešovská univerzita v Prešove</v>
          </cell>
          <cell r="E3296" t="str">
            <v>Fakulta humanitných a prírodných vied</v>
          </cell>
          <cell r="AN3296">
            <v>3.5</v>
          </cell>
          <cell r="AO3296">
            <v>3.5</v>
          </cell>
          <cell r="AP3296">
            <v>3.5</v>
          </cell>
          <cell r="AQ3296">
            <v>3.5</v>
          </cell>
          <cell r="AR3296">
            <v>3.5</v>
          </cell>
          <cell r="BF3296">
            <v>5.25</v>
          </cell>
          <cell r="BG3296">
            <v>7.56</v>
          </cell>
          <cell r="BH3296">
            <v>7.56</v>
          </cell>
          <cell r="BI3296">
            <v>3.5</v>
          </cell>
          <cell r="BJ3296">
            <v>0</v>
          </cell>
        </row>
        <row r="3297">
          <cell r="D3297" t="str">
            <v>Prešovská univerzita v Prešove</v>
          </cell>
          <cell r="E3297" t="str">
            <v>Fakulta humanitných a prírodných vied</v>
          </cell>
          <cell r="AN3297">
            <v>28</v>
          </cell>
          <cell r="AO3297">
            <v>28</v>
          </cell>
          <cell r="AP3297">
            <v>0</v>
          </cell>
          <cell r="AQ3297">
            <v>0</v>
          </cell>
          <cell r="AR3297">
            <v>28</v>
          </cell>
          <cell r="BF3297">
            <v>42</v>
          </cell>
          <cell r="BG3297">
            <v>62.16</v>
          </cell>
          <cell r="BH3297">
            <v>47.534117647058821</v>
          </cell>
          <cell r="BI3297">
            <v>28</v>
          </cell>
          <cell r="BJ3297">
            <v>0</v>
          </cell>
        </row>
        <row r="3298">
          <cell r="D3298" t="str">
            <v>Prešovská univerzita v Prešove</v>
          </cell>
          <cell r="E3298" t="str">
            <v>Fakulta humanitných a prírodných vied</v>
          </cell>
          <cell r="AN3298">
            <v>1.5</v>
          </cell>
          <cell r="AO3298">
            <v>1.5</v>
          </cell>
          <cell r="AP3298">
            <v>0</v>
          </cell>
          <cell r="AQ3298">
            <v>0</v>
          </cell>
          <cell r="AR3298">
            <v>1.5</v>
          </cell>
          <cell r="BF3298">
            <v>1.35</v>
          </cell>
          <cell r="BG3298">
            <v>1.944</v>
          </cell>
          <cell r="BH3298">
            <v>1.944</v>
          </cell>
          <cell r="BI3298">
            <v>1.5</v>
          </cell>
          <cell r="BJ3298">
            <v>0</v>
          </cell>
        </row>
        <row r="3299">
          <cell r="D3299" t="str">
            <v>Prešovská univerzita v Prešove</v>
          </cell>
          <cell r="E3299" t="str">
            <v>Fakulta humanitných a prírodných vied</v>
          </cell>
          <cell r="AN3299">
            <v>0</v>
          </cell>
          <cell r="AO3299">
            <v>0</v>
          </cell>
          <cell r="AP3299">
            <v>0</v>
          </cell>
          <cell r="AQ3299">
            <v>0</v>
          </cell>
          <cell r="AR3299">
            <v>0</v>
          </cell>
          <cell r="BF3299">
            <v>0</v>
          </cell>
          <cell r="BG3299">
            <v>0</v>
          </cell>
          <cell r="BH3299">
            <v>0</v>
          </cell>
          <cell r="BI3299">
            <v>1</v>
          </cell>
          <cell r="BJ3299">
            <v>0</v>
          </cell>
        </row>
        <row r="3300">
          <cell r="D3300" t="str">
            <v>Prešovská univerzita v Prešove</v>
          </cell>
          <cell r="E3300" t="str">
            <v>Fakulta manažmentu</v>
          </cell>
          <cell r="AN3300">
            <v>0</v>
          </cell>
          <cell r="AO3300">
            <v>0</v>
          </cell>
          <cell r="AP3300">
            <v>0</v>
          </cell>
          <cell r="AQ3300">
            <v>0</v>
          </cell>
          <cell r="AR3300">
            <v>0</v>
          </cell>
          <cell r="BF3300">
            <v>0</v>
          </cell>
          <cell r="BG3300">
            <v>0</v>
          </cell>
          <cell r="BH3300">
            <v>0</v>
          </cell>
          <cell r="BI3300">
            <v>2</v>
          </cell>
          <cell r="BJ3300">
            <v>0</v>
          </cell>
        </row>
        <row r="3301">
          <cell r="D3301" t="str">
            <v>Prešovská univerzita v Prešove</v>
          </cell>
          <cell r="E3301" t="str">
            <v>Pedagogická fakulta</v>
          </cell>
          <cell r="AN3301">
            <v>64</v>
          </cell>
          <cell r="AO3301">
            <v>64</v>
          </cell>
          <cell r="AP3301">
            <v>0</v>
          </cell>
          <cell r="AQ3301">
            <v>0</v>
          </cell>
          <cell r="AR3301">
            <v>64</v>
          </cell>
          <cell r="BF3301">
            <v>96</v>
          </cell>
          <cell r="BG3301">
            <v>114.24</v>
          </cell>
          <cell r="BH3301">
            <v>99.96</v>
          </cell>
          <cell r="BI3301">
            <v>64</v>
          </cell>
          <cell r="BJ3301">
            <v>0</v>
          </cell>
        </row>
        <row r="3302">
          <cell r="D3302" t="str">
            <v>Prešovská univerzita v Prešove</v>
          </cell>
          <cell r="E3302" t="str">
            <v>Fakulta športu</v>
          </cell>
          <cell r="AN3302">
            <v>66</v>
          </cell>
          <cell r="AO3302">
            <v>68</v>
          </cell>
          <cell r="AP3302">
            <v>0</v>
          </cell>
          <cell r="AQ3302">
            <v>0</v>
          </cell>
          <cell r="AR3302">
            <v>66</v>
          </cell>
          <cell r="BF3302">
            <v>54</v>
          </cell>
          <cell r="BG3302">
            <v>64.259999999999991</v>
          </cell>
          <cell r="BH3302">
            <v>64.259999999999991</v>
          </cell>
          <cell r="BI3302">
            <v>68</v>
          </cell>
          <cell r="BJ3302">
            <v>0</v>
          </cell>
        </row>
        <row r="3303">
          <cell r="D3303" t="str">
            <v>Prešovská univerzita v Prešove</v>
          </cell>
          <cell r="E3303" t="str">
            <v>Fakulta športu</v>
          </cell>
          <cell r="AN3303">
            <v>0</v>
          </cell>
          <cell r="AO3303">
            <v>0</v>
          </cell>
          <cell r="AP3303">
            <v>0</v>
          </cell>
          <cell r="AQ3303">
            <v>0</v>
          </cell>
          <cell r="AR3303">
            <v>0</v>
          </cell>
          <cell r="BF3303">
            <v>0</v>
          </cell>
          <cell r="BG3303">
            <v>0</v>
          </cell>
          <cell r="BH3303">
            <v>0</v>
          </cell>
          <cell r="BI3303">
            <v>2</v>
          </cell>
          <cell r="BJ3303">
            <v>0</v>
          </cell>
        </row>
        <row r="3304">
          <cell r="D3304" t="str">
            <v>Prešovská univerzita v Prešove</v>
          </cell>
          <cell r="E3304" t="str">
            <v>Fakulta športu</v>
          </cell>
          <cell r="AN3304">
            <v>0</v>
          </cell>
          <cell r="AO3304">
            <v>0</v>
          </cell>
          <cell r="AP3304">
            <v>0</v>
          </cell>
          <cell r="AQ3304">
            <v>0</v>
          </cell>
          <cell r="AR3304">
            <v>0</v>
          </cell>
          <cell r="BF3304">
            <v>0</v>
          </cell>
          <cell r="BG3304">
            <v>0</v>
          </cell>
          <cell r="BH3304">
            <v>0</v>
          </cell>
          <cell r="BI3304">
            <v>1</v>
          </cell>
          <cell r="BJ3304">
            <v>0</v>
          </cell>
        </row>
        <row r="3305">
          <cell r="D3305" t="str">
            <v>Prešovská univerzita v Prešove</v>
          </cell>
          <cell r="E3305" t="str">
            <v>Fakulta zdravotníckych odborov</v>
          </cell>
          <cell r="AN3305">
            <v>41</v>
          </cell>
          <cell r="AO3305">
            <v>41</v>
          </cell>
          <cell r="AP3305">
            <v>0</v>
          </cell>
          <cell r="AQ3305">
            <v>0</v>
          </cell>
          <cell r="AR3305">
            <v>41</v>
          </cell>
          <cell r="BF3305">
            <v>61.5</v>
          </cell>
          <cell r="BG3305">
            <v>132.22499999999999</v>
          </cell>
          <cell r="BH3305">
            <v>132.22499999999999</v>
          </cell>
          <cell r="BI3305">
            <v>41</v>
          </cell>
          <cell r="BJ3305">
            <v>0</v>
          </cell>
        </row>
        <row r="3306">
          <cell r="D3306" t="str">
            <v>Prešovská univerzita v Prešove</v>
          </cell>
          <cell r="E3306" t="str">
            <v>Fakulta zdravotníckych odborov</v>
          </cell>
          <cell r="AN3306">
            <v>46</v>
          </cell>
          <cell r="AO3306">
            <v>46</v>
          </cell>
          <cell r="AP3306">
            <v>0</v>
          </cell>
          <cell r="AQ3306">
            <v>0</v>
          </cell>
          <cell r="AR3306">
            <v>46</v>
          </cell>
          <cell r="BF3306">
            <v>69</v>
          </cell>
          <cell r="BG3306">
            <v>71.760000000000005</v>
          </cell>
          <cell r="BH3306">
            <v>71.760000000000005</v>
          </cell>
          <cell r="BI3306">
            <v>46</v>
          </cell>
          <cell r="BJ3306">
            <v>0</v>
          </cell>
        </row>
        <row r="3307">
          <cell r="D3307" t="str">
            <v>Prešovská univerzita v Prešove</v>
          </cell>
          <cell r="E3307">
            <v>0</v>
          </cell>
          <cell r="AN3307">
            <v>1</v>
          </cell>
          <cell r="AO3307">
            <v>1</v>
          </cell>
          <cell r="AP3307">
            <v>0</v>
          </cell>
          <cell r="AQ3307">
            <v>0</v>
          </cell>
          <cell r="AR3307">
            <v>1</v>
          </cell>
          <cell r="BF3307">
            <v>1.5</v>
          </cell>
          <cell r="BG3307">
            <v>1.6350000000000002</v>
          </cell>
          <cell r="BH3307">
            <v>1.6350000000000002</v>
          </cell>
          <cell r="BI3307">
            <v>1</v>
          </cell>
          <cell r="BJ3307">
            <v>0</v>
          </cell>
        </row>
        <row r="3308">
          <cell r="D3308" t="str">
            <v>Prešovská univerzita v Prešove</v>
          </cell>
          <cell r="E3308">
            <v>0</v>
          </cell>
          <cell r="AN3308">
            <v>2</v>
          </cell>
          <cell r="AO3308">
            <v>2</v>
          </cell>
          <cell r="AP3308">
            <v>0</v>
          </cell>
          <cell r="AQ3308">
            <v>0</v>
          </cell>
          <cell r="AR3308">
            <v>2</v>
          </cell>
          <cell r="BF3308">
            <v>3</v>
          </cell>
          <cell r="BG3308">
            <v>3.2700000000000005</v>
          </cell>
          <cell r="BH3308">
            <v>3.0087371134020624</v>
          </cell>
          <cell r="BI3308">
            <v>2</v>
          </cell>
          <cell r="BJ3308">
            <v>0</v>
          </cell>
        </row>
        <row r="3309">
          <cell r="D3309" t="str">
            <v>Prešovská univerzita v Prešove</v>
          </cell>
          <cell r="E3309">
            <v>0</v>
          </cell>
          <cell r="AN3309">
            <v>2.5</v>
          </cell>
          <cell r="AO3309">
            <v>3</v>
          </cell>
          <cell r="AP3309">
            <v>0</v>
          </cell>
          <cell r="AQ3309">
            <v>0</v>
          </cell>
          <cell r="AR3309">
            <v>2.5</v>
          </cell>
          <cell r="BF3309">
            <v>1.9</v>
          </cell>
          <cell r="BG3309">
            <v>2.0710000000000002</v>
          </cell>
          <cell r="BH3309">
            <v>1.9749607609988111</v>
          </cell>
          <cell r="BI3309">
            <v>3</v>
          </cell>
          <cell r="BJ3309">
            <v>0</v>
          </cell>
        </row>
        <row r="3310">
          <cell r="D3310" t="str">
            <v>Univerzita Konštantína Filozofa v Nitre</v>
          </cell>
          <cell r="E3310" t="str">
            <v>Fakulta sociálnych vied a zdravotníctva</v>
          </cell>
          <cell r="AN3310">
            <v>29</v>
          </cell>
          <cell r="AO3310">
            <v>29</v>
          </cell>
          <cell r="AP3310">
            <v>0</v>
          </cell>
          <cell r="AQ3310">
            <v>0</v>
          </cell>
          <cell r="AR3310">
            <v>29</v>
          </cell>
          <cell r="BF3310">
            <v>43.5</v>
          </cell>
          <cell r="BG3310">
            <v>43.5</v>
          </cell>
          <cell r="BH3310">
            <v>31.636363636363637</v>
          </cell>
          <cell r="BI3310">
            <v>29</v>
          </cell>
          <cell r="BJ3310">
            <v>0</v>
          </cell>
        </row>
        <row r="3311">
          <cell r="D3311" t="str">
            <v>Žilinská univerzita v Žiline</v>
          </cell>
          <cell r="E3311" t="str">
            <v>Fakulta humanitných vied</v>
          </cell>
          <cell r="AN3311">
            <v>11.5</v>
          </cell>
          <cell r="AO3311">
            <v>12</v>
          </cell>
          <cell r="AP3311">
            <v>0</v>
          </cell>
          <cell r="AQ3311">
            <v>0</v>
          </cell>
          <cell r="AR3311">
            <v>11.5</v>
          </cell>
          <cell r="BF3311">
            <v>17.25</v>
          </cell>
          <cell r="BG3311">
            <v>18.802500000000002</v>
          </cell>
          <cell r="BH3311">
            <v>17.356153846153848</v>
          </cell>
          <cell r="BI3311">
            <v>12</v>
          </cell>
          <cell r="BJ3311">
            <v>0</v>
          </cell>
        </row>
        <row r="3312">
          <cell r="D3312" t="str">
            <v>Univerzita Pavla Jozefa Šafárika v Košiciach</v>
          </cell>
          <cell r="E3312" t="str">
            <v>Filozofická fakulta</v>
          </cell>
          <cell r="AN3312">
            <v>0</v>
          </cell>
          <cell r="AO3312">
            <v>12</v>
          </cell>
          <cell r="AP3312">
            <v>0</v>
          </cell>
          <cell r="AQ3312">
            <v>0</v>
          </cell>
          <cell r="AR3312">
            <v>0</v>
          </cell>
          <cell r="BF3312">
            <v>0</v>
          </cell>
          <cell r="BG3312">
            <v>0</v>
          </cell>
          <cell r="BH3312">
            <v>0</v>
          </cell>
          <cell r="BI3312">
            <v>12</v>
          </cell>
          <cell r="BJ3312">
            <v>0</v>
          </cell>
        </row>
        <row r="3313">
          <cell r="D3313" t="str">
            <v>Univerzita sv. Cyrila a Metoda v Trnave</v>
          </cell>
          <cell r="E3313">
            <v>0</v>
          </cell>
          <cell r="AN3313">
            <v>89</v>
          </cell>
          <cell r="AO3313">
            <v>89</v>
          </cell>
          <cell r="AP3313">
            <v>0</v>
          </cell>
          <cell r="AQ3313">
            <v>0</v>
          </cell>
          <cell r="AR3313">
            <v>89</v>
          </cell>
          <cell r="BF3313">
            <v>133.5</v>
          </cell>
          <cell r="BG3313">
            <v>287.02499999999998</v>
          </cell>
          <cell r="BH3313">
            <v>246.02142857142857</v>
          </cell>
          <cell r="BI3313">
            <v>89</v>
          </cell>
          <cell r="BJ3313">
            <v>0</v>
          </cell>
        </row>
        <row r="3314">
          <cell r="D3314" t="str">
            <v>Univerzita sv. Cyrila a Metoda v Trnave</v>
          </cell>
          <cell r="E3314" t="str">
            <v>Filozofická fakulta</v>
          </cell>
          <cell r="AN3314">
            <v>3</v>
          </cell>
          <cell r="AO3314">
            <v>6</v>
          </cell>
          <cell r="AP3314">
            <v>0</v>
          </cell>
          <cell r="AQ3314">
            <v>0</v>
          </cell>
          <cell r="AR3314">
            <v>3</v>
          </cell>
          <cell r="BF3314">
            <v>4.5</v>
          </cell>
          <cell r="BG3314">
            <v>4.5</v>
          </cell>
          <cell r="BH3314">
            <v>3.375</v>
          </cell>
          <cell r="BI3314">
            <v>6</v>
          </cell>
          <cell r="BJ3314">
            <v>0</v>
          </cell>
        </row>
        <row r="3315">
          <cell r="D3315" t="str">
            <v>Univerzita sv. Cyrila a Metoda v Trnave</v>
          </cell>
          <cell r="E3315" t="str">
            <v>Fakulta masmediálnej komunikácie</v>
          </cell>
          <cell r="AN3315">
            <v>4</v>
          </cell>
          <cell r="AO3315">
            <v>0</v>
          </cell>
          <cell r="AP3315">
            <v>0</v>
          </cell>
          <cell r="AQ3315">
            <v>0</v>
          </cell>
          <cell r="AR3315">
            <v>4</v>
          </cell>
          <cell r="BF3315">
            <v>16</v>
          </cell>
          <cell r="BG3315">
            <v>17.600000000000001</v>
          </cell>
          <cell r="BH3315">
            <v>17.600000000000001</v>
          </cell>
          <cell r="BI3315">
            <v>4</v>
          </cell>
          <cell r="BJ3315">
            <v>4</v>
          </cell>
        </row>
        <row r="3316">
          <cell r="D3316" t="str">
            <v>Univerzita sv. Cyrila a Metoda v Trnave</v>
          </cell>
          <cell r="E3316" t="str">
            <v>Filozofická fakulta</v>
          </cell>
          <cell r="AN3316">
            <v>16</v>
          </cell>
          <cell r="AO3316">
            <v>17</v>
          </cell>
          <cell r="AP3316">
            <v>0</v>
          </cell>
          <cell r="AQ3316">
            <v>0</v>
          </cell>
          <cell r="AR3316">
            <v>16</v>
          </cell>
          <cell r="BF3316">
            <v>24</v>
          </cell>
          <cell r="BG3316">
            <v>24.96</v>
          </cell>
          <cell r="BH3316">
            <v>24.96</v>
          </cell>
          <cell r="BI3316">
            <v>17</v>
          </cell>
          <cell r="BJ3316">
            <v>0</v>
          </cell>
        </row>
        <row r="3317">
          <cell r="D3317" t="str">
            <v>Univerzita sv. Cyrila a Metoda v Trnave</v>
          </cell>
          <cell r="E3317" t="str">
            <v>Filozofická fakulta</v>
          </cell>
          <cell r="AN3317">
            <v>10</v>
          </cell>
          <cell r="AO3317">
            <v>10</v>
          </cell>
          <cell r="AP3317">
            <v>0</v>
          </cell>
          <cell r="AQ3317">
            <v>0</v>
          </cell>
          <cell r="AR3317">
            <v>10</v>
          </cell>
          <cell r="BF3317">
            <v>15</v>
          </cell>
          <cell r="BG3317">
            <v>15</v>
          </cell>
          <cell r="BH3317">
            <v>12.75</v>
          </cell>
          <cell r="BI3317">
            <v>10</v>
          </cell>
          <cell r="BJ3317">
            <v>0</v>
          </cell>
        </row>
        <row r="3318">
          <cell r="D3318" t="str">
            <v>Univerzita sv. Cyrila a Metoda v Trnave</v>
          </cell>
          <cell r="E3318" t="str">
            <v>Fakulta prírodných vied</v>
          </cell>
          <cell r="AN3318">
            <v>22</v>
          </cell>
          <cell r="AO3318">
            <v>22</v>
          </cell>
          <cell r="AP3318">
            <v>0</v>
          </cell>
          <cell r="AQ3318">
            <v>0</v>
          </cell>
          <cell r="AR3318">
            <v>22</v>
          </cell>
          <cell r="BF3318">
            <v>33</v>
          </cell>
          <cell r="BG3318">
            <v>48.839999999999996</v>
          </cell>
          <cell r="BH3318">
            <v>45.583999999999996</v>
          </cell>
          <cell r="BI3318">
            <v>22</v>
          </cell>
          <cell r="BJ3318">
            <v>0</v>
          </cell>
        </row>
        <row r="3319">
          <cell r="D3319" t="str">
            <v>Univerzita sv. Cyrila a Metoda v Trnave</v>
          </cell>
          <cell r="E3319" t="str">
            <v>Fakulta prírodných vied</v>
          </cell>
          <cell r="AN3319">
            <v>43</v>
          </cell>
          <cell r="AO3319">
            <v>44</v>
          </cell>
          <cell r="AP3319">
            <v>0</v>
          </cell>
          <cell r="AQ3319">
            <v>0</v>
          </cell>
          <cell r="AR3319">
            <v>43</v>
          </cell>
          <cell r="BF3319">
            <v>64.5</v>
          </cell>
          <cell r="BG3319">
            <v>95.46</v>
          </cell>
          <cell r="BH3319">
            <v>75.363157894736844</v>
          </cell>
          <cell r="BI3319">
            <v>44</v>
          </cell>
          <cell r="BJ3319">
            <v>0</v>
          </cell>
        </row>
        <row r="3320">
          <cell r="D3320" t="str">
            <v>Univerzita sv. Cyrila a Metoda v Trnave</v>
          </cell>
          <cell r="E3320" t="str">
            <v>Fakulta prírodných vied</v>
          </cell>
          <cell r="AN3320">
            <v>26</v>
          </cell>
          <cell r="AO3320">
            <v>26</v>
          </cell>
          <cell r="AP3320">
            <v>0</v>
          </cell>
          <cell r="AQ3320">
            <v>0</v>
          </cell>
          <cell r="AR3320">
            <v>26</v>
          </cell>
          <cell r="BF3320">
            <v>39</v>
          </cell>
          <cell r="BG3320">
            <v>57.72</v>
          </cell>
          <cell r="BH3320">
            <v>43.29</v>
          </cell>
          <cell r="BI3320">
            <v>26</v>
          </cell>
          <cell r="BJ3320">
            <v>0</v>
          </cell>
        </row>
        <row r="3321">
          <cell r="D3321" t="str">
            <v>Univerzita sv. Cyrila a Metoda v Trnave</v>
          </cell>
          <cell r="E3321" t="str">
            <v>Filozofická fakulta</v>
          </cell>
          <cell r="AN3321">
            <v>7</v>
          </cell>
          <cell r="AO3321">
            <v>8</v>
          </cell>
          <cell r="AP3321">
            <v>0</v>
          </cell>
          <cell r="AQ3321">
            <v>0</v>
          </cell>
          <cell r="AR3321">
            <v>7</v>
          </cell>
          <cell r="BF3321">
            <v>10.5</v>
          </cell>
          <cell r="BG3321">
            <v>11.445</v>
          </cell>
          <cell r="BH3321">
            <v>11.445</v>
          </cell>
          <cell r="BI3321">
            <v>8</v>
          </cell>
          <cell r="BJ3321">
            <v>0</v>
          </cell>
        </row>
        <row r="3322">
          <cell r="D3322" t="str">
            <v>Univerzita sv. Cyrila a Metoda v Trnave</v>
          </cell>
          <cell r="E3322" t="str">
            <v>Fakulta prírodných vied</v>
          </cell>
          <cell r="AN3322">
            <v>8</v>
          </cell>
          <cell r="AO3322">
            <v>8</v>
          </cell>
          <cell r="AP3322">
            <v>0</v>
          </cell>
          <cell r="AQ3322">
            <v>0</v>
          </cell>
          <cell r="AR3322">
            <v>8</v>
          </cell>
          <cell r="BF3322">
            <v>12</v>
          </cell>
          <cell r="BG3322">
            <v>17.759999999999998</v>
          </cell>
          <cell r="BH3322">
            <v>13.319999999999999</v>
          </cell>
          <cell r="BI3322">
            <v>8</v>
          </cell>
          <cell r="BJ3322">
            <v>0</v>
          </cell>
        </row>
        <row r="3323">
          <cell r="D3323" t="str">
            <v>Univerzita sv. Cyrila a Metoda v Trnave</v>
          </cell>
          <cell r="E3323" t="str">
            <v>Filozofická fakulta</v>
          </cell>
          <cell r="AN3323">
            <v>0</v>
          </cell>
          <cell r="AO3323">
            <v>0</v>
          </cell>
          <cell r="AP3323">
            <v>0</v>
          </cell>
          <cell r="AQ3323">
            <v>0</v>
          </cell>
          <cell r="AR3323">
            <v>0</v>
          </cell>
          <cell r="BF3323">
            <v>0</v>
          </cell>
          <cell r="BG3323">
            <v>0</v>
          </cell>
          <cell r="BH3323">
            <v>0</v>
          </cell>
          <cell r="BI3323">
            <v>7</v>
          </cell>
          <cell r="BJ3323">
            <v>0</v>
          </cell>
        </row>
        <row r="3324">
          <cell r="D3324" t="str">
            <v>Univerzita sv. Cyrila a Metoda v Trnave</v>
          </cell>
          <cell r="E3324" t="str">
            <v>Filozofická fakulta</v>
          </cell>
          <cell r="AN3324">
            <v>7</v>
          </cell>
          <cell r="AO3324">
            <v>15</v>
          </cell>
          <cell r="AP3324">
            <v>0</v>
          </cell>
          <cell r="AQ3324">
            <v>0</v>
          </cell>
          <cell r="AR3324">
            <v>7</v>
          </cell>
          <cell r="BF3324">
            <v>5.1999999999999993</v>
          </cell>
          <cell r="BG3324">
            <v>5.1999999999999993</v>
          </cell>
          <cell r="BH3324">
            <v>5.1999999999999993</v>
          </cell>
          <cell r="BI3324">
            <v>15</v>
          </cell>
          <cell r="BJ3324">
            <v>0</v>
          </cell>
        </row>
        <row r="3325">
          <cell r="D3325" t="str">
            <v>Univerzita sv. Cyrila a Metoda v Trnave</v>
          </cell>
          <cell r="E3325" t="str">
            <v>Fakulta prírodných vied</v>
          </cell>
          <cell r="AN3325">
            <v>3</v>
          </cell>
          <cell r="AO3325">
            <v>5</v>
          </cell>
          <cell r="AP3325">
            <v>0</v>
          </cell>
          <cell r="AQ3325">
            <v>0</v>
          </cell>
          <cell r="AR3325">
            <v>3</v>
          </cell>
          <cell r="BF3325">
            <v>2.4</v>
          </cell>
          <cell r="BG3325">
            <v>3.552</v>
          </cell>
          <cell r="BH3325">
            <v>3.1629714285714283</v>
          </cell>
          <cell r="BI3325">
            <v>5</v>
          </cell>
          <cell r="BJ3325">
            <v>0</v>
          </cell>
        </row>
        <row r="3326">
          <cell r="D3326" t="str">
            <v>Univerzita sv. Cyrila a Metoda v Trnave</v>
          </cell>
          <cell r="E3326" t="str">
            <v>Filozofická fakulta</v>
          </cell>
          <cell r="AN3326">
            <v>8</v>
          </cell>
          <cell r="AO3326">
            <v>8</v>
          </cell>
          <cell r="AP3326">
            <v>0</v>
          </cell>
          <cell r="AQ3326">
            <v>0</v>
          </cell>
          <cell r="AR3326">
            <v>8</v>
          </cell>
          <cell r="BF3326">
            <v>6.35</v>
          </cell>
          <cell r="BG3326">
            <v>6.9215</v>
          </cell>
          <cell r="BH3326">
            <v>6.9215</v>
          </cell>
          <cell r="BI3326">
            <v>8</v>
          </cell>
          <cell r="BJ3326">
            <v>0</v>
          </cell>
        </row>
        <row r="3327">
          <cell r="D3327" t="str">
            <v>Univerzita sv. Cyrila a Metoda v Trnave</v>
          </cell>
          <cell r="E3327" t="str">
            <v>Filozofická fakulta</v>
          </cell>
          <cell r="AN3327">
            <v>0</v>
          </cell>
          <cell r="AO3327">
            <v>0</v>
          </cell>
          <cell r="AP3327">
            <v>0</v>
          </cell>
          <cell r="AQ3327">
            <v>0</v>
          </cell>
          <cell r="AR3327">
            <v>0</v>
          </cell>
          <cell r="BF3327">
            <v>0</v>
          </cell>
          <cell r="BG3327">
            <v>0</v>
          </cell>
          <cell r="BH3327">
            <v>0</v>
          </cell>
          <cell r="BI3327">
            <v>1</v>
          </cell>
          <cell r="BJ3327">
            <v>0</v>
          </cell>
        </row>
        <row r="3328">
          <cell r="D3328" t="str">
            <v>Univerzita sv. Cyrila a Metoda v Trnave</v>
          </cell>
          <cell r="E3328" t="str">
            <v>Filozofická fakulta</v>
          </cell>
          <cell r="AN3328">
            <v>0</v>
          </cell>
          <cell r="AO3328">
            <v>0</v>
          </cell>
          <cell r="AP3328">
            <v>0</v>
          </cell>
          <cell r="AQ3328">
            <v>0</v>
          </cell>
          <cell r="AR3328">
            <v>0</v>
          </cell>
          <cell r="BF3328">
            <v>0</v>
          </cell>
          <cell r="BG3328">
            <v>0</v>
          </cell>
          <cell r="BH3328">
            <v>0</v>
          </cell>
          <cell r="BI3328">
            <v>2</v>
          </cell>
          <cell r="BJ3328">
            <v>0</v>
          </cell>
        </row>
        <row r="3329">
          <cell r="D3329" t="str">
            <v>Univerzita sv. Cyrila a Metoda v Trnave</v>
          </cell>
          <cell r="E3329" t="str">
            <v>Filozofická fakulta</v>
          </cell>
          <cell r="AN3329">
            <v>3</v>
          </cell>
          <cell r="AO3329">
            <v>0</v>
          </cell>
          <cell r="AP3329">
            <v>0</v>
          </cell>
          <cell r="AQ3329">
            <v>0</v>
          </cell>
          <cell r="AR3329">
            <v>3</v>
          </cell>
          <cell r="BF3329">
            <v>12</v>
          </cell>
          <cell r="BG3329">
            <v>13.200000000000001</v>
          </cell>
          <cell r="BH3329">
            <v>13.200000000000001</v>
          </cell>
          <cell r="BI3329">
            <v>3</v>
          </cell>
          <cell r="BJ3329">
            <v>3</v>
          </cell>
        </row>
        <row r="3330">
          <cell r="D3330" t="str">
            <v>Univerzita sv. Cyrila a Metoda v Trnave</v>
          </cell>
          <cell r="E3330" t="str">
            <v>Filozofická fakulta</v>
          </cell>
          <cell r="AN3330">
            <v>3</v>
          </cell>
          <cell r="AO3330">
            <v>0</v>
          </cell>
          <cell r="AP3330">
            <v>0</v>
          </cell>
          <cell r="AQ3330">
            <v>0</v>
          </cell>
          <cell r="AR3330">
            <v>3</v>
          </cell>
          <cell r="BF3330">
            <v>12</v>
          </cell>
          <cell r="BG3330">
            <v>13.200000000000001</v>
          </cell>
          <cell r="BH3330">
            <v>13.200000000000001</v>
          </cell>
          <cell r="BI3330">
            <v>3</v>
          </cell>
          <cell r="BJ3330">
            <v>3</v>
          </cell>
        </row>
        <row r="3331">
          <cell r="D3331" t="str">
            <v>Univerzita Pavla Jozefa Šafárika v Košiciach</v>
          </cell>
          <cell r="E3331" t="str">
            <v>Lekárska fakulta</v>
          </cell>
          <cell r="AN3331">
            <v>1</v>
          </cell>
          <cell r="AO3331">
            <v>0</v>
          </cell>
          <cell r="AP3331">
            <v>0</v>
          </cell>
          <cell r="AQ3331">
            <v>0</v>
          </cell>
          <cell r="AR3331">
            <v>1</v>
          </cell>
          <cell r="BF3331">
            <v>3</v>
          </cell>
          <cell r="BG3331">
            <v>10.23</v>
          </cell>
          <cell r="BH3331">
            <v>10.23</v>
          </cell>
          <cell r="BI3331">
            <v>1</v>
          </cell>
          <cell r="BJ3331">
            <v>1</v>
          </cell>
        </row>
        <row r="3332">
          <cell r="D3332" t="str">
            <v>Univerzita Mateja Bela v Banskej Bystrici</v>
          </cell>
          <cell r="E3332" t="str">
            <v>Fakulta prírodných vied</v>
          </cell>
          <cell r="AN3332">
            <v>26</v>
          </cell>
          <cell r="AO3332">
            <v>26</v>
          </cell>
          <cell r="AP3332">
            <v>0</v>
          </cell>
          <cell r="AQ3332">
            <v>0</v>
          </cell>
          <cell r="AR3332">
            <v>26</v>
          </cell>
          <cell r="BF3332">
            <v>39</v>
          </cell>
          <cell r="BG3332">
            <v>56.16</v>
          </cell>
          <cell r="BH3332">
            <v>49.688029739776944</v>
          </cell>
          <cell r="BI3332">
            <v>26</v>
          </cell>
          <cell r="BJ3332">
            <v>0</v>
          </cell>
        </row>
        <row r="3333">
          <cell r="D3333" t="str">
            <v>Technická univerzita v Košiciach</v>
          </cell>
          <cell r="E3333" t="str">
            <v>Fakulta baníctva, ekológie, riadenia a geotechnológií</v>
          </cell>
          <cell r="AN3333">
            <v>0</v>
          </cell>
          <cell r="AO3333">
            <v>0</v>
          </cell>
          <cell r="AP3333">
            <v>0</v>
          </cell>
          <cell r="AQ3333">
            <v>0</v>
          </cell>
          <cell r="AR3333">
            <v>0</v>
          </cell>
          <cell r="BF3333">
            <v>0</v>
          </cell>
          <cell r="BG3333">
            <v>0</v>
          </cell>
          <cell r="BH3333">
            <v>0</v>
          </cell>
          <cell r="BI3333">
            <v>2</v>
          </cell>
          <cell r="BJ3333">
            <v>0</v>
          </cell>
        </row>
        <row r="3334">
          <cell r="D3334" t="str">
            <v>Technická univerzita v Košiciach</v>
          </cell>
          <cell r="E3334" t="str">
            <v>Ekonomická fakulta</v>
          </cell>
          <cell r="AN3334">
            <v>1</v>
          </cell>
          <cell r="AO3334">
            <v>6</v>
          </cell>
          <cell r="AP3334">
            <v>0</v>
          </cell>
          <cell r="AQ3334">
            <v>0</v>
          </cell>
          <cell r="AR3334">
            <v>1</v>
          </cell>
          <cell r="BF3334">
            <v>0.7</v>
          </cell>
          <cell r="BG3334">
            <v>0.72799999999999998</v>
          </cell>
          <cell r="BH3334">
            <v>0.6799722222222222</v>
          </cell>
          <cell r="BI3334">
            <v>6</v>
          </cell>
          <cell r="BJ3334">
            <v>0</v>
          </cell>
        </row>
        <row r="3335">
          <cell r="D3335" t="str">
            <v>Technická univerzita v Košiciach</v>
          </cell>
          <cell r="E3335" t="str">
            <v>Fakulta materiálov, metalurgie a recyklácie</v>
          </cell>
          <cell r="AN3335">
            <v>0</v>
          </cell>
          <cell r="AO3335">
            <v>0</v>
          </cell>
          <cell r="AP3335">
            <v>0</v>
          </cell>
          <cell r="AQ3335">
            <v>0</v>
          </cell>
          <cell r="AR3335">
            <v>0</v>
          </cell>
          <cell r="BF3335">
            <v>0</v>
          </cell>
          <cell r="BG3335">
            <v>0</v>
          </cell>
          <cell r="BH3335">
            <v>0</v>
          </cell>
          <cell r="BI3335">
            <v>1</v>
          </cell>
          <cell r="BJ3335">
            <v>0</v>
          </cell>
        </row>
        <row r="3336">
          <cell r="D3336" t="str">
            <v>Vysoká škola múzických umení v Bratislave</v>
          </cell>
          <cell r="E3336" t="str">
            <v>Filmová a televízna fakulta</v>
          </cell>
          <cell r="AN3336">
            <v>1</v>
          </cell>
          <cell r="AO3336">
            <v>0</v>
          </cell>
          <cell r="AP3336">
            <v>0</v>
          </cell>
          <cell r="AQ3336">
            <v>0</v>
          </cell>
          <cell r="AR3336">
            <v>1</v>
          </cell>
          <cell r="BF3336">
            <v>4</v>
          </cell>
          <cell r="BG3336">
            <v>4.4000000000000004</v>
          </cell>
          <cell r="BH3336">
            <v>4.4000000000000004</v>
          </cell>
          <cell r="BI3336">
            <v>1</v>
          </cell>
          <cell r="BJ3336">
            <v>1</v>
          </cell>
        </row>
        <row r="3337">
          <cell r="D3337" t="str">
            <v>Univerzita sv. Cyrila a Metoda v Trnave</v>
          </cell>
          <cell r="E3337" t="str">
            <v>Fakulta prírodných vied</v>
          </cell>
          <cell r="AN3337">
            <v>7</v>
          </cell>
          <cell r="AO3337">
            <v>0</v>
          </cell>
          <cell r="AP3337">
            <v>0</v>
          </cell>
          <cell r="AQ3337">
            <v>7</v>
          </cell>
          <cell r="AR3337">
            <v>7</v>
          </cell>
          <cell r="BF3337">
            <v>21</v>
          </cell>
          <cell r="BG3337">
            <v>44.73</v>
          </cell>
          <cell r="BH3337">
            <v>44.73</v>
          </cell>
          <cell r="BI3337">
            <v>7</v>
          </cell>
          <cell r="BJ3337">
            <v>7</v>
          </cell>
        </row>
        <row r="3338">
          <cell r="D3338" t="str">
            <v>Univerzita sv. Cyrila a Metoda v Trnave</v>
          </cell>
          <cell r="E3338" t="str">
            <v>Filozofická fakulta</v>
          </cell>
          <cell r="AN3338">
            <v>7</v>
          </cell>
          <cell r="AO3338">
            <v>7</v>
          </cell>
          <cell r="AP3338">
            <v>0</v>
          </cell>
          <cell r="AQ3338">
            <v>0</v>
          </cell>
          <cell r="AR3338">
            <v>7</v>
          </cell>
          <cell r="BF3338">
            <v>10.5</v>
          </cell>
          <cell r="BG3338">
            <v>10.5</v>
          </cell>
          <cell r="BH3338">
            <v>7.875</v>
          </cell>
          <cell r="BI3338">
            <v>7</v>
          </cell>
          <cell r="BJ3338">
            <v>0</v>
          </cell>
        </row>
        <row r="3339">
          <cell r="D3339" t="str">
            <v>Paneurópska vysoká škola</v>
          </cell>
          <cell r="E3339" t="str">
            <v>Fakulta práva</v>
          </cell>
          <cell r="AN3339">
            <v>0</v>
          </cell>
          <cell r="AO3339">
            <v>0</v>
          </cell>
          <cell r="AP3339">
            <v>0</v>
          </cell>
          <cell r="AQ3339">
            <v>0</v>
          </cell>
          <cell r="AR3339">
            <v>0</v>
          </cell>
          <cell r="BF3339">
            <v>0</v>
          </cell>
          <cell r="BG3339">
            <v>0</v>
          </cell>
          <cell r="BH3339">
            <v>0</v>
          </cell>
          <cell r="BI3339">
            <v>3</v>
          </cell>
          <cell r="BJ3339">
            <v>0</v>
          </cell>
        </row>
        <row r="3340">
          <cell r="D3340" t="str">
            <v>Paneurópska vysoká škola</v>
          </cell>
          <cell r="E3340" t="str">
            <v>Fakulta práva</v>
          </cell>
          <cell r="AN3340">
            <v>0</v>
          </cell>
          <cell r="AO3340">
            <v>0</v>
          </cell>
          <cell r="AP3340">
            <v>0</v>
          </cell>
          <cell r="AQ3340">
            <v>0</v>
          </cell>
          <cell r="AR3340">
            <v>0</v>
          </cell>
          <cell r="BF3340">
            <v>0</v>
          </cell>
          <cell r="BG3340">
            <v>0</v>
          </cell>
          <cell r="BH3340">
            <v>0</v>
          </cell>
          <cell r="BI3340">
            <v>2</v>
          </cell>
          <cell r="BJ3340">
            <v>0</v>
          </cell>
        </row>
        <row r="3341">
          <cell r="D3341" t="str">
            <v>Paneurópska vysoká škola</v>
          </cell>
          <cell r="E3341" t="str">
            <v>Fakulta práva</v>
          </cell>
          <cell r="AN3341">
            <v>0</v>
          </cell>
          <cell r="AO3341">
            <v>0</v>
          </cell>
          <cell r="AP3341">
            <v>0</v>
          </cell>
          <cell r="AQ3341">
            <v>0</v>
          </cell>
          <cell r="AR3341">
            <v>0</v>
          </cell>
          <cell r="BF3341">
            <v>0</v>
          </cell>
          <cell r="BG3341">
            <v>0</v>
          </cell>
          <cell r="BH3341">
            <v>0</v>
          </cell>
          <cell r="BI3341">
            <v>2</v>
          </cell>
          <cell r="BJ3341">
            <v>0</v>
          </cell>
        </row>
        <row r="3342">
          <cell r="D3342" t="str">
            <v>Paneurópska vysoká škola</v>
          </cell>
          <cell r="E3342" t="str">
            <v>Fakulta práva</v>
          </cell>
          <cell r="AN3342">
            <v>0</v>
          </cell>
          <cell r="AO3342">
            <v>0</v>
          </cell>
          <cell r="AP3342">
            <v>0</v>
          </cell>
          <cell r="AQ3342">
            <v>0</v>
          </cell>
          <cell r="AR3342">
            <v>0</v>
          </cell>
          <cell r="BF3342">
            <v>0</v>
          </cell>
          <cell r="BG3342">
            <v>0</v>
          </cell>
          <cell r="BH3342">
            <v>0</v>
          </cell>
          <cell r="BI3342">
            <v>1</v>
          </cell>
          <cell r="BJ3342">
            <v>0</v>
          </cell>
        </row>
        <row r="3343">
          <cell r="D3343" t="str">
            <v>Univerzita Komenského v Bratislave</v>
          </cell>
          <cell r="E3343" t="str">
            <v>Právnická fakulta</v>
          </cell>
          <cell r="AN3343">
            <v>4</v>
          </cell>
          <cell r="AO3343">
            <v>0</v>
          </cell>
          <cell r="AP3343">
            <v>0</v>
          </cell>
          <cell r="AQ3343">
            <v>0</v>
          </cell>
          <cell r="AR3343">
            <v>4</v>
          </cell>
          <cell r="BF3343">
            <v>16</v>
          </cell>
          <cell r="BG3343">
            <v>17.600000000000001</v>
          </cell>
          <cell r="BH3343">
            <v>17.600000000000001</v>
          </cell>
          <cell r="BI3343">
            <v>4</v>
          </cell>
          <cell r="BJ3343">
            <v>4</v>
          </cell>
        </row>
        <row r="3344">
          <cell r="D3344" t="str">
            <v>Trnavská univerzita v Trnave</v>
          </cell>
          <cell r="E3344" t="str">
            <v>Pedagogická fakulta</v>
          </cell>
          <cell r="AN3344">
            <v>3</v>
          </cell>
          <cell r="AO3344">
            <v>0</v>
          </cell>
          <cell r="AP3344">
            <v>0</v>
          </cell>
          <cell r="AQ3344">
            <v>0</v>
          </cell>
          <cell r="AR3344">
            <v>3</v>
          </cell>
          <cell r="BF3344">
            <v>12</v>
          </cell>
          <cell r="BG3344">
            <v>13.200000000000001</v>
          </cell>
          <cell r="BH3344">
            <v>13.200000000000001</v>
          </cell>
          <cell r="BI3344">
            <v>3</v>
          </cell>
          <cell r="BJ3344">
            <v>3</v>
          </cell>
        </row>
        <row r="3345">
          <cell r="D3345" t="str">
            <v>Trnavská univerzita v Trnave</v>
          </cell>
          <cell r="E3345" t="str">
            <v>Pedagogická fakulta</v>
          </cell>
          <cell r="AN3345">
            <v>0</v>
          </cell>
          <cell r="AO3345">
            <v>0</v>
          </cell>
          <cell r="AP3345">
            <v>0</v>
          </cell>
          <cell r="AQ3345">
            <v>0</v>
          </cell>
          <cell r="AR3345">
            <v>0</v>
          </cell>
          <cell r="BF3345">
            <v>0</v>
          </cell>
          <cell r="BG3345">
            <v>0</v>
          </cell>
          <cell r="BH3345">
            <v>0</v>
          </cell>
          <cell r="BI3345">
            <v>1</v>
          </cell>
          <cell r="BJ3345">
            <v>0</v>
          </cell>
        </row>
        <row r="3346">
          <cell r="D3346" t="str">
            <v>Trnavská univerzita v Trnave</v>
          </cell>
          <cell r="E3346" t="str">
            <v>Pedagogická fakulta</v>
          </cell>
          <cell r="AN3346">
            <v>0</v>
          </cell>
          <cell r="AO3346">
            <v>0</v>
          </cell>
          <cell r="AP3346">
            <v>0</v>
          </cell>
          <cell r="AQ3346">
            <v>0</v>
          </cell>
          <cell r="AR3346">
            <v>0</v>
          </cell>
          <cell r="BF3346">
            <v>0</v>
          </cell>
          <cell r="BG3346">
            <v>0</v>
          </cell>
          <cell r="BH3346">
            <v>0</v>
          </cell>
          <cell r="BI3346">
            <v>3</v>
          </cell>
          <cell r="BJ3346">
            <v>0</v>
          </cell>
        </row>
        <row r="3347">
          <cell r="D3347" t="str">
            <v>Trnavská univerzita v Trnave</v>
          </cell>
          <cell r="E3347" t="str">
            <v>Pedagogická fakulta</v>
          </cell>
          <cell r="AN3347">
            <v>2</v>
          </cell>
          <cell r="AO3347">
            <v>0</v>
          </cell>
          <cell r="AP3347">
            <v>0</v>
          </cell>
          <cell r="AQ3347">
            <v>0</v>
          </cell>
          <cell r="AR3347">
            <v>2</v>
          </cell>
          <cell r="BF3347">
            <v>8</v>
          </cell>
          <cell r="BG3347">
            <v>8.8000000000000007</v>
          </cell>
          <cell r="BH3347">
            <v>8.5684210526315798</v>
          </cell>
          <cell r="BI3347">
            <v>2</v>
          </cell>
          <cell r="BJ3347">
            <v>2</v>
          </cell>
        </row>
        <row r="3348">
          <cell r="D3348" t="str">
            <v>Trnavská univerzita v Trnave</v>
          </cell>
          <cell r="E3348" t="str">
            <v>Pedagogická fakulta</v>
          </cell>
          <cell r="AN3348">
            <v>20.5</v>
          </cell>
          <cell r="AO3348">
            <v>21.5</v>
          </cell>
          <cell r="AP3348">
            <v>0</v>
          </cell>
          <cell r="AQ3348">
            <v>0</v>
          </cell>
          <cell r="AR3348">
            <v>20.5</v>
          </cell>
          <cell r="BF3348">
            <v>30.75</v>
          </cell>
          <cell r="BG3348">
            <v>33.517500000000005</v>
          </cell>
          <cell r="BH3348">
            <v>33.517500000000005</v>
          </cell>
          <cell r="BI3348">
            <v>21.5</v>
          </cell>
          <cell r="BJ3348">
            <v>0</v>
          </cell>
        </row>
        <row r="3349">
          <cell r="D3349" t="str">
            <v>Trnavská univerzita v Trnave</v>
          </cell>
          <cell r="E3349" t="str">
            <v>Pedagogická fakulta</v>
          </cell>
          <cell r="AN3349">
            <v>2</v>
          </cell>
          <cell r="AO3349">
            <v>2.5</v>
          </cell>
          <cell r="AP3349">
            <v>0</v>
          </cell>
          <cell r="AQ3349">
            <v>0</v>
          </cell>
          <cell r="AR3349">
            <v>2</v>
          </cell>
          <cell r="BF3349">
            <v>3</v>
          </cell>
          <cell r="BG3349">
            <v>3.2700000000000005</v>
          </cell>
          <cell r="BH3349">
            <v>3.2700000000000005</v>
          </cell>
          <cell r="BI3349">
            <v>2.5</v>
          </cell>
          <cell r="BJ3349">
            <v>0</v>
          </cell>
        </row>
        <row r="3350">
          <cell r="D3350" t="str">
            <v>Trnavská univerzita v Trnave</v>
          </cell>
          <cell r="E3350" t="str">
            <v>Pedagogická fakulta</v>
          </cell>
          <cell r="AN3350">
            <v>5</v>
          </cell>
          <cell r="AO3350">
            <v>5</v>
          </cell>
          <cell r="AP3350">
            <v>0</v>
          </cell>
          <cell r="AQ3350">
            <v>0</v>
          </cell>
          <cell r="AR3350">
            <v>5</v>
          </cell>
          <cell r="BF3350">
            <v>7.5</v>
          </cell>
          <cell r="BG3350">
            <v>8.1750000000000007</v>
          </cell>
          <cell r="BH3350">
            <v>8.1750000000000007</v>
          </cell>
          <cell r="BI3350">
            <v>5</v>
          </cell>
          <cell r="BJ3350">
            <v>0</v>
          </cell>
        </row>
        <row r="3351">
          <cell r="D3351" t="str">
            <v>Trnavská univerzita v Trnave</v>
          </cell>
          <cell r="E3351" t="str">
            <v>Pedagogická fakulta</v>
          </cell>
          <cell r="AN3351">
            <v>5.5</v>
          </cell>
          <cell r="AO3351">
            <v>5.5</v>
          </cell>
          <cell r="AP3351">
            <v>0</v>
          </cell>
          <cell r="AQ3351">
            <v>0</v>
          </cell>
          <cell r="AR3351">
            <v>5.5</v>
          </cell>
          <cell r="BF3351">
            <v>8.25</v>
          </cell>
          <cell r="BG3351">
            <v>17.737500000000001</v>
          </cell>
          <cell r="BH3351">
            <v>17.737500000000001</v>
          </cell>
          <cell r="BI3351">
            <v>5.5</v>
          </cell>
          <cell r="BJ3351">
            <v>0</v>
          </cell>
        </row>
        <row r="3352">
          <cell r="D3352" t="str">
            <v>Trnavská univerzita v Trnave</v>
          </cell>
          <cell r="E3352" t="str">
            <v>Pedagogická fakulta</v>
          </cell>
          <cell r="AN3352">
            <v>16</v>
          </cell>
          <cell r="AO3352">
            <v>16</v>
          </cell>
          <cell r="AP3352">
            <v>0</v>
          </cell>
          <cell r="AQ3352">
            <v>0</v>
          </cell>
          <cell r="AR3352">
            <v>16</v>
          </cell>
          <cell r="BF3352">
            <v>24</v>
          </cell>
          <cell r="BG3352">
            <v>28.56</v>
          </cell>
          <cell r="BH3352">
            <v>27.502222222222223</v>
          </cell>
          <cell r="BI3352">
            <v>16</v>
          </cell>
          <cell r="BJ3352">
            <v>0</v>
          </cell>
        </row>
        <row r="3353">
          <cell r="D3353" t="str">
            <v>Trnavská univerzita v Trnave</v>
          </cell>
          <cell r="E3353" t="str">
            <v>Pedagogická fakulta</v>
          </cell>
          <cell r="AN3353">
            <v>0</v>
          </cell>
          <cell r="AO3353">
            <v>0</v>
          </cell>
          <cell r="AP3353">
            <v>0</v>
          </cell>
          <cell r="AQ3353">
            <v>0</v>
          </cell>
          <cell r="AR3353">
            <v>0</v>
          </cell>
          <cell r="BF3353">
            <v>0</v>
          </cell>
          <cell r="BG3353">
            <v>0</v>
          </cell>
          <cell r="BH3353">
            <v>0</v>
          </cell>
          <cell r="BI3353">
            <v>3</v>
          </cell>
          <cell r="BJ3353">
            <v>0</v>
          </cell>
        </row>
        <row r="3354">
          <cell r="D3354" t="str">
            <v>Trnavská univerzita v Trnave</v>
          </cell>
          <cell r="E3354" t="str">
            <v>Pedagogická fakulta</v>
          </cell>
          <cell r="AN3354">
            <v>0</v>
          </cell>
          <cell r="AO3354">
            <v>0</v>
          </cell>
          <cell r="AP3354">
            <v>0</v>
          </cell>
          <cell r="AQ3354">
            <v>0</v>
          </cell>
          <cell r="AR3354">
            <v>0</v>
          </cell>
          <cell r="BF3354">
            <v>0</v>
          </cell>
          <cell r="BG3354">
            <v>0</v>
          </cell>
          <cell r="BH3354">
            <v>0</v>
          </cell>
          <cell r="BI3354">
            <v>2</v>
          </cell>
          <cell r="BJ3354">
            <v>0</v>
          </cell>
        </row>
        <row r="3355">
          <cell r="D3355" t="str">
            <v>Trnavská univerzita v Trnave</v>
          </cell>
          <cell r="E3355" t="str">
            <v>Pedagogická fakulta</v>
          </cell>
          <cell r="AN3355">
            <v>11</v>
          </cell>
          <cell r="AO3355">
            <v>11</v>
          </cell>
          <cell r="AP3355">
            <v>0</v>
          </cell>
          <cell r="AQ3355">
            <v>0</v>
          </cell>
          <cell r="AR3355">
            <v>11</v>
          </cell>
          <cell r="BF3355">
            <v>16.5</v>
          </cell>
          <cell r="BG3355">
            <v>17.985000000000003</v>
          </cell>
          <cell r="BH3355">
            <v>17.985000000000003</v>
          </cell>
          <cell r="BI3355">
            <v>11</v>
          </cell>
          <cell r="BJ3355">
            <v>0</v>
          </cell>
        </row>
        <row r="3356">
          <cell r="D3356" t="str">
            <v>Trnavská univerzita v Trnave</v>
          </cell>
          <cell r="E3356" t="str">
            <v>Pedagogická fakulta</v>
          </cell>
          <cell r="AN3356">
            <v>2</v>
          </cell>
          <cell r="AO3356">
            <v>0</v>
          </cell>
          <cell r="AP3356">
            <v>0</v>
          </cell>
          <cell r="AQ3356">
            <v>0</v>
          </cell>
          <cell r="AR3356">
            <v>2</v>
          </cell>
          <cell r="BF3356">
            <v>8</v>
          </cell>
          <cell r="BG3356">
            <v>8.8000000000000007</v>
          </cell>
          <cell r="BH3356">
            <v>8.8000000000000007</v>
          </cell>
          <cell r="BI3356">
            <v>2</v>
          </cell>
          <cell r="BJ3356">
            <v>2</v>
          </cell>
        </row>
        <row r="3357">
          <cell r="D3357" t="str">
            <v>Trnavská univerzita v Trnave</v>
          </cell>
          <cell r="E3357" t="str">
            <v>Fakulta zdravotníctva a sociálnej práce</v>
          </cell>
          <cell r="AN3357">
            <v>4</v>
          </cell>
          <cell r="AO3357">
            <v>0</v>
          </cell>
          <cell r="AP3357">
            <v>0</v>
          </cell>
          <cell r="AQ3357">
            <v>0</v>
          </cell>
          <cell r="AR3357">
            <v>4</v>
          </cell>
          <cell r="BF3357">
            <v>16</v>
          </cell>
          <cell r="BG3357">
            <v>34.08</v>
          </cell>
          <cell r="BH3357">
            <v>34.08</v>
          </cell>
          <cell r="BI3357">
            <v>4</v>
          </cell>
          <cell r="BJ3357">
            <v>4</v>
          </cell>
        </row>
        <row r="3358">
          <cell r="D3358" t="str">
            <v>Trnavská univerzita v Trnave</v>
          </cell>
          <cell r="E3358" t="str">
            <v>Fakulta zdravotníctva a sociálnej práce</v>
          </cell>
          <cell r="AN3358">
            <v>27</v>
          </cell>
          <cell r="AO3358">
            <v>30</v>
          </cell>
          <cell r="AP3358">
            <v>0</v>
          </cell>
          <cell r="AQ3358">
            <v>0</v>
          </cell>
          <cell r="AR3358">
            <v>27</v>
          </cell>
          <cell r="BF3358">
            <v>40.5</v>
          </cell>
          <cell r="BG3358">
            <v>40.5</v>
          </cell>
          <cell r="BH3358">
            <v>33.75</v>
          </cell>
          <cell r="BI3358">
            <v>30</v>
          </cell>
          <cell r="BJ3358">
            <v>0</v>
          </cell>
        </row>
        <row r="3359">
          <cell r="D3359" t="str">
            <v>Trnavská univerzita v Trnave</v>
          </cell>
          <cell r="E3359" t="str">
            <v>Fakulta zdravotníctva a sociálnej práce</v>
          </cell>
          <cell r="AN3359">
            <v>20</v>
          </cell>
          <cell r="AO3359">
            <v>20</v>
          </cell>
          <cell r="AP3359">
            <v>0</v>
          </cell>
          <cell r="AQ3359">
            <v>0</v>
          </cell>
          <cell r="AR3359">
            <v>20</v>
          </cell>
          <cell r="BF3359">
            <v>30</v>
          </cell>
          <cell r="BG3359">
            <v>44.4</v>
          </cell>
          <cell r="BH3359">
            <v>44.4</v>
          </cell>
          <cell r="BI3359">
            <v>20</v>
          </cell>
          <cell r="BJ3359">
            <v>0</v>
          </cell>
        </row>
        <row r="3360">
          <cell r="D3360" t="str">
            <v>Trnavská univerzita v Trnave</v>
          </cell>
          <cell r="E3360" t="str">
            <v>Fakulta zdravotníctva a sociálnej práce</v>
          </cell>
          <cell r="AN3360">
            <v>66</v>
          </cell>
          <cell r="AO3360">
            <v>66</v>
          </cell>
          <cell r="AP3360">
            <v>0</v>
          </cell>
          <cell r="AQ3360">
            <v>0</v>
          </cell>
          <cell r="AR3360">
            <v>66</v>
          </cell>
          <cell r="BF3360">
            <v>99</v>
          </cell>
          <cell r="BG3360">
            <v>146.52000000000001</v>
          </cell>
          <cell r="BH3360">
            <v>117.21600000000001</v>
          </cell>
          <cell r="BI3360">
            <v>66</v>
          </cell>
          <cell r="BJ3360">
            <v>0</v>
          </cell>
        </row>
        <row r="3361">
          <cell r="D3361" t="str">
            <v>Trnavská univerzita v Trnave</v>
          </cell>
          <cell r="E3361" t="str">
            <v>Fakulta zdravotníctva a sociálnej práce</v>
          </cell>
          <cell r="AN3361">
            <v>14</v>
          </cell>
          <cell r="AO3361">
            <v>15</v>
          </cell>
          <cell r="AP3361">
            <v>0</v>
          </cell>
          <cell r="AQ3361">
            <v>0</v>
          </cell>
          <cell r="AR3361">
            <v>14</v>
          </cell>
          <cell r="BF3361">
            <v>21</v>
          </cell>
          <cell r="BG3361">
            <v>21</v>
          </cell>
          <cell r="BH3361">
            <v>18.375</v>
          </cell>
          <cell r="BI3361">
            <v>15</v>
          </cell>
          <cell r="BJ3361">
            <v>0</v>
          </cell>
        </row>
        <row r="3362">
          <cell r="D3362" t="str">
            <v>Trnavská univerzita v Trnave</v>
          </cell>
          <cell r="E3362" t="str">
            <v>Fakulta zdravotníctva a sociálnej práce</v>
          </cell>
          <cell r="AN3362">
            <v>0</v>
          </cell>
          <cell r="AO3362">
            <v>0</v>
          </cell>
          <cell r="AP3362">
            <v>0</v>
          </cell>
          <cell r="AQ3362">
            <v>0</v>
          </cell>
          <cell r="AR3362">
            <v>0</v>
          </cell>
          <cell r="BF3362">
            <v>0</v>
          </cell>
          <cell r="BG3362">
            <v>0</v>
          </cell>
          <cell r="BH3362">
            <v>0</v>
          </cell>
          <cell r="BI3362">
            <v>7</v>
          </cell>
          <cell r="BJ3362">
            <v>0</v>
          </cell>
        </row>
        <row r="3363">
          <cell r="D3363" t="str">
            <v>Univerzita Mateja Bela v Banskej Bystrici</v>
          </cell>
          <cell r="E3363" t="str">
            <v>Fakulta politických vied a medzinárodných vzťahov</v>
          </cell>
          <cell r="AN3363">
            <v>6</v>
          </cell>
          <cell r="AO3363">
            <v>6</v>
          </cell>
          <cell r="AP3363">
            <v>0</v>
          </cell>
          <cell r="AQ3363">
            <v>0</v>
          </cell>
          <cell r="AR3363">
            <v>6</v>
          </cell>
          <cell r="BF3363">
            <v>9</v>
          </cell>
          <cell r="BG3363">
            <v>9</v>
          </cell>
          <cell r="BH3363">
            <v>9</v>
          </cell>
          <cell r="BI3363">
            <v>6</v>
          </cell>
          <cell r="BJ3363">
            <v>0</v>
          </cell>
        </row>
        <row r="3364">
          <cell r="D3364" t="str">
            <v>Katolícka univerzita v Ružomberku</v>
          </cell>
          <cell r="E3364" t="str">
            <v>Teologická fakulta v Košiciach</v>
          </cell>
          <cell r="AN3364">
            <v>0</v>
          </cell>
          <cell r="AO3364">
            <v>0</v>
          </cell>
          <cell r="AP3364">
            <v>0</v>
          </cell>
          <cell r="AQ3364">
            <v>0</v>
          </cell>
          <cell r="AR3364">
            <v>0</v>
          </cell>
          <cell r="BF3364">
            <v>0</v>
          </cell>
          <cell r="BG3364">
            <v>0</v>
          </cell>
          <cell r="BH3364">
            <v>0</v>
          </cell>
          <cell r="BI3364">
            <v>5</v>
          </cell>
          <cell r="BJ3364">
            <v>0</v>
          </cell>
        </row>
        <row r="3365">
          <cell r="D3365" t="str">
            <v>Katolícka univerzita v Ružomberku</v>
          </cell>
          <cell r="E3365" t="str">
            <v>Teologická fakulta v Košiciach</v>
          </cell>
          <cell r="AN3365">
            <v>38</v>
          </cell>
          <cell r="AO3365">
            <v>40</v>
          </cell>
          <cell r="AP3365">
            <v>0</v>
          </cell>
          <cell r="AQ3365">
            <v>0</v>
          </cell>
          <cell r="AR3365">
            <v>38</v>
          </cell>
          <cell r="BF3365">
            <v>57</v>
          </cell>
          <cell r="BG3365">
            <v>122.55</v>
          </cell>
          <cell r="BH3365">
            <v>122.55</v>
          </cell>
          <cell r="BI3365">
            <v>40</v>
          </cell>
          <cell r="BJ3365">
            <v>0</v>
          </cell>
        </row>
        <row r="3366">
          <cell r="D3366" t="str">
            <v>Katolícka univerzita v Ružomberku</v>
          </cell>
          <cell r="E3366" t="str">
            <v>Teologická fakulta v Košiciach</v>
          </cell>
          <cell r="AN3366">
            <v>37</v>
          </cell>
          <cell r="AO3366">
            <v>39</v>
          </cell>
          <cell r="AP3366">
            <v>0</v>
          </cell>
          <cell r="AQ3366">
            <v>0</v>
          </cell>
          <cell r="AR3366">
            <v>37</v>
          </cell>
          <cell r="BF3366">
            <v>29.5</v>
          </cell>
          <cell r="BG3366">
            <v>63.424999999999997</v>
          </cell>
          <cell r="BH3366">
            <v>63.424999999999997</v>
          </cell>
          <cell r="BI3366">
            <v>39</v>
          </cell>
          <cell r="BJ3366">
            <v>0</v>
          </cell>
        </row>
        <row r="3367">
          <cell r="D3367" t="str">
            <v>Katolícka univerzita v Ružomberku</v>
          </cell>
          <cell r="E3367" t="str">
            <v>Teologická fakulta v Košiciach</v>
          </cell>
          <cell r="AN3367">
            <v>0.5</v>
          </cell>
          <cell r="AO3367">
            <v>1</v>
          </cell>
          <cell r="AP3367">
            <v>0</v>
          </cell>
          <cell r="AQ3367">
            <v>0</v>
          </cell>
          <cell r="AR3367">
            <v>0.5</v>
          </cell>
          <cell r="BF3367">
            <v>0.75</v>
          </cell>
          <cell r="BG3367">
            <v>0.81750000000000012</v>
          </cell>
          <cell r="BH3367">
            <v>0.81750000000000012</v>
          </cell>
          <cell r="BI3367">
            <v>1</v>
          </cell>
          <cell r="BJ3367">
            <v>0</v>
          </cell>
        </row>
        <row r="3368">
          <cell r="D3368" t="str">
            <v>Katolícka univerzita v Ružomberku</v>
          </cell>
          <cell r="E3368" t="str">
            <v>Pedagogická fakulta</v>
          </cell>
          <cell r="AN3368">
            <v>0</v>
          </cell>
          <cell r="AO3368">
            <v>0</v>
          </cell>
          <cell r="AP3368">
            <v>0</v>
          </cell>
          <cell r="AQ3368">
            <v>0</v>
          </cell>
          <cell r="AR3368">
            <v>0</v>
          </cell>
          <cell r="BF3368">
            <v>0</v>
          </cell>
          <cell r="BG3368">
            <v>0</v>
          </cell>
          <cell r="BH3368">
            <v>0</v>
          </cell>
          <cell r="BI3368">
            <v>3</v>
          </cell>
          <cell r="BJ3368">
            <v>0</v>
          </cell>
        </row>
        <row r="3369">
          <cell r="D3369" t="str">
            <v>Katolícka univerzita v Ružomberku</v>
          </cell>
          <cell r="E3369" t="str">
            <v>Pedagogická fakulta</v>
          </cell>
          <cell r="AN3369">
            <v>26</v>
          </cell>
          <cell r="AO3369">
            <v>28</v>
          </cell>
          <cell r="AP3369">
            <v>0</v>
          </cell>
          <cell r="AQ3369">
            <v>0</v>
          </cell>
          <cell r="AR3369">
            <v>26</v>
          </cell>
          <cell r="BF3369">
            <v>20.9</v>
          </cell>
          <cell r="BG3369">
            <v>24.870999999999999</v>
          </cell>
          <cell r="BH3369">
            <v>23.412290322580645</v>
          </cell>
          <cell r="BI3369">
            <v>28</v>
          </cell>
          <cell r="BJ3369">
            <v>0</v>
          </cell>
        </row>
        <row r="3370">
          <cell r="D3370" t="str">
            <v>Katolícka univerzita v Ružomberku</v>
          </cell>
          <cell r="E3370" t="str">
            <v>Pedagogická fakulta</v>
          </cell>
          <cell r="AN3370">
            <v>6</v>
          </cell>
          <cell r="AO3370">
            <v>0</v>
          </cell>
          <cell r="AP3370">
            <v>0</v>
          </cell>
          <cell r="AQ3370">
            <v>0</v>
          </cell>
          <cell r="AR3370">
            <v>6</v>
          </cell>
          <cell r="BF3370">
            <v>24</v>
          </cell>
          <cell r="BG3370">
            <v>26.400000000000002</v>
          </cell>
          <cell r="BH3370">
            <v>24.847058823529412</v>
          </cell>
          <cell r="BI3370">
            <v>6</v>
          </cell>
          <cell r="BJ3370">
            <v>6</v>
          </cell>
        </row>
        <row r="3371">
          <cell r="D3371" t="str">
            <v>Slovenská technická univerzita v Bratislave</v>
          </cell>
          <cell r="E3371" t="str">
            <v>Strojnícka fakulta</v>
          </cell>
          <cell r="AN3371">
            <v>2</v>
          </cell>
          <cell r="AO3371">
            <v>0</v>
          </cell>
          <cell r="AP3371">
            <v>0</v>
          </cell>
          <cell r="AQ3371">
            <v>2</v>
          </cell>
          <cell r="AR3371">
            <v>2</v>
          </cell>
          <cell r="BF3371">
            <v>8</v>
          </cell>
          <cell r="BG3371">
            <v>17.04</v>
          </cell>
          <cell r="BH3371">
            <v>17.04</v>
          </cell>
          <cell r="BI3371">
            <v>2</v>
          </cell>
          <cell r="BJ3371">
            <v>2</v>
          </cell>
        </row>
        <row r="3372">
          <cell r="D3372" t="str">
            <v>Trnavská univerzita v Trnave</v>
          </cell>
          <cell r="E3372" t="str">
            <v>Filozofická fakulta</v>
          </cell>
          <cell r="AN3372">
            <v>4</v>
          </cell>
          <cell r="AO3372">
            <v>0</v>
          </cell>
          <cell r="AP3372">
            <v>0</v>
          </cell>
          <cell r="AQ3372">
            <v>0</v>
          </cell>
          <cell r="AR3372">
            <v>4</v>
          </cell>
          <cell r="BF3372">
            <v>16</v>
          </cell>
          <cell r="BG3372">
            <v>17.600000000000001</v>
          </cell>
          <cell r="BH3372">
            <v>17.600000000000001</v>
          </cell>
          <cell r="BI3372">
            <v>4</v>
          </cell>
          <cell r="BJ3372">
            <v>4</v>
          </cell>
        </row>
        <row r="3373">
          <cell r="D3373" t="str">
            <v>Trnavská univerzita v Trnave</v>
          </cell>
          <cell r="E3373" t="str">
            <v>Filozofická fakulta</v>
          </cell>
          <cell r="AN3373">
            <v>3</v>
          </cell>
          <cell r="AO3373">
            <v>5</v>
          </cell>
          <cell r="AP3373">
            <v>0</v>
          </cell>
          <cell r="AQ3373">
            <v>0</v>
          </cell>
          <cell r="AR3373">
            <v>3</v>
          </cell>
          <cell r="BF3373">
            <v>4.5</v>
          </cell>
          <cell r="BG3373">
            <v>4.5</v>
          </cell>
          <cell r="BH3373">
            <v>4.5</v>
          </cell>
          <cell r="BI3373">
            <v>5</v>
          </cell>
          <cell r="BJ3373">
            <v>0</v>
          </cell>
        </row>
        <row r="3374">
          <cell r="D3374" t="str">
            <v>Trnavská univerzita v Trnave</v>
          </cell>
          <cell r="E3374" t="str">
            <v>Filozofická fakulta</v>
          </cell>
          <cell r="AN3374">
            <v>0</v>
          </cell>
          <cell r="AO3374">
            <v>0</v>
          </cell>
          <cell r="AP3374">
            <v>0</v>
          </cell>
          <cell r="AQ3374">
            <v>0</v>
          </cell>
          <cell r="AR3374">
            <v>0</v>
          </cell>
          <cell r="BF3374">
            <v>0</v>
          </cell>
          <cell r="BG3374">
            <v>0</v>
          </cell>
          <cell r="BH3374">
            <v>0</v>
          </cell>
          <cell r="BI3374">
            <v>3</v>
          </cell>
          <cell r="BJ3374">
            <v>0</v>
          </cell>
        </row>
        <row r="3375">
          <cell r="D3375" t="str">
            <v>Trnavská univerzita v Trnave</v>
          </cell>
          <cell r="E3375" t="str">
            <v>Filozofická fakulta</v>
          </cell>
          <cell r="AN3375">
            <v>5</v>
          </cell>
          <cell r="AO3375">
            <v>5</v>
          </cell>
          <cell r="AP3375">
            <v>0</v>
          </cell>
          <cell r="AQ3375">
            <v>0</v>
          </cell>
          <cell r="AR3375">
            <v>5</v>
          </cell>
          <cell r="BF3375">
            <v>7.5</v>
          </cell>
          <cell r="BG3375">
            <v>7.5</v>
          </cell>
          <cell r="BH3375">
            <v>6</v>
          </cell>
          <cell r="BI3375">
            <v>5</v>
          </cell>
          <cell r="BJ3375">
            <v>0</v>
          </cell>
        </row>
        <row r="3376">
          <cell r="D3376" t="str">
            <v>Trnavská univerzita v Trnave</v>
          </cell>
          <cell r="E3376" t="str">
            <v>Filozofická fakulta</v>
          </cell>
          <cell r="AN3376">
            <v>2</v>
          </cell>
          <cell r="AO3376">
            <v>0</v>
          </cell>
          <cell r="AP3376">
            <v>0</v>
          </cell>
          <cell r="AQ3376">
            <v>0</v>
          </cell>
          <cell r="AR3376">
            <v>2</v>
          </cell>
          <cell r="BF3376">
            <v>8</v>
          </cell>
          <cell r="BG3376">
            <v>8.8000000000000007</v>
          </cell>
          <cell r="BH3376">
            <v>8.8000000000000007</v>
          </cell>
          <cell r="BI3376">
            <v>2</v>
          </cell>
          <cell r="BJ3376">
            <v>2</v>
          </cell>
        </row>
        <row r="3377">
          <cell r="D3377" t="str">
            <v>Trnavská univerzita v Trnave</v>
          </cell>
          <cell r="E3377" t="str">
            <v>Filozofická fakulta</v>
          </cell>
          <cell r="AN3377">
            <v>16</v>
          </cell>
          <cell r="AO3377">
            <v>16</v>
          </cell>
          <cell r="AP3377">
            <v>0</v>
          </cell>
          <cell r="AQ3377">
            <v>0</v>
          </cell>
          <cell r="AR3377">
            <v>16</v>
          </cell>
          <cell r="BF3377">
            <v>24</v>
          </cell>
          <cell r="BG3377">
            <v>24</v>
          </cell>
          <cell r="BH3377">
            <v>18</v>
          </cell>
          <cell r="BI3377">
            <v>16</v>
          </cell>
          <cell r="BJ3377">
            <v>0</v>
          </cell>
        </row>
        <row r="3378">
          <cell r="D3378" t="str">
            <v>Trnavská univerzita v Trnave</v>
          </cell>
          <cell r="E3378" t="str">
            <v>Filozofická fakulta</v>
          </cell>
          <cell r="AN3378">
            <v>10</v>
          </cell>
          <cell r="AO3378">
            <v>11</v>
          </cell>
          <cell r="AP3378">
            <v>0</v>
          </cell>
          <cell r="AQ3378">
            <v>0</v>
          </cell>
          <cell r="AR3378">
            <v>10</v>
          </cell>
          <cell r="BF3378">
            <v>15</v>
          </cell>
          <cell r="BG3378">
            <v>15</v>
          </cell>
          <cell r="BH3378">
            <v>12.394366197183098</v>
          </cell>
          <cell r="BI3378">
            <v>11</v>
          </cell>
          <cell r="BJ3378">
            <v>0</v>
          </cell>
        </row>
        <row r="3379">
          <cell r="D3379" t="str">
            <v>Trnavská univerzita v Trnave</v>
          </cell>
          <cell r="E3379" t="str">
            <v>Filozofická fakulta</v>
          </cell>
          <cell r="AN3379">
            <v>7</v>
          </cell>
          <cell r="AO3379">
            <v>7</v>
          </cell>
          <cell r="AP3379">
            <v>0</v>
          </cell>
          <cell r="AQ3379">
            <v>0</v>
          </cell>
          <cell r="AR3379">
            <v>7</v>
          </cell>
          <cell r="BF3379">
            <v>10.5</v>
          </cell>
          <cell r="BG3379">
            <v>10.5</v>
          </cell>
          <cell r="BH3379">
            <v>8.25</v>
          </cell>
          <cell r="BI3379">
            <v>7</v>
          </cell>
          <cell r="BJ3379">
            <v>0</v>
          </cell>
        </row>
        <row r="3380">
          <cell r="D3380" t="str">
            <v>Univerzita J. Selyeho</v>
          </cell>
          <cell r="E3380" t="str">
            <v>Pedagogická fakulta</v>
          </cell>
          <cell r="AN3380">
            <v>66</v>
          </cell>
          <cell r="AO3380">
            <v>67</v>
          </cell>
          <cell r="AP3380">
            <v>0</v>
          </cell>
          <cell r="AQ3380">
            <v>0</v>
          </cell>
          <cell r="AR3380">
            <v>66</v>
          </cell>
          <cell r="BF3380">
            <v>99</v>
          </cell>
          <cell r="BG3380">
            <v>117.80999999999999</v>
          </cell>
          <cell r="BH3380">
            <v>89.759999999999991</v>
          </cell>
          <cell r="BI3380">
            <v>67</v>
          </cell>
          <cell r="BJ3380">
            <v>0</v>
          </cell>
        </row>
        <row r="3381">
          <cell r="D3381" t="str">
            <v>Univerzita J. Selyeho</v>
          </cell>
          <cell r="E3381" t="str">
            <v>Pedagogická fakulta</v>
          </cell>
          <cell r="AN3381">
            <v>28</v>
          </cell>
          <cell r="AO3381">
            <v>29</v>
          </cell>
          <cell r="AP3381">
            <v>0</v>
          </cell>
          <cell r="AQ3381">
            <v>0</v>
          </cell>
          <cell r="AR3381">
            <v>28</v>
          </cell>
          <cell r="BF3381">
            <v>23.5</v>
          </cell>
          <cell r="BG3381">
            <v>27.965</v>
          </cell>
          <cell r="BH3381">
            <v>25.592212121212121</v>
          </cell>
          <cell r="BI3381">
            <v>29</v>
          </cell>
          <cell r="BJ3381">
            <v>0</v>
          </cell>
        </row>
        <row r="3382">
          <cell r="D3382" t="str">
            <v>Univerzita J. Selyeho</v>
          </cell>
          <cell r="E3382" t="str">
            <v>Pedagogická fakulta</v>
          </cell>
          <cell r="AN3382">
            <v>14.5</v>
          </cell>
          <cell r="AO3382">
            <v>16</v>
          </cell>
          <cell r="AP3382">
            <v>0</v>
          </cell>
          <cell r="AQ3382">
            <v>0</v>
          </cell>
          <cell r="AR3382">
            <v>14.5</v>
          </cell>
          <cell r="BF3382">
            <v>21.75</v>
          </cell>
          <cell r="BG3382">
            <v>23.707500000000003</v>
          </cell>
          <cell r="BH3382">
            <v>18.439166666666669</v>
          </cell>
          <cell r="BI3382">
            <v>16</v>
          </cell>
          <cell r="BJ3382">
            <v>0</v>
          </cell>
        </row>
        <row r="3383">
          <cell r="D3383" t="str">
            <v>Univerzita J. Selyeho</v>
          </cell>
          <cell r="E3383" t="str">
            <v>Reformovaná teologická fakulta</v>
          </cell>
          <cell r="AN3383">
            <v>9</v>
          </cell>
          <cell r="AO3383">
            <v>9</v>
          </cell>
          <cell r="AP3383">
            <v>0</v>
          </cell>
          <cell r="AQ3383">
            <v>0</v>
          </cell>
          <cell r="AR3383">
            <v>9</v>
          </cell>
          <cell r="BF3383">
            <v>13.5</v>
          </cell>
          <cell r="BG3383">
            <v>13.5</v>
          </cell>
          <cell r="BH3383">
            <v>10.8</v>
          </cell>
          <cell r="BI3383">
            <v>9</v>
          </cell>
          <cell r="BJ3383">
            <v>0</v>
          </cell>
        </row>
        <row r="3384">
          <cell r="D3384" t="str">
            <v>Univerzita J. Selyeho</v>
          </cell>
          <cell r="E3384" t="str">
            <v>Pedagogická fakulta</v>
          </cell>
          <cell r="AN3384">
            <v>3.5</v>
          </cell>
          <cell r="AO3384">
            <v>3.5</v>
          </cell>
          <cell r="AP3384">
            <v>0</v>
          </cell>
          <cell r="AQ3384">
            <v>0</v>
          </cell>
          <cell r="AR3384">
            <v>3.5</v>
          </cell>
          <cell r="BF3384">
            <v>5.25</v>
          </cell>
          <cell r="BG3384">
            <v>5.7225000000000001</v>
          </cell>
          <cell r="BH3384">
            <v>5.7225000000000001</v>
          </cell>
          <cell r="BI3384">
            <v>3.5</v>
          </cell>
          <cell r="BJ3384">
            <v>0</v>
          </cell>
        </row>
        <row r="3385">
          <cell r="D3385" t="str">
            <v>Univerzita J. Selyeho</v>
          </cell>
          <cell r="E3385" t="str">
            <v>Pedagogická fakulta</v>
          </cell>
          <cell r="AN3385">
            <v>2.5</v>
          </cell>
          <cell r="AO3385">
            <v>2.5</v>
          </cell>
          <cell r="AP3385">
            <v>0</v>
          </cell>
          <cell r="AQ3385">
            <v>0</v>
          </cell>
          <cell r="AR3385">
            <v>2.5</v>
          </cell>
          <cell r="BF3385">
            <v>3.75</v>
          </cell>
          <cell r="BG3385">
            <v>4.0875000000000004</v>
          </cell>
          <cell r="BH3385">
            <v>4.0875000000000004</v>
          </cell>
          <cell r="BI3385">
            <v>2.5</v>
          </cell>
          <cell r="BJ3385">
            <v>0</v>
          </cell>
        </row>
        <row r="3386">
          <cell r="D3386" t="str">
            <v>Univerzita J. Selyeho</v>
          </cell>
          <cell r="E3386" t="str">
            <v>Fakulta ekonómie a informatiky</v>
          </cell>
          <cell r="AN3386">
            <v>25</v>
          </cell>
          <cell r="AO3386">
            <v>25</v>
          </cell>
          <cell r="AP3386">
            <v>0</v>
          </cell>
          <cell r="AQ3386">
            <v>0</v>
          </cell>
          <cell r="AR3386">
            <v>25</v>
          </cell>
          <cell r="BF3386">
            <v>21.4</v>
          </cell>
          <cell r="BG3386">
            <v>22.256</v>
          </cell>
          <cell r="BH3386">
            <v>21.042036363636363</v>
          </cell>
          <cell r="BI3386">
            <v>25</v>
          </cell>
          <cell r="BJ3386">
            <v>0</v>
          </cell>
        </row>
        <row r="3387">
          <cell r="D3387" t="str">
            <v>Vysoká škola zdravotníctva a sociálnej práce sv. Alžbety v Bratislave, n. o.</v>
          </cell>
          <cell r="E3387">
            <v>0</v>
          </cell>
          <cell r="AN3387">
            <v>197</v>
          </cell>
          <cell r="AO3387">
            <v>197</v>
          </cell>
          <cell r="AP3387">
            <v>197</v>
          </cell>
          <cell r="AQ3387">
            <v>0</v>
          </cell>
          <cell r="AR3387">
            <v>197</v>
          </cell>
          <cell r="BF3387">
            <v>165.8</v>
          </cell>
          <cell r="BG3387">
            <v>356.47</v>
          </cell>
          <cell r="BH3387">
            <v>350.25972125435544</v>
          </cell>
          <cell r="BI3387">
            <v>197</v>
          </cell>
          <cell r="BJ3387">
            <v>0</v>
          </cell>
        </row>
        <row r="3388">
          <cell r="D3388" t="str">
            <v>Vysoká škola DTI</v>
          </cell>
          <cell r="E3388">
            <v>0</v>
          </cell>
          <cell r="AN3388">
            <v>106</v>
          </cell>
          <cell r="AO3388">
            <v>106</v>
          </cell>
          <cell r="AP3388">
            <v>0</v>
          </cell>
          <cell r="AQ3388">
            <v>0</v>
          </cell>
          <cell r="AR3388">
            <v>106</v>
          </cell>
          <cell r="BF3388">
            <v>84.1</v>
          </cell>
          <cell r="BG3388">
            <v>87.463999999999999</v>
          </cell>
          <cell r="BH3388">
            <v>83.090800000000002</v>
          </cell>
          <cell r="BI3388">
            <v>106</v>
          </cell>
          <cell r="BJ3388">
            <v>0</v>
          </cell>
        </row>
        <row r="3389">
          <cell r="D3389" t="str">
            <v>Slovenská poľnohospodárska univerzita v Nitre</v>
          </cell>
          <cell r="E3389" t="str">
            <v>Fakulta záhradníctva a krajinného inžinierstva</v>
          </cell>
          <cell r="AN3389">
            <v>0</v>
          </cell>
          <cell r="AO3389">
            <v>2</v>
          </cell>
          <cell r="AP3389">
            <v>0</v>
          </cell>
          <cell r="AQ3389">
            <v>0</v>
          </cell>
          <cell r="AR3389">
            <v>0</v>
          </cell>
          <cell r="BF3389">
            <v>0</v>
          </cell>
          <cell r="BG3389">
            <v>0</v>
          </cell>
          <cell r="BH3389">
            <v>0</v>
          </cell>
          <cell r="BI3389">
            <v>2</v>
          </cell>
          <cell r="BJ3389">
            <v>0</v>
          </cell>
        </row>
        <row r="3390">
          <cell r="D3390" t="str">
            <v>Prešovská univerzita v Prešove</v>
          </cell>
          <cell r="E3390" t="str">
            <v>Fakulta humanitných a prírodných vied</v>
          </cell>
          <cell r="AN3390">
            <v>0</v>
          </cell>
          <cell r="AO3390">
            <v>0</v>
          </cell>
          <cell r="AP3390">
            <v>0</v>
          </cell>
          <cell r="AQ3390">
            <v>0</v>
          </cell>
          <cell r="AR3390">
            <v>0</v>
          </cell>
          <cell r="BF3390">
            <v>0</v>
          </cell>
          <cell r="BG3390">
            <v>0</v>
          </cell>
          <cell r="BH3390">
            <v>0</v>
          </cell>
          <cell r="BI3390">
            <v>3</v>
          </cell>
          <cell r="BJ3390">
            <v>0</v>
          </cell>
        </row>
        <row r="3391">
          <cell r="D3391" t="str">
            <v>Ekonomická univerzita v Bratislave</v>
          </cell>
          <cell r="E3391" t="str">
            <v>Národohospodárska fakulta</v>
          </cell>
          <cell r="AN3391">
            <v>0</v>
          </cell>
          <cell r="AO3391">
            <v>0</v>
          </cell>
          <cell r="AP3391">
            <v>0</v>
          </cell>
          <cell r="AQ3391">
            <v>0</v>
          </cell>
          <cell r="AR3391">
            <v>0</v>
          </cell>
          <cell r="BF3391">
            <v>0</v>
          </cell>
          <cell r="BG3391">
            <v>0</v>
          </cell>
          <cell r="BH3391">
            <v>0</v>
          </cell>
          <cell r="BI3391">
            <v>3</v>
          </cell>
          <cell r="BJ3391">
            <v>0</v>
          </cell>
        </row>
        <row r="3392">
          <cell r="D3392" t="str">
            <v>Technická univerzita v Košiciach</v>
          </cell>
          <cell r="E3392" t="str">
            <v>Strojnícka fakulta</v>
          </cell>
          <cell r="AN3392">
            <v>0</v>
          </cell>
          <cell r="AO3392">
            <v>4</v>
          </cell>
          <cell r="AP3392">
            <v>4</v>
          </cell>
          <cell r="AQ3392">
            <v>0</v>
          </cell>
          <cell r="AR3392">
            <v>0</v>
          </cell>
          <cell r="BF3392">
            <v>0</v>
          </cell>
          <cell r="BG3392">
            <v>0</v>
          </cell>
          <cell r="BH3392">
            <v>0</v>
          </cell>
          <cell r="BI3392">
            <v>4</v>
          </cell>
          <cell r="BJ3392">
            <v>0</v>
          </cell>
        </row>
        <row r="3393">
          <cell r="D3393" t="str">
            <v>Trenčianska univerzita Alexandra Dubčeka v Trenčíne</v>
          </cell>
          <cell r="E3393" t="str">
            <v>Fakulta priemyselných technológií v Púchove</v>
          </cell>
          <cell r="AN3393">
            <v>0</v>
          </cell>
          <cell r="AO3393">
            <v>0</v>
          </cell>
          <cell r="AP3393">
            <v>0</v>
          </cell>
          <cell r="AQ3393">
            <v>0</v>
          </cell>
          <cell r="AR3393">
            <v>0</v>
          </cell>
          <cell r="BF3393">
            <v>0</v>
          </cell>
          <cell r="BG3393">
            <v>0</v>
          </cell>
          <cell r="BH3393">
            <v>0</v>
          </cell>
          <cell r="BI3393">
            <v>8</v>
          </cell>
          <cell r="BJ3393">
            <v>0</v>
          </cell>
        </row>
        <row r="3394">
          <cell r="D3394" t="str">
            <v>Vysoká škola múzických umení v Bratislave</v>
          </cell>
          <cell r="E3394" t="str">
            <v>Filmová a televízna fakulta</v>
          </cell>
          <cell r="AN3394">
            <v>0</v>
          </cell>
          <cell r="AO3394">
            <v>0</v>
          </cell>
          <cell r="AP3394">
            <v>0</v>
          </cell>
          <cell r="AQ3394">
            <v>0</v>
          </cell>
          <cell r="AR3394">
            <v>0</v>
          </cell>
          <cell r="BF3394">
            <v>0</v>
          </cell>
          <cell r="BG3394">
            <v>0</v>
          </cell>
          <cell r="BH3394">
            <v>0</v>
          </cell>
          <cell r="BI3394">
            <v>3</v>
          </cell>
          <cell r="BJ3394">
            <v>0</v>
          </cell>
        </row>
        <row r="3395">
          <cell r="D3395" t="str">
            <v>Vysoká škola zdravotníctva a sociálnej práce sv. Alžbety v Bratislave, n. o.</v>
          </cell>
          <cell r="E3395">
            <v>0</v>
          </cell>
          <cell r="AN3395">
            <v>2</v>
          </cell>
          <cell r="AO3395">
            <v>0</v>
          </cell>
          <cell r="AP3395">
            <v>0</v>
          </cell>
          <cell r="AQ3395">
            <v>0</v>
          </cell>
          <cell r="AR3395">
            <v>0</v>
          </cell>
          <cell r="BF3395">
            <v>0</v>
          </cell>
          <cell r="BG3395">
            <v>0</v>
          </cell>
          <cell r="BH3395">
            <v>0</v>
          </cell>
          <cell r="BI3395">
            <v>2</v>
          </cell>
          <cell r="BJ3395">
            <v>0</v>
          </cell>
        </row>
        <row r="3396">
          <cell r="D3396" t="str">
            <v>Technická univerzita v Košiciach</v>
          </cell>
          <cell r="E3396" t="str">
            <v>Letecká fakulta</v>
          </cell>
          <cell r="AN3396">
            <v>42</v>
          </cell>
          <cell r="AO3396">
            <v>45</v>
          </cell>
          <cell r="AP3396">
            <v>0</v>
          </cell>
          <cell r="AQ3396">
            <v>0</v>
          </cell>
          <cell r="AR3396">
            <v>42</v>
          </cell>
          <cell r="BF3396">
            <v>34.200000000000003</v>
          </cell>
          <cell r="BG3396">
            <v>50.616000000000007</v>
          </cell>
          <cell r="BH3396">
            <v>44.783703703703708</v>
          </cell>
          <cell r="BI3396">
            <v>45</v>
          </cell>
          <cell r="BJ3396">
            <v>0</v>
          </cell>
        </row>
        <row r="3397">
          <cell r="D3397" t="str">
            <v>Slovenská technická univerzita v Bratislave</v>
          </cell>
          <cell r="E3397" t="str">
            <v>Strojnícka fakulta</v>
          </cell>
          <cell r="AN3397">
            <v>31</v>
          </cell>
          <cell r="AO3397">
            <v>31</v>
          </cell>
          <cell r="AP3397">
            <v>31</v>
          </cell>
          <cell r="AQ3397">
            <v>31</v>
          </cell>
          <cell r="AR3397">
            <v>31</v>
          </cell>
          <cell r="BF3397">
            <v>25.9</v>
          </cell>
          <cell r="BG3397">
            <v>38.332000000000001</v>
          </cell>
          <cell r="BH3397">
            <v>36.217601423487544</v>
          </cell>
          <cell r="BI3397">
            <v>31</v>
          </cell>
          <cell r="BJ3397">
            <v>0</v>
          </cell>
        </row>
        <row r="3398">
          <cell r="D3398" t="str">
            <v>Trenčianska univerzita Alexandra Dubčeka v Trenčíne</v>
          </cell>
          <cell r="E3398" t="str">
            <v>Fakulta zdravotníctva</v>
          </cell>
          <cell r="AN3398">
            <v>93</v>
          </cell>
          <cell r="AO3398">
            <v>93</v>
          </cell>
          <cell r="AP3398">
            <v>0</v>
          </cell>
          <cell r="AQ3398">
            <v>0</v>
          </cell>
          <cell r="AR3398">
            <v>93</v>
          </cell>
          <cell r="BF3398">
            <v>139.5</v>
          </cell>
          <cell r="BG3398">
            <v>299.92500000000001</v>
          </cell>
          <cell r="BH3398">
            <v>280.57500000000005</v>
          </cell>
          <cell r="BI3398">
            <v>93</v>
          </cell>
          <cell r="BJ3398">
            <v>0</v>
          </cell>
        </row>
        <row r="3399">
          <cell r="D3399" t="str">
            <v>Univerzita Pavla Jozefa Šafárika v Košiciach</v>
          </cell>
          <cell r="E3399" t="str">
            <v>Prírodovedecká fakulta</v>
          </cell>
          <cell r="AN3399">
            <v>0</v>
          </cell>
          <cell r="AO3399">
            <v>0</v>
          </cell>
          <cell r="AP3399">
            <v>0</v>
          </cell>
          <cell r="AQ3399">
            <v>0</v>
          </cell>
          <cell r="AR3399">
            <v>0</v>
          </cell>
          <cell r="BF3399">
            <v>0</v>
          </cell>
          <cell r="BG3399">
            <v>0</v>
          </cell>
          <cell r="BH3399">
            <v>0</v>
          </cell>
          <cell r="BI3399">
            <v>1</v>
          </cell>
          <cell r="BJ3399">
            <v>0</v>
          </cell>
        </row>
        <row r="3400">
          <cell r="D3400" t="str">
            <v>Katolícka univerzita v Ružomberku</v>
          </cell>
          <cell r="E3400" t="str">
            <v>Pedagogická fakulta</v>
          </cell>
          <cell r="AN3400">
            <v>0</v>
          </cell>
          <cell r="AO3400">
            <v>0</v>
          </cell>
          <cell r="AP3400">
            <v>0</v>
          </cell>
          <cell r="AQ3400">
            <v>0</v>
          </cell>
          <cell r="AR3400">
            <v>0</v>
          </cell>
          <cell r="BF3400">
            <v>0</v>
          </cell>
          <cell r="BG3400">
            <v>0</v>
          </cell>
          <cell r="BH3400">
            <v>0</v>
          </cell>
          <cell r="BI3400">
            <v>3</v>
          </cell>
          <cell r="BJ3400">
            <v>0</v>
          </cell>
        </row>
        <row r="3401">
          <cell r="D3401" t="str">
            <v>Vysoká škola bezpečnostného manažérstva v Košiciach</v>
          </cell>
          <cell r="E3401">
            <v>0</v>
          </cell>
          <cell r="AN3401">
            <v>12</v>
          </cell>
          <cell r="AO3401">
            <v>0</v>
          </cell>
          <cell r="AP3401">
            <v>0</v>
          </cell>
          <cell r="AQ3401">
            <v>0</v>
          </cell>
          <cell r="AR3401">
            <v>0</v>
          </cell>
          <cell r="BF3401">
            <v>0</v>
          </cell>
          <cell r="BG3401">
            <v>0</v>
          </cell>
          <cell r="BH3401">
            <v>0</v>
          </cell>
          <cell r="BI3401">
            <v>12</v>
          </cell>
          <cell r="BJ3401">
            <v>0</v>
          </cell>
        </row>
        <row r="3402">
          <cell r="D3402" t="str">
            <v>Vysoká škola bezpečnostného manažérstva v Košiciach</v>
          </cell>
          <cell r="E3402">
            <v>0</v>
          </cell>
          <cell r="AN3402">
            <v>6</v>
          </cell>
          <cell r="AO3402">
            <v>0</v>
          </cell>
          <cell r="AP3402">
            <v>0</v>
          </cell>
          <cell r="AQ3402">
            <v>0</v>
          </cell>
          <cell r="AR3402">
            <v>6</v>
          </cell>
          <cell r="BF3402">
            <v>24</v>
          </cell>
          <cell r="BG3402">
            <v>51.12</v>
          </cell>
          <cell r="BH3402">
            <v>46.472727272727269</v>
          </cell>
          <cell r="BI3402">
            <v>6</v>
          </cell>
          <cell r="BJ3402">
            <v>6</v>
          </cell>
        </row>
        <row r="3403">
          <cell r="D3403" t="str">
            <v>Univerzita Komenského v Bratislave</v>
          </cell>
          <cell r="E3403" t="str">
            <v>Fakulta sociálnych a ekonomických vied</v>
          </cell>
          <cell r="AN3403">
            <v>17</v>
          </cell>
          <cell r="AO3403">
            <v>18</v>
          </cell>
          <cell r="AP3403">
            <v>0</v>
          </cell>
          <cell r="AQ3403">
            <v>0</v>
          </cell>
          <cell r="AR3403">
            <v>17</v>
          </cell>
          <cell r="BF3403">
            <v>11.899999999999999</v>
          </cell>
          <cell r="BG3403">
            <v>14.160999999999998</v>
          </cell>
          <cell r="BH3403">
            <v>14.160999999999998</v>
          </cell>
          <cell r="BI3403">
            <v>18</v>
          </cell>
          <cell r="BJ3403">
            <v>0</v>
          </cell>
        </row>
        <row r="3404">
          <cell r="D3404" t="str">
            <v>Technická univerzita v Košiciach</v>
          </cell>
          <cell r="E3404" t="str">
            <v>Strojnícka fakulta</v>
          </cell>
          <cell r="AN3404">
            <v>0</v>
          </cell>
          <cell r="AO3404">
            <v>6</v>
          </cell>
          <cell r="AP3404">
            <v>6</v>
          </cell>
          <cell r="AQ3404">
            <v>0</v>
          </cell>
          <cell r="AR3404">
            <v>0</v>
          </cell>
          <cell r="BF3404">
            <v>0</v>
          </cell>
          <cell r="BG3404">
            <v>0</v>
          </cell>
          <cell r="BH3404">
            <v>0</v>
          </cell>
          <cell r="BI3404">
            <v>6</v>
          </cell>
          <cell r="BJ3404">
            <v>0</v>
          </cell>
        </row>
        <row r="3405">
          <cell r="D3405" t="str">
            <v>Vysoká škola DTI</v>
          </cell>
          <cell r="E3405">
            <v>0</v>
          </cell>
          <cell r="AN3405">
            <v>37</v>
          </cell>
          <cell r="AO3405">
            <v>0</v>
          </cell>
          <cell r="AP3405">
            <v>0</v>
          </cell>
          <cell r="AQ3405">
            <v>0</v>
          </cell>
          <cell r="AR3405">
            <v>0</v>
          </cell>
          <cell r="BF3405">
            <v>0</v>
          </cell>
          <cell r="BG3405">
            <v>0</v>
          </cell>
          <cell r="BH3405">
            <v>0</v>
          </cell>
          <cell r="BI3405">
            <v>37</v>
          </cell>
          <cell r="BJ3405">
            <v>0</v>
          </cell>
        </row>
        <row r="3406">
          <cell r="D3406" t="str">
            <v>Univerzita Komenského v Bratislave</v>
          </cell>
          <cell r="E3406" t="str">
            <v>Fakulta telesnej výchovy a športu</v>
          </cell>
          <cell r="AN3406">
            <v>0</v>
          </cell>
          <cell r="AO3406">
            <v>0</v>
          </cell>
          <cell r="AP3406">
            <v>0</v>
          </cell>
          <cell r="AQ3406">
            <v>0</v>
          </cell>
          <cell r="AR3406">
            <v>0</v>
          </cell>
          <cell r="BF3406">
            <v>0</v>
          </cell>
          <cell r="BG3406">
            <v>0</v>
          </cell>
          <cell r="BH3406">
            <v>0</v>
          </cell>
          <cell r="BI3406">
            <v>3</v>
          </cell>
          <cell r="BJ3406">
            <v>0</v>
          </cell>
        </row>
        <row r="3407">
          <cell r="D3407" t="str">
            <v>Univerzita Pavla Jozefa Šafárika v Košiciach</v>
          </cell>
          <cell r="E3407" t="str">
            <v>Prírodovedecká fakulta</v>
          </cell>
          <cell r="AN3407">
            <v>0</v>
          </cell>
          <cell r="AO3407">
            <v>0</v>
          </cell>
          <cell r="AP3407">
            <v>0</v>
          </cell>
          <cell r="AQ3407">
            <v>0</v>
          </cell>
          <cell r="AR3407">
            <v>0</v>
          </cell>
          <cell r="BF3407">
            <v>0</v>
          </cell>
          <cell r="BG3407">
            <v>0</v>
          </cell>
          <cell r="BH3407">
            <v>0</v>
          </cell>
          <cell r="BI3407">
            <v>1</v>
          </cell>
          <cell r="BJ3407">
            <v>0</v>
          </cell>
        </row>
        <row r="3408">
          <cell r="D3408" t="str">
            <v>Univerzita veterinárskeho lekárstva a farmácie v Košiciach</v>
          </cell>
          <cell r="E3408">
            <v>0</v>
          </cell>
          <cell r="AN3408">
            <v>1</v>
          </cell>
          <cell r="AO3408">
            <v>0</v>
          </cell>
          <cell r="AP3408">
            <v>0</v>
          </cell>
          <cell r="AQ3408">
            <v>0</v>
          </cell>
          <cell r="AR3408">
            <v>0</v>
          </cell>
          <cell r="BF3408">
            <v>0</v>
          </cell>
          <cell r="BG3408">
            <v>0</v>
          </cell>
          <cell r="BH3408">
            <v>0</v>
          </cell>
          <cell r="BI3408">
            <v>1</v>
          </cell>
          <cell r="BJ3408">
            <v>0</v>
          </cell>
        </row>
        <row r="3409">
          <cell r="D3409" t="str">
            <v>Vysoká škola výtvarných umení v Bratislave</v>
          </cell>
          <cell r="E3409">
            <v>0</v>
          </cell>
          <cell r="AN3409">
            <v>0</v>
          </cell>
          <cell r="AO3409">
            <v>0</v>
          </cell>
          <cell r="AP3409">
            <v>0</v>
          </cell>
          <cell r="AQ3409">
            <v>0</v>
          </cell>
          <cell r="AR3409">
            <v>0</v>
          </cell>
          <cell r="BF3409">
            <v>0</v>
          </cell>
          <cell r="BG3409">
            <v>0</v>
          </cell>
          <cell r="BH3409">
            <v>0</v>
          </cell>
          <cell r="BI3409">
            <v>6</v>
          </cell>
          <cell r="BJ3409">
            <v>0</v>
          </cell>
        </row>
        <row r="3410">
          <cell r="D3410" t="str">
            <v>Vysoká škola výtvarných umení v Bratislave</v>
          </cell>
          <cell r="E3410">
            <v>0</v>
          </cell>
          <cell r="AN3410">
            <v>10</v>
          </cell>
          <cell r="AO3410">
            <v>12</v>
          </cell>
          <cell r="AP3410">
            <v>0</v>
          </cell>
          <cell r="AQ3410">
            <v>0</v>
          </cell>
          <cell r="AR3410">
            <v>10</v>
          </cell>
          <cell r="BF3410">
            <v>15</v>
          </cell>
          <cell r="BG3410">
            <v>48.45</v>
          </cell>
          <cell r="BH3410">
            <v>39.9</v>
          </cell>
          <cell r="BI3410">
            <v>12</v>
          </cell>
          <cell r="BJ3410">
            <v>0</v>
          </cell>
        </row>
        <row r="3411">
          <cell r="D3411" t="str">
            <v>Vysoká škola výtvarných umení v Bratislave</v>
          </cell>
          <cell r="E3411">
            <v>0</v>
          </cell>
          <cell r="AN3411">
            <v>9</v>
          </cell>
          <cell r="AO3411">
            <v>9</v>
          </cell>
          <cell r="AP3411">
            <v>0</v>
          </cell>
          <cell r="AQ3411">
            <v>0</v>
          </cell>
          <cell r="AR3411">
            <v>9</v>
          </cell>
          <cell r="BF3411">
            <v>13.5</v>
          </cell>
          <cell r="BG3411">
            <v>43.604999999999997</v>
          </cell>
          <cell r="BH3411">
            <v>29.07</v>
          </cell>
          <cell r="BI3411">
            <v>9</v>
          </cell>
          <cell r="BJ3411">
            <v>0</v>
          </cell>
        </row>
        <row r="3412">
          <cell r="D3412" t="str">
            <v>Vysoká škola výtvarných umení v Bratislave</v>
          </cell>
          <cell r="E3412">
            <v>0</v>
          </cell>
          <cell r="AN3412">
            <v>5</v>
          </cell>
          <cell r="AO3412">
            <v>6</v>
          </cell>
          <cell r="AP3412">
            <v>0</v>
          </cell>
          <cell r="AQ3412">
            <v>0</v>
          </cell>
          <cell r="AR3412">
            <v>5</v>
          </cell>
          <cell r="BF3412">
            <v>7.5</v>
          </cell>
          <cell r="BG3412">
            <v>24.225000000000001</v>
          </cell>
          <cell r="BH3412">
            <v>16.150000000000002</v>
          </cell>
          <cell r="BI3412">
            <v>6</v>
          </cell>
          <cell r="BJ3412">
            <v>0</v>
          </cell>
        </row>
        <row r="3413">
          <cell r="D3413" t="str">
            <v>Vysoká škola výtvarných umení v Bratislave</v>
          </cell>
          <cell r="E3413">
            <v>0</v>
          </cell>
          <cell r="AN3413">
            <v>10</v>
          </cell>
          <cell r="AO3413">
            <v>10</v>
          </cell>
          <cell r="AP3413">
            <v>0</v>
          </cell>
          <cell r="AQ3413">
            <v>0</v>
          </cell>
          <cell r="AR3413">
            <v>10</v>
          </cell>
          <cell r="BF3413">
            <v>15</v>
          </cell>
          <cell r="BG3413">
            <v>48.45</v>
          </cell>
          <cell r="BH3413">
            <v>37.753246753246756</v>
          </cell>
          <cell r="BI3413">
            <v>10</v>
          </cell>
          <cell r="BJ3413">
            <v>0</v>
          </cell>
        </row>
        <row r="3414">
          <cell r="D3414" t="str">
            <v>Vysoká škola výtvarných umení v Bratislave</v>
          </cell>
          <cell r="E3414">
            <v>0</v>
          </cell>
          <cell r="AN3414">
            <v>0</v>
          </cell>
          <cell r="AO3414">
            <v>0</v>
          </cell>
          <cell r="AP3414">
            <v>0</v>
          </cell>
          <cell r="AQ3414">
            <v>0</v>
          </cell>
          <cell r="AR3414">
            <v>0</v>
          </cell>
          <cell r="BF3414">
            <v>0</v>
          </cell>
          <cell r="BG3414">
            <v>0</v>
          </cell>
          <cell r="BH3414">
            <v>0</v>
          </cell>
          <cell r="BI3414">
            <v>2</v>
          </cell>
          <cell r="BJ3414">
            <v>0</v>
          </cell>
        </row>
        <row r="3415">
          <cell r="D3415" t="str">
            <v>Vysoká škola zdravotníctva a sociálnej práce sv. Alžbety v Bratislave, n. o.</v>
          </cell>
          <cell r="E3415">
            <v>0</v>
          </cell>
          <cell r="AN3415">
            <v>166</v>
          </cell>
          <cell r="AO3415">
            <v>0</v>
          </cell>
          <cell r="AP3415">
            <v>0</v>
          </cell>
          <cell r="AQ3415">
            <v>0</v>
          </cell>
          <cell r="AR3415">
            <v>0</v>
          </cell>
          <cell r="BF3415">
            <v>0</v>
          </cell>
          <cell r="BG3415">
            <v>0</v>
          </cell>
          <cell r="BH3415">
            <v>0</v>
          </cell>
          <cell r="BI3415">
            <v>166</v>
          </cell>
          <cell r="BJ3415">
            <v>0</v>
          </cell>
        </row>
        <row r="3416">
          <cell r="D3416" t="str">
            <v>Vysoká škola zdravotníctva a sociálnej práce sv. Alžbety v Bratislave, n. o.</v>
          </cell>
          <cell r="E3416" t="str">
            <v>Fakulta zdravotníctva a sociálnej práce sv. Ladislava</v>
          </cell>
          <cell r="AN3416">
            <v>21</v>
          </cell>
          <cell r="AO3416">
            <v>21</v>
          </cell>
          <cell r="AP3416">
            <v>0</v>
          </cell>
          <cell r="AQ3416">
            <v>0</v>
          </cell>
          <cell r="AR3416">
            <v>21</v>
          </cell>
          <cell r="BF3416">
            <v>21</v>
          </cell>
          <cell r="BG3416">
            <v>45.15</v>
          </cell>
          <cell r="BH3416">
            <v>25.799999999999997</v>
          </cell>
          <cell r="BI3416">
            <v>21</v>
          </cell>
          <cell r="BJ3416">
            <v>0</v>
          </cell>
        </row>
        <row r="3417">
          <cell r="D3417" t="str">
            <v>Hudobná a umelecká akadémia Jána Albrechta - Banská Štiavnica, s. r. o., odborná vysoká škola</v>
          </cell>
          <cell r="E3417">
            <v>0</v>
          </cell>
          <cell r="AN3417">
            <v>4</v>
          </cell>
          <cell r="AO3417">
            <v>0</v>
          </cell>
          <cell r="AP3417">
            <v>0</v>
          </cell>
          <cell r="AQ3417">
            <v>0</v>
          </cell>
          <cell r="AR3417">
            <v>0</v>
          </cell>
          <cell r="BF3417">
            <v>0</v>
          </cell>
          <cell r="BG3417">
            <v>0</v>
          </cell>
          <cell r="BH3417">
            <v>0</v>
          </cell>
          <cell r="BI3417">
            <v>7</v>
          </cell>
          <cell r="BJ3417">
            <v>0</v>
          </cell>
        </row>
        <row r="3418">
          <cell r="D3418" t="str">
            <v>Hudobná a umelecká akadémia Jána Albrechta - Banská Štiavnica, s. r. o., odborná vysoká škola</v>
          </cell>
          <cell r="E3418">
            <v>0</v>
          </cell>
          <cell r="AN3418">
            <v>1</v>
          </cell>
          <cell r="AO3418">
            <v>0</v>
          </cell>
          <cell r="AP3418">
            <v>0</v>
          </cell>
          <cell r="AQ3418">
            <v>0</v>
          </cell>
          <cell r="AR3418">
            <v>1</v>
          </cell>
          <cell r="BF3418">
            <v>4</v>
          </cell>
          <cell r="BG3418">
            <v>4.4000000000000004</v>
          </cell>
          <cell r="BH3418">
            <v>4.4000000000000004</v>
          </cell>
          <cell r="BI3418">
            <v>2</v>
          </cell>
          <cell r="BJ3418">
            <v>1</v>
          </cell>
        </row>
        <row r="3419">
          <cell r="D3419" t="str">
            <v>Vysoká škola medzinárodného podnikania ISM Slovakia v Prešove</v>
          </cell>
          <cell r="E3419">
            <v>0</v>
          </cell>
          <cell r="AN3419">
            <v>10</v>
          </cell>
          <cell r="AO3419">
            <v>10</v>
          </cell>
          <cell r="AP3419">
            <v>0</v>
          </cell>
          <cell r="AQ3419">
            <v>0</v>
          </cell>
          <cell r="AR3419">
            <v>10</v>
          </cell>
          <cell r="BF3419">
            <v>15</v>
          </cell>
          <cell r="BG3419">
            <v>15</v>
          </cell>
          <cell r="BH3419">
            <v>15</v>
          </cell>
          <cell r="BI3419">
            <v>10</v>
          </cell>
          <cell r="BJ3419">
            <v>0</v>
          </cell>
        </row>
        <row r="3420">
          <cell r="D3420" t="str">
            <v>Univerzita Komenského v Bratislave</v>
          </cell>
          <cell r="E3420" t="str">
            <v>Pedagogická fakulta</v>
          </cell>
          <cell r="AN3420">
            <v>6</v>
          </cell>
          <cell r="AO3420">
            <v>7</v>
          </cell>
          <cell r="AP3420">
            <v>0</v>
          </cell>
          <cell r="AQ3420">
            <v>0</v>
          </cell>
          <cell r="AR3420">
            <v>6</v>
          </cell>
          <cell r="BF3420">
            <v>9</v>
          </cell>
          <cell r="BG3420">
            <v>19.349999999999998</v>
          </cell>
          <cell r="BH3420">
            <v>19.349999999999998</v>
          </cell>
          <cell r="BI3420">
            <v>7</v>
          </cell>
          <cell r="BJ3420">
            <v>0</v>
          </cell>
        </row>
        <row r="3421">
          <cell r="D3421" t="str">
            <v>Univerzita Konštantína Filozofa v Nitre</v>
          </cell>
          <cell r="E3421" t="str">
            <v>Filozofická fakulta</v>
          </cell>
          <cell r="AN3421">
            <v>4</v>
          </cell>
          <cell r="AO3421">
            <v>0</v>
          </cell>
          <cell r="AP3421">
            <v>0</v>
          </cell>
          <cell r="AQ3421">
            <v>0</v>
          </cell>
          <cell r="AR3421">
            <v>4</v>
          </cell>
          <cell r="BF3421">
            <v>16</v>
          </cell>
          <cell r="BG3421">
            <v>17.600000000000001</v>
          </cell>
          <cell r="BH3421">
            <v>17.600000000000001</v>
          </cell>
          <cell r="BI3421">
            <v>4</v>
          </cell>
          <cell r="BJ3421">
            <v>4</v>
          </cell>
        </row>
        <row r="3422">
          <cell r="D3422" t="str">
            <v>Univerzita Konštantína Filozofa v Nitre</v>
          </cell>
          <cell r="E3422" t="str">
            <v>Filozofická fakulta</v>
          </cell>
          <cell r="AN3422">
            <v>0</v>
          </cell>
          <cell r="AO3422">
            <v>0</v>
          </cell>
          <cell r="AP3422">
            <v>0</v>
          </cell>
          <cell r="AQ3422">
            <v>0</v>
          </cell>
          <cell r="AR3422">
            <v>0</v>
          </cell>
          <cell r="BF3422">
            <v>0</v>
          </cell>
          <cell r="BG3422">
            <v>0</v>
          </cell>
          <cell r="BH3422">
            <v>0</v>
          </cell>
          <cell r="BI3422">
            <v>8</v>
          </cell>
          <cell r="BJ3422">
            <v>0</v>
          </cell>
        </row>
        <row r="3423">
          <cell r="D3423" t="str">
            <v>Univerzita Komenského v Bratislave</v>
          </cell>
          <cell r="E3423" t="str">
            <v>Fakulta sociálnych a ekonomických vied</v>
          </cell>
          <cell r="AN3423">
            <v>0</v>
          </cell>
          <cell r="AO3423">
            <v>0</v>
          </cell>
          <cell r="AP3423">
            <v>0</v>
          </cell>
          <cell r="AQ3423">
            <v>0</v>
          </cell>
          <cell r="AR3423">
            <v>0</v>
          </cell>
          <cell r="BF3423">
            <v>0</v>
          </cell>
          <cell r="BG3423">
            <v>0</v>
          </cell>
          <cell r="BH3423">
            <v>0</v>
          </cell>
          <cell r="BI3423">
            <v>3</v>
          </cell>
          <cell r="BJ3423">
            <v>0</v>
          </cell>
        </row>
        <row r="3424">
          <cell r="D3424" t="str">
            <v>Univerzita sv. Cyrila a Metoda v Trnave</v>
          </cell>
          <cell r="E3424" t="str">
            <v>Fakulta sociálnych vied</v>
          </cell>
          <cell r="AN3424">
            <v>30</v>
          </cell>
          <cell r="AO3424">
            <v>35</v>
          </cell>
          <cell r="AP3424">
            <v>0</v>
          </cell>
          <cell r="AQ3424">
            <v>0</v>
          </cell>
          <cell r="AR3424">
            <v>30</v>
          </cell>
          <cell r="BF3424">
            <v>21</v>
          </cell>
          <cell r="BG3424">
            <v>21</v>
          </cell>
          <cell r="BH3424">
            <v>21</v>
          </cell>
          <cell r="BI3424">
            <v>35</v>
          </cell>
          <cell r="BJ3424">
            <v>0</v>
          </cell>
        </row>
        <row r="3425">
          <cell r="D3425" t="str">
            <v>Univerzita sv. Cyrila a Metoda v Trnave</v>
          </cell>
          <cell r="E3425" t="str">
            <v>Fakulta sociálnych vied</v>
          </cell>
          <cell r="AN3425">
            <v>25</v>
          </cell>
          <cell r="AO3425">
            <v>29</v>
          </cell>
          <cell r="AP3425">
            <v>0</v>
          </cell>
          <cell r="AQ3425">
            <v>0</v>
          </cell>
          <cell r="AR3425">
            <v>25</v>
          </cell>
          <cell r="BF3425">
            <v>37.5</v>
          </cell>
          <cell r="BG3425">
            <v>37.5</v>
          </cell>
          <cell r="BH3425">
            <v>37.5</v>
          </cell>
          <cell r="BI3425">
            <v>29</v>
          </cell>
          <cell r="BJ3425">
            <v>0</v>
          </cell>
        </row>
        <row r="3426">
          <cell r="D3426" t="str">
            <v>Univerzita sv. Cyrila a Metoda v Trnave</v>
          </cell>
          <cell r="E3426" t="str">
            <v>Fakulta sociálnych vied</v>
          </cell>
          <cell r="AN3426">
            <v>7</v>
          </cell>
          <cell r="AO3426">
            <v>0</v>
          </cell>
          <cell r="AP3426">
            <v>0</v>
          </cell>
          <cell r="AQ3426">
            <v>0</v>
          </cell>
          <cell r="AR3426">
            <v>7</v>
          </cell>
          <cell r="BF3426">
            <v>28</v>
          </cell>
          <cell r="BG3426">
            <v>30.800000000000004</v>
          </cell>
          <cell r="BH3426">
            <v>30.800000000000004</v>
          </cell>
          <cell r="BI3426">
            <v>8</v>
          </cell>
          <cell r="BJ3426">
            <v>7</v>
          </cell>
        </row>
        <row r="3427">
          <cell r="D3427" t="str">
            <v>Univerzita Konštantína Filozofa v Nitre</v>
          </cell>
          <cell r="E3427" t="str">
            <v>Filozofická fakulta</v>
          </cell>
          <cell r="AN3427">
            <v>0</v>
          </cell>
          <cell r="AO3427">
            <v>0</v>
          </cell>
          <cell r="AP3427">
            <v>0</v>
          </cell>
          <cell r="AQ3427">
            <v>0</v>
          </cell>
          <cell r="AR3427">
            <v>0</v>
          </cell>
          <cell r="BF3427">
            <v>0</v>
          </cell>
          <cell r="BG3427">
            <v>0</v>
          </cell>
          <cell r="BH3427">
            <v>0</v>
          </cell>
          <cell r="BI3427">
            <v>2</v>
          </cell>
          <cell r="BJ3427">
            <v>0</v>
          </cell>
        </row>
        <row r="3428">
          <cell r="D3428" t="str">
            <v>Univerzita Komenského v Bratislave</v>
          </cell>
          <cell r="E3428" t="str">
            <v>Fakulta telesnej výchovy a športu</v>
          </cell>
          <cell r="AN3428">
            <v>20</v>
          </cell>
          <cell r="AO3428">
            <v>20</v>
          </cell>
          <cell r="AP3428">
            <v>0</v>
          </cell>
          <cell r="AQ3428">
            <v>0</v>
          </cell>
          <cell r="AR3428">
            <v>20</v>
          </cell>
          <cell r="BF3428">
            <v>30</v>
          </cell>
          <cell r="BG3428">
            <v>35.699999999999996</v>
          </cell>
          <cell r="BH3428">
            <v>35.699999999999996</v>
          </cell>
          <cell r="BI3428">
            <v>20</v>
          </cell>
          <cell r="BJ3428">
            <v>0</v>
          </cell>
        </row>
        <row r="3429">
          <cell r="D3429" t="str">
            <v>Univerzita Pavla Jozefa Šafárika v Košiciach</v>
          </cell>
          <cell r="E3429" t="str">
            <v>Filozofická fakulta</v>
          </cell>
          <cell r="AN3429">
            <v>7</v>
          </cell>
          <cell r="AO3429">
            <v>8</v>
          </cell>
          <cell r="AP3429">
            <v>0</v>
          </cell>
          <cell r="AQ3429">
            <v>0</v>
          </cell>
          <cell r="AR3429">
            <v>7</v>
          </cell>
          <cell r="BF3429">
            <v>4.8999999999999995</v>
          </cell>
          <cell r="BG3429">
            <v>5.365499999999999</v>
          </cell>
          <cell r="BH3429">
            <v>4.4667106598984763</v>
          </cell>
          <cell r="BI3429">
            <v>8</v>
          </cell>
          <cell r="BJ3429">
            <v>0</v>
          </cell>
        </row>
        <row r="3430">
          <cell r="D3430" t="str">
            <v>Trnavská univerzita v Trnave</v>
          </cell>
          <cell r="E3430" t="str">
            <v>Teologická fakulta</v>
          </cell>
          <cell r="AN3430">
            <v>2</v>
          </cell>
          <cell r="AO3430">
            <v>2</v>
          </cell>
          <cell r="AP3430">
            <v>0</v>
          </cell>
          <cell r="AQ3430">
            <v>0</v>
          </cell>
          <cell r="AR3430">
            <v>2</v>
          </cell>
          <cell r="BF3430">
            <v>3</v>
          </cell>
          <cell r="BG3430">
            <v>3</v>
          </cell>
          <cell r="BH3430">
            <v>2</v>
          </cell>
          <cell r="BI3430">
            <v>2</v>
          </cell>
          <cell r="BJ3430">
            <v>0</v>
          </cell>
        </row>
        <row r="3431">
          <cell r="D3431" t="str">
            <v>Trnavská univerzita v Trnave</v>
          </cell>
          <cell r="E3431" t="str">
            <v>Teologická fakulta</v>
          </cell>
          <cell r="AN3431">
            <v>1</v>
          </cell>
          <cell r="AO3431">
            <v>1</v>
          </cell>
          <cell r="AP3431">
            <v>0</v>
          </cell>
          <cell r="AQ3431">
            <v>0</v>
          </cell>
          <cell r="AR3431">
            <v>1</v>
          </cell>
          <cell r="BF3431">
            <v>0.7</v>
          </cell>
          <cell r="BG3431">
            <v>0.7</v>
          </cell>
          <cell r="BH3431">
            <v>0.66666666666666663</v>
          </cell>
          <cell r="BI3431">
            <v>1</v>
          </cell>
          <cell r="BJ3431">
            <v>0</v>
          </cell>
        </row>
        <row r="3432">
          <cell r="D3432" t="str">
            <v>Univerzita Pavla Jozefa Šafárika v Košiciach</v>
          </cell>
          <cell r="E3432" t="str">
            <v>Prírodovedecká fakulta</v>
          </cell>
          <cell r="AN3432">
            <v>2</v>
          </cell>
          <cell r="AO3432">
            <v>2</v>
          </cell>
          <cell r="AP3432">
            <v>2</v>
          </cell>
          <cell r="AQ3432">
            <v>2</v>
          </cell>
          <cell r="AR3432">
            <v>2</v>
          </cell>
          <cell r="BF3432">
            <v>3</v>
          </cell>
          <cell r="BG3432">
            <v>3.96</v>
          </cell>
          <cell r="BH3432">
            <v>3.96</v>
          </cell>
          <cell r="BI3432">
            <v>2</v>
          </cell>
          <cell r="BJ3432">
            <v>0</v>
          </cell>
        </row>
        <row r="3433">
          <cell r="D3433" t="str">
            <v>Univerzita Pavla Jozefa Šafárika v Košiciach</v>
          </cell>
          <cell r="E3433" t="str">
            <v>Prírodovedecká fakulta</v>
          </cell>
          <cell r="AN3433">
            <v>0.5</v>
          </cell>
          <cell r="AO3433">
            <v>0.5</v>
          </cell>
          <cell r="AP3433">
            <v>0.5</v>
          </cell>
          <cell r="AQ3433">
            <v>0.5</v>
          </cell>
          <cell r="AR3433">
            <v>0.5</v>
          </cell>
          <cell r="BF3433">
            <v>0.75</v>
          </cell>
          <cell r="BG3433">
            <v>0.89249999999999996</v>
          </cell>
          <cell r="BH3433">
            <v>0.89249999999999996</v>
          </cell>
          <cell r="BI3433">
            <v>0.5</v>
          </cell>
          <cell r="BJ3433">
            <v>0</v>
          </cell>
        </row>
        <row r="3434">
          <cell r="D3434" t="str">
            <v>Univerzita Pavla Jozefa Šafárika v Košiciach</v>
          </cell>
          <cell r="E3434" t="str">
            <v>Prírodovedecká fakulta</v>
          </cell>
          <cell r="AN3434">
            <v>2</v>
          </cell>
          <cell r="AO3434">
            <v>3</v>
          </cell>
          <cell r="AP3434">
            <v>3</v>
          </cell>
          <cell r="AQ3434">
            <v>2</v>
          </cell>
          <cell r="AR3434">
            <v>2</v>
          </cell>
          <cell r="BF3434">
            <v>1.4</v>
          </cell>
          <cell r="BG3434">
            <v>1.9599999999999997</v>
          </cell>
          <cell r="BH3434">
            <v>1.9599999999999997</v>
          </cell>
          <cell r="BI3434">
            <v>3</v>
          </cell>
          <cell r="BJ3434">
            <v>0</v>
          </cell>
        </row>
        <row r="3435">
          <cell r="D3435" t="str">
            <v>Univerzita Pavla Jozefa Šafárika v Košiciach</v>
          </cell>
          <cell r="E3435" t="str">
            <v>Prírodovedecká fakulta</v>
          </cell>
          <cell r="AN3435">
            <v>6</v>
          </cell>
          <cell r="AO3435">
            <v>6</v>
          </cell>
          <cell r="AP3435">
            <v>6</v>
          </cell>
          <cell r="AQ3435">
            <v>6</v>
          </cell>
          <cell r="AR3435">
            <v>6</v>
          </cell>
          <cell r="BF3435">
            <v>4.1999999999999993</v>
          </cell>
          <cell r="BG3435">
            <v>6.2159999999999993</v>
          </cell>
          <cell r="BH3435">
            <v>6.2159999999999993</v>
          </cell>
          <cell r="BI3435">
            <v>6</v>
          </cell>
          <cell r="BJ3435">
            <v>0</v>
          </cell>
        </row>
        <row r="3436">
          <cell r="D3436" t="str">
            <v>Univerzita Pavla Jozefa Šafárika v Košiciach</v>
          </cell>
          <cell r="E3436" t="str">
            <v>Prírodovedecká fakulta</v>
          </cell>
          <cell r="AN3436">
            <v>1</v>
          </cell>
          <cell r="AO3436">
            <v>1</v>
          </cell>
          <cell r="AP3436">
            <v>1</v>
          </cell>
          <cell r="AQ3436">
            <v>1</v>
          </cell>
          <cell r="AR3436">
            <v>1</v>
          </cell>
          <cell r="BF3436">
            <v>0.7</v>
          </cell>
          <cell r="BG3436">
            <v>1.036</v>
          </cell>
          <cell r="BH3436">
            <v>1.003625</v>
          </cell>
          <cell r="BI3436">
            <v>1</v>
          </cell>
          <cell r="BJ3436">
            <v>0</v>
          </cell>
        </row>
        <row r="3437">
          <cell r="D3437" t="str">
            <v>Univerzita Pavla Jozefa Šafárika v Košiciach</v>
          </cell>
          <cell r="E3437" t="str">
            <v>Prírodovedecká fakulta</v>
          </cell>
          <cell r="AN3437">
            <v>2</v>
          </cell>
          <cell r="AO3437">
            <v>2</v>
          </cell>
          <cell r="AP3437">
            <v>0</v>
          </cell>
          <cell r="AQ3437">
            <v>0</v>
          </cell>
          <cell r="AR3437">
            <v>2</v>
          </cell>
          <cell r="BF3437">
            <v>1.4</v>
          </cell>
          <cell r="BG3437">
            <v>2.0720000000000001</v>
          </cell>
          <cell r="BH3437">
            <v>1.9185185185185185</v>
          </cell>
          <cell r="BI3437">
            <v>2</v>
          </cell>
          <cell r="BJ3437">
            <v>0</v>
          </cell>
        </row>
        <row r="3438">
          <cell r="D3438" t="str">
            <v>Univerzita Pavla Jozefa Šafárika v Košiciach</v>
          </cell>
          <cell r="E3438" t="str">
            <v>Prírodovedecká fakulta</v>
          </cell>
          <cell r="AN3438">
            <v>1</v>
          </cell>
          <cell r="AO3438">
            <v>1</v>
          </cell>
          <cell r="AP3438">
            <v>1</v>
          </cell>
          <cell r="AQ3438">
            <v>1</v>
          </cell>
          <cell r="AR3438">
            <v>1</v>
          </cell>
          <cell r="BF3438">
            <v>0.7</v>
          </cell>
          <cell r="BG3438">
            <v>1.036</v>
          </cell>
          <cell r="BH3438">
            <v>1.036</v>
          </cell>
          <cell r="BI3438">
            <v>1</v>
          </cell>
          <cell r="BJ3438">
            <v>0</v>
          </cell>
        </row>
        <row r="3439">
          <cell r="D3439" t="str">
            <v>Univerzita Pavla Jozefa Šafárika v Košiciach</v>
          </cell>
          <cell r="E3439" t="str">
            <v>Prírodovedecká fakulta</v>
          </cell>
          <cell r="AN3439">
            <v>1</v>
          </cell>
          <cell r="AO3439">
            <v>1</v>
          </cell>
          <cell r="AP3439">
            <v>0</v>
          </cell>
          <cell r="AQ3439">
            <v>0</v>
          </cell>
          <cell r="AR3439">
            <v>1</v>
          </cell>
          <cell r="BF3439">
            <v>0.7</v>
          </cell>
          <cell r="BG3439">
            <v>1.036</v>
          </cell>
          <cell r="BH3439">
            <v>0.8201666666666666</v>
          </cell>
          <cell r="BI3439">
            <v>1</v>
          </cell>
          <cell r="BJ3439">
            <v>0</v>
          </cell>
        </row>
        <row r="3440">
          <cell r="D3440" t="str">
            <v>Univerzita Konštantína Filozofa v Nitre</v>
          </cell>
          <cell r="E3440" t="str">
            <v>Pedagogická fakulta</v>
          </cell>
          <cell r="AN3440">
            <v>7</v>
          </cell>
          <cell r="AO3440">
            <v>7</v>
          </cell>
          <cell r="AP3440">
            <v>0</v>
          </cell>
          <cell r="AQ3440">
            <v>0</v>
          </cell>
          <cell r="AR3440">
            <v>7</v>
          </cell>
          <cell r="BF3440">
            <v>10.5</v>
          </cell>
          <cell r="BG3440">
            <v>11.445</v>
          </cell>
          <cell r="BH3440">
            <v>10.892482758620691</v>
          </cell>
          <cell r="BI3440">
            <v>7</v>
          </cell>
          <cell r="BJ3440">
            <v>0</v>
          </cell>
        </row>
        <row r="3441">
          <cell r="D3441" t="str">
            <v>Univerzita Konštantína Filozofa v Nitre</v>
          </cell>
          <cell r="E3441" t="str">
            <v>Pedagogická fakulta</v>
          </cell>
          <cell r="AN3441">
            <v>1</v>
          </cell>
          <cell r="AO3441">
            <v>0</v>
          </cell>
          <cell r="AP3441">
            <v>0</v>
          </cell>
          <cell r="AQ3441">
            <v>0</v>
          </cell>
          <cell r="AR3441">
            <v>1</v>
          </cell>
          <cell r="BF3441">
            <v>4</v>
          </cell>
          <cell r="BG3441">
            <v>4.4000000000000004</v>
          </cell>
          <cell r="BH3441">
            <v>2.2000000000000002</v>
          </cell>
          <cell r="BI3441">
            <v>1</v>
          </cell>
          <cell r="BJ3441">
            <v>1</v>
          </cell>
        </row>
        <row r="3442">
          <cell r="D3442" t="str">
            <v>Univerzita Konštantína Filozofa v Nitre</v>
          </cell>
          <cell r="E3442" t="str">
            <v>Pedagogická fakulta</v>
          </cell>
          <cell r="AN3442">
            <v>0</v>
          </cell>
          <cell r="AO3442">
            <v>0</v>
          </cell>
          <cell r="AP3442">
            <v>0</v>
          </cell>
          <cell r="AQ3442">
            <v>0</v>
          </cell>
          <cell r="AR3442">
            <v>0</v>
          </cell>
          <cell r="BF3442">
            <v>0</v>
          </cell>
          <cell r="BG3442">
            <v>0</v>
          </cell>
          <cell r="BH3442">
            <v>0</v>
          </cell>
          <cell r="BI3442">
            <v>1</v>
          </cell>
          <cell r="BJ3442">
            <v>0</v>
          </cell>
        </row>
        <row r="3443">
          <cell r="D3443" t="str">
            <v>Univerzita Konštantína Filozofa v Nitre</v>
          </cell>
          <cell r="E3443" t="str">
            <v>Pedagogická fakulta</v>
          </cell>
          <cell r="AN3443">
            <v>0</v>
          </cell>
          <cell r="AO3443">
            <v>0</v>
          </cell>
          <cell r="AP3443">
            <v>0</v>
          </cell>
          <cell r="AQ3443">
            <v>0</v>
          </cell>
          <cell r="AR3443">
            <v>0</v>
          </cell>
          <cell r="BF3443">
            <v>0</v>
          </cell>
          <cell r="BG3443">
            <v>0</v>
          </cell>
          <cell r="BH3443">
            <v>0</v>
          </cell>
          <cell r="BI3443">
            <v>1</v>
          </cell>
          <cell r="BJ3443">
            <v>0</v>
          </cell>
        </row>
        <row r="3444">
          <cell r="D3444" t="str">
            <v>Univerzita Mateja Bela v Banskej Bystrici</v>
          </cell>
          <cell r="E3444" t="str">
            <v>Pedagogická fakulta</v>
          </cell>
          <cell r="AN3444">
            <v>0</v>
          </cell>
          <cell r="AO3444">
            <v>0</v>
          </cell>
          <cell r="AP3444">
            <v>0</v>
          </cell>
          <cell r="AQ3444">
            <v>0</v>
          </cell>
          <cell r="AR3444">
            <v>0</v>
          </cell>
          <cell r="BF3444">
            <v>0</v>
          </cell>
          <cell r="BG3444">
            <v>0</v>
          </cell>
          <cell r="BH3444">
            <v>0</v>
          </cell>
          <cell r="BI3444">
            <v>2</v>
          </cell>
          <cell r="BJ3444">
            <v>0</v>
          </cell>
        </row>
        <row r="3445">
          <cell r="D3445" t="str">
            <v>Univerzita Mateja Bela v Banskej Bystrici</v>
          </cell>
          <cell r="E3445" t="str">
            <v>Pedagogická fakulta</v>
          </cell>
          <cell r="AN3445">
            <v>0.5</v>
          </cell>
          <cell r="AO3445">
            <v>0.5</v>
          </cell>
          <cell r="AP3445">
            <v>0</v>
          </cell>
          <cell r="AQ3445">
            <v>0</v>
          </cell>
          <cell r="AR3445">
            <v>0.5</v>
          </cell>
          <cell r="BF3445">
            <v>0.75</v>
          </cell>
          <cell r="BG3445">
            <v>0.89249999999999996</v>
          </cell>
          <cell r="BH3445">
            <v>0.76500000000000001</v>
          </cell>
          <cell r="BI3445">
            <v>0.5</v>
          </cell>
          <cell r="BJ3445">
            <v>0</v>
          </cell>
        </row>
        <row r="3446">
          <cell r="D3446" t="str">
            <v>Univerzita Mateja Bela v Banskej Bystrici</v>
          </cell>
          <cell r="E3446" t="str">
            <v>Fakulta politických vied a medzinárodných vzťahov</v>
          </cell>
          <cell r="AN3446">
            <v>0</v>
          </cell>
          <cell r="AO3446">
            <v>4</v>
          </cell>
          <cell r="AP3446">
            <v>0</v>
          </cell>
          <cell r="AQ3446">
            <v>0</v>
          </cell>
          <cell r="AR3446">
            <v>0</v>
          </cell>
          <cell r="BF3446">
            <v>0</v>
          </cell>
          <cell r="BG3446">
            <v>0</v>
          </cell>
          <cell r="BH3446">
            <v>0</v>
          </cell>
          <cell r="BI3446">
            <v>4</v>
          </cell>
          <cell r="BJ3446">
            <v>0</v>
          </cell>
        </row>
        <row r="3447">
          <cell r="D3447" t="str">
            <v>Univerzita Mateja Bela v Banskej Bystrici</v>
          </cell>
          <cell r="E3447" t="str">
            <v>Ekonomická fakulta</v>
          </cell>
          <cell r="AN3447">
            <v>0</v>
          </cell>
          <cell r="AO3447">
            <v>0</v>
          </cell>
          <cell r="AP3447">
            <v>0</v>
          </cell>
          <cell r="AQ3447">
            <v>0</v>
          </cell>
          <cell r="AR3447">
            <v>0</v>
          </cell>
          <cell r="BF3447">
            <v>0</v>
          </cell>
          <cell r="BG3447">
            <v>0</v>
          </cell>
          <cell r="BH3447">
            <v>0</v>
          </cell>
          <cell r="BI3447">
            <v>1</v>
          </cell>
          <cell r="BJ3447">
            <v>0</v>
          </cell>
        </row>
        <row r="3448">
          <cell r="D3448" t="str">
            <v>Univerzita Pavla Jozefa Šafárika v Košiciach</v>
          </cell>
          <cell r="E3448" t="str">
            <v>Lekárska fakulta</v>
          </cell>
          <cell r="AN3448">
            <v>13</v>
          </cell>
          <cell r="AO3448">
            <v>13</v>
          </cell>
          <cell r="AP3448">
            <v>0</v>
          </cell>
          <cell r="AQ3448">
            <v>0</v>
          </cell>
          <cell r="AR3448">
            <v>13</v>
          </cell>
          <cell r="BF3448">
            <v>19.5</v>
          </cell>
          <cell r="BG3448">
            <v>41.924999999999997</v>
          </cell>
          <cell r="BH3448">
            <v>39.220161290322579</v>
          </cell>
          <cell r="BI3448">
            <v>13</v>
          </cell>
          <cell r="BJ3448">
            <v>0</v>
          </cell>
        </row>
        <row r="3449">
          <cell r="D3449" t="str">
            <v>Univerzita Mateja Bela v Banskej Bystrici</v>
          </cell>
          <cell r="E3449" t="str">
            <v>Filozofická fakulta</v>
          </cell>
          <cell r="AN3449">
            <v>1.5</v>
          </cell>
          <cell r="AO3449">
            <v>2</v>
          </cell>
          <cell r="AP3449">
            <v>0</v>
          </cell>
          <cell r="AQ3449">
            <v>0</v>
          </cell>
          <cell r="AR3449">
            <v>1.5</v>
          </cell>
          <cell r="BF3449">
            <v>1.0499999999999998</v>
          </cell>
          <cell r="BG3449">
            <v>1.5749999999999997</v>
          </cell>
          <cell r="BH3449">
            <v>1.5749999999999997</v>
          </cell>
          <cell r="BI3449">
            <v>2</v>
          </cell>
          <cell r="BJ3449">
            <v>0</v>
          </cell>
        </row>
        <row r="3450">
          <cell r="D3450" t="str">
            <v>Univerzita Mateja Bela v Banskej Bystrici</v>
          </cell>
          <cell r="E3450" t="str">
            <v>Filozofická fakulta</v>
          </cell>
          <cell r="AN3450">
            <v>0</v>
          </cell>
          <cell r="AO3450">
            <v>0</v>
          </cell>
          <cell r="AP3450">
            <v>0</v>
          </cell>
          <cell r="AQ3450">
            <v>0</v>
          </cell>
          <cell r="AR3450">
            <v>0</v>
          </cell>
          <cell r="BF3450">
            <v>0</v>
          </cell>
          <cell r="BG3450">
            <v>0</v>
          </cell>
          <cell r="BH3450">
            <v>0</v>
          </cell>
          <cell r="BI3450">
            <v>1</v>
          </cell>
          <cell r="BJ3450">
            <v>0</v>
          </cell>
        </row>
        <row r="3451">
          <cell r="D3451" t="str">
            <v>Univerzita Mateja Bela v Banskej Bystrici</v>
          </cell>
          <cell r="E3451" t="str">
            <v>Filozofická fakulta</v>
          </cell>
          <cell r="AN3451">
            <v>6</v>
          </cell>
          <cell r="AO3451">
            <v>6</v>
          </cell>
          <cell r="AP3451">
            <v>0</v>
          </cell>
          <cell r="AQ3451">
            <v>0</v>
          </cell>
          <cell r="AR3451">
            <v>6</v>
          </cell>
          <cell r="BF3451">
            <v>9</v>
          </cell>
          <cell r="BG3451">
            <v>9.36</v>
          </cell>
          <cell r="BH3451">
            <v>8.2659740259740246</v>
          </cell>
          <cell r="BI3451">
            <v>6</v>
          </cell>
          <cell r="BJ3451">
            <v>0</v>
          </cell>
        </row>
        <row r="3452">
          <cell r="D3452" t="str">
            <v>Univerzita Mateja Bela v Banskej Bystrici</v>
          </cell>
          <cell r="E3452" t="str">
            <v>Filozofická fakulta</v>
          </cell>
          <cell r="AN3452">
            <v>3</v>
          </cell>
          <cell r="AO3452">
            <v>3</v>
          </cell>
          <cell r="AP3452">
            <v>0</v>
          </cell>
          <cell r="AQ3452">
            <v>0</v>
          </cell>
          <cell r="AR3452">
            <v>3</v>
          </cell>
          <cell r="BF3452">
            <v>4.5</v>
          </cell>
          <cell r="BG3452">
            <v>5.625</v>
          </cell>
          <cell r="BH3452">
            <v>4.9675324675324672</v>
          </cell>
          <cell r="BI3452">
            <v>3</v>
          </cell>
          <cell r="BJ3452">
            <v>0</v>
          </cell>
        </row>
        <row r="3453">
          <cell r="D3453" t="str">
            <v>Univerzita Mateja Bela v Banskej Bystrici</v>
          </cell>
          <cell r="E3453" t="str">
            <v>Filozofická fakulta</v>
          </cell>
          <cell r="AN3453">
            <v>4</v>
          </cell>
          <cell r="AO3453">
            <v>4</v>
          </cell>
          <cell r="AP3453">
            <v>0</v>
          </cell>
          <cell r="AQ3453">
            <v>0</v>
          </cell>
          <cell r="AR3453">
            <v>4</v>
          </cell>
          <cell r="BF3453">
            <v>6</v>
          </cell>
          <cell r="BG3453">
            <v>9</v>
          </cell>
          <cell r="BH3453">
            <v>9</v>
          </cell>
          <cell r="BI3453">
            <v>4</v>
          </cell>
          <cell r="BJ3453">
            <v>0</v>
          </cell>
        </row>
        <row r="3454">
          <cell r="D3454" t="str">
            <v>Univerzita Mateja Bela v Banskej Bystrici</v>
          </cell>
          <cell r="E3454" t="str">
            <v>Filozofická fakulta</v>
          </cell>
          <cell r="AN3454">
            <v>12</v>
          </cell>
          <cell r="AO3454">
            <v>12</v>
          </cell>
          <cell r="AP3454">
            <v>0</v>
          </cell>
          <cell r="AQ3454">
            <v>0</v>
          </cell>
          <cell r="AR3454">
            <v>12</v>
          </cell>
          <cell r="BF3454">
            <v>18</v>
          </cell>
          <cell r="BG3454">
            <v>18</v>
          </cell>
          <cell r="BH3454">
            <v>9</v>
          </cell>
          <cell r="BI3454">
            <v>12</v>
          </cell>
          <cell r="BJ3454">
            <v>0</v>
          </cell>
        </row>
        <row r="3455">
          <cell r="D3455" t="str">
            <v>Univerzita Mateja Bela v Banskej Bystrici</v>
          </cell>
          <cell r="E3455" t="str">
            <v>Filozofická fakulta</v>
          </cell>
          <cell r="AN3455">
            <v>2</v>
          </cell>
          <cell r="AO3455">
            <v>2</v>
          </cell>
          <cell r="AP3455">
            <v>0</v>
          </cell>
          <cell r="AQ3455">
            <v>0</v>
          </cell>
          <cell r="AR3455">
            <v>2</v>
          </cell>
          <cell r="BF3455">
            <v>3</v>
          </cell>
          <cell r="BG3455">
            <v>3.75</v>
          </cell>
          <cell r="BH3455">
            <v>3.3116883116883113</v>
          </cell>
          <cell r="BI3455">
            <v>2</v>
          </cell>
          <cell r="BJ3455">
            <v>0</v>
          </cell>
        </row>
        <row r="3456">
          <cell r="D3456" t="str">
            <v>Univerzita Mateja Bela v Banskej Bystrici</v>
          </cell>
          <cell r="E3456" t="str">
            <v>Filozofická fakulta</v>
          </cell>
          <cell r="AN3456">
            <v>2</v>
          </cell>
          <cell r="AO3456">
            <v>2</v>
          </cell>
          <cell r="AP3456">
            <v>0</v>
          </cell>
          <cell r="AQ3456">
            <v>0</v>
          </cell>
          <cell r="AR3456">
            <v>2</v>
          </cell>
          <cell r="BF3456">
            <v>3</v>
          </cell>
          <cell r="BG3456">
            <v>3.75</v>
          </cell>
          <cell r="BH3456">
            <v>3.3116883116883113</v>
          </cell>
          <cell r="BI3456">
            <v>2</v>
          </cell>
          <cell r="BJ3456">
            <v>0</v>
          </cell>
        </row>
        <row r="3457">
          <cell r="D3457" t="str">
            <v>Univerzita Mateja Bela v Banskej Bystrici</v>
          </cell>
          <cell r="E3457" t="str">
            <v>Filozofická fakulta</v>
          </cell>
          <cell r="AN3457">
            <v>2</v>
          </cell>
          <cell r="AO3457">
            <v>2</v>
          </cell>
          <cell r="AP3457">
            <v>0</v>
          </cell>
          <cell r="AQ3457">
            <v>0</v>
          </cell>
          <cell r="AR3457">
            <v>2</v>
          </cell>
          <cell r="BF3457">
            <v>3</v>
          </cell>
          <cell r="BG3457">
            <v>3.75</v>
          </cell>
          <cell r="BH3457">
            <v>3.3116883116883113</v>
          </cell>
          <cell r="BI3457">
            <v>2</v>
          </cell>
          <cell r="BJ3457">
            <v>0</v>
          </cell>
        </row>
        <row r="3458">
          <cell r="D3458" t="str">
            <v>Univerzita Mateja Bela v Banskej Bystrici</v>
          </cell>
          <cell r="E3458" t="str">
            <v>Filozofická fakulta</v>
          </cell>
          <cell r="AN3458">
            <v>0</v>
          </cell>
          <cell r="AO3458">
            <v>0</v>
          </cell>
          <cell r="AP3458">
            <v>0</v>
          </cell>
          <cell r="AQ3458">
            <v>0</v>
          </cell>
          <cell r="AR3458">
            <v>0</v>
          </cell>
          <cell r="BF3458">
            <v>0</v>
          </cell>
          <cell r="BG3458">
            <v>0</v>
          </cell>
          <cell r="BH3458">
            <v>0</v>
          </cell>
          <cell r="BI3458">
            <v>1</v>
          </cell>
          <cell r="BJ3458">
            <v>0</v>
          </cell>
        </row>
        <row r="3459">
          <cell r="D3459" t="str">
            <v>Univerzita Mateja Bela v Banskej Bystrici</v>
          </cell>
          <cell r="E3459" t="str">
            <v>Filozofická fakulta</v>
          </cell>
          <cell r="AN3459">
            <v>1</v>
          </cell>
          <cell r="AO3459">
            <v>1</v>
          </cell>
          <cell r="AP3459">
            <v>0</v>
          </cell>
          <cell r="AQ3459">
            <v>0</v>
          </cell>
          <cell r="AR3459">
            <v>1</v>
          </cell>
          <cell r="BF3459">
            <v>1.5</v>
          </cell>
          <cell r="BG3459">
            <v>1.5</v>
          </cell>
          <cell r="BH3459">
            <v>1.2857142857142858</v>
          </cell>
          <cell r="BI3459">
            <v>1</v>
          </cell>
          <cell r="BJ3459">
            <v>0</v>
          </cell>
        </row>
        <row r="3460">
          <cell r="D3460" t="str">
            <v>Univerzita Mateja Bela v Banskej Bystrici</v>
          </cell>
          <cell r="E3460" t="str">
            <v>Filozofická fakulta</v>
          </cell>
          <cell r="AN3460">
            <v>3</v>
          </cell>
          <cell r="AO3460">
            <v>3</v>
          </cell>
          <cell r="AP3460">
            <v>0</v>
          </cell>
          <cell r="AQ3460">
            <v>0</v>
          </cell>
          <cell r="AR3460">
            <v>3</v>
          </cell>
          <cell r="BF3460">
            <v>2.0999999999999996</v>
          </cell>
          <cell r="BG3460">
            <v>2.6249999999999996</v>
          </cell>
          <cell r="BH3460">
            <v>2.4609374999999996</v>
          </cell>
          <cell r="BI3460">
            <v>3</v>
          </cell>
          <cell r="BJ3460">
            <v>0</v>
          </cell>
        </row>
        <row r="3461">
          <cell r="D3461" t="str">
            <v>Univerzita Mateja Bela v Banskej Bystrici</v>
          </cell>
          <cell r="E3461" t="str">
            <v>Filozofická fakulta</v>
          </cell>
          <cell r="AN3461">
            <v>1</v>
          </cell>
          <cell r="AO3461">
            <v>1</v>
          </cell>
          <cell r="AP3461">
            <v>0</v>
          </cell>
          <cell r="AQ3461">
            <v>0</v>
          </cell>
          <cell r="AR3461">
            <v>1</v>
          </cell>
          <cell r="BF3461">
            <v>0.7</v>
          </cell>
          <cell r="BG3461">
            <v>0.8889999999999999</v>
          </cell>
          <cell r="BH3461">
            <v>0.8889999999999999</v>
          </cell>
          <cell r="BI3461">
            <v>1</v>
          </cell>
          <cell r="BJ3461">
            <v>0</v>
          </cell>
        </row>
        <row r="3462">
          <cell r="D3462" t="str">
            <v>Univerzita Mateja Bela v Banskej Bystrici</v>
          </cell>
          <cell r="E3462" t="str">
            <v>Filozofická fakulta</v>
          </cell>
          <cell r="AN3462">
            <v>1</v>
          </cell>
          <cell r="AO3462">
            <v>1</v>
          </cell>
          <cell r="AP3462">
            <v>0</v>
          </cell>
          <cell r="AQ3462">
            <v>0</v>
          </cell>
          <cell r="AR3462">
            <v>1</v>
          </cell>
          <cell r="BF3462">
            <v>0.7</v>
          </cell>
          <cell r="BG3462">
            <v>0.7</v>
          </cell>
          <cell r="BH3462">
            <v>0.65625</v>
          </cell>
          <cell r="BI3462">
            <v>1</v>
          </cell>
          <cell r="BJ3462">
            <v>0</v>
          </cell>
        </row>
        <row r="3463">
          <cell r="D3463" t="str">
            <v>Univerzita Mateja Bela v Banskej Bystrici</v>
          </cell>
          <cell r="E3463" t="str">
            <v>Filozofická fakulta</v>
          </cell>
          <cell r="AN3463">
            <v>1</v>
          </cell>
          <cell r="AO3463">
            <v>1</v>
          </cell>
          <cell r="AP3463">
            <v>0</v>
          </cell>
          <cell r="AQ3463">
            <v>0</v>
          </cell>
          <cell r="AR3463">
            <v>1</v>
          </cell>
          <cell r="BF3463">
            <v>0.7</v>
          </cell>
          <cell r="BG3463">
            <v>0.7</v>
          </cell>
          <cell r="BH3463">
            <v>0.5444444444444444</v>
          </cell>
          <cell r="BI3463">
            <v>1</v>
          </cell>
          <cell r="BJ3463">
            <v>0</v>
          </cell>
        </row>
        <row r="3464">
          <cell r="D3464" t="str">
            <v>Univerzita Mateja Bela v Banskej Bystrici</v>
          </cell>
          <cell r="E3464" t="str">
            <v>Filozofická fakulta</v>
          </cell>
          <cell r="AN3464">
            <v>0</v>
          </cell>
          <cell r="AO3464">
            <v>0</v>
          </cell>
          <cell r="AP3464">
            <v>0</v>
          </cell>
          <cell r="AQ3464">
            <v>0</v>
          </cell>
          <cell r="AR3464">
            <v>0</v>
          </cell>
          <cell r="BF3464">
            <v>0</v>
          </cell>
          <cell r="BG3464">
            <v>0</v>
          </cell>
          <cell r="BH3464">
            <v>0</v>
          </cell>
          <cell r="BI3464">
            <v>1</v>
          </cell>
          <cell r="BJ3464">
            <v>0</v>
          </cell>
        </row>
        <row r="3465">
          <cell r="D3465" t="str">
            <v>Univerzita Mateja Bela v Banskej Bystrici</v>
          </cell>
          <cell r="E3465" t="str">
            <v>Právnická fakulta</v>
          </cell>
          <cell r="AN3465">
            <v>0</v>
          </cell>
          <cell r="AO3465">
            <v>0</v>
          </cell>
          <cell r="AP3465">
            <v>0</v>
          </cell>
          <cell r="AQ3465">
            <v>0</v>
          </cell>
          <cell r="AR3465">
            <v>0</v>
          </cell>
          <cell r="BF3465">
            <v>0</v>
          </cell>
          <cell r="BG3465">
            <v>0</v>
          </cell>
          <cell r="BH3465">
            <v>0</v>
          </cell>
          <cell r="BI3465">
            <v>11</v>
          </cell>
          <cell r="BJ3465">
            <v>0</v>
          </cell>
        </row>
        <row r="3466">
          <cell r="D3466" t="str">
            <v>Univerzita Mateja Bela v Banskej Bystrici</v>
          </cell>
          <cell r="E3466" t="str">
            <v>Právnická fakulta</v>
          </cell>
          <cell r="AN3466">
            <v>2</v>
          </cell>
          <cell r="AO3466">
            <v>0</v>
          </cell>
          <cell r="AP3466">
            <v>0</v>
          </cell>
          <cell r="AQ3466">
            <v>0</v>
          </cell>
          <cell r="AR3466">
            <v>2</v>
          </cell>
          <cell r="BF3466">
            <v>8</v>
          </cell>
          <cell r="BG3466">
            <v>8.8000000000000007</v>
          </cell>
          <cell r="BH3466">
            <v>8.8000000000000007</v>
          </cell>
          <cell r="BI3466">
            <v>2</v>
          </cell>
          <cell r="BJ3466">
            <v>2</v>
          </cell>
        </row>
        <row r="3467">
          <cell r="D3467" t="str">
            <v>Univerzita Pavla Jozefa Šafárika v Košiciach</v>
          </cell>
          <cell r="E3467" t="str">
            <v>Filozofická fakulta</v>
          </cell>
          <cell r="AN3467">
            <v>11</v>
          </cell>
          <cell r="AO3467">
            <v>14</v>
          </cell>
          <cell r="AP3467">
            <v>0</v>
          </cell>
          <cell r="AQ3467">
            <v>0</v>
          </cell>
          <cell r="AR3467">
            <v>11</v>
          </cell>
          <cell r="BF3467">
            <v>7.6999999999999993</v>
          </cell>
          <cell r="BG3467">
            <v>7.6999999999999993</v>
          </cell>
          <cell r="BH3467">
            <v>6.4101522842639591</v>
          </cell>
          <cell r="BI3467">
            <v>14</v>
          </cell>
          <cell r="BJ3467">
            <v>0</v>
          </cell>
        </row>
        <row r="3468">
          <cell r="D3468" t="str">
            <v>Univerzita Pavla Jozefa Šafárika v Košiciach</v>
          </cell>
          <cell r="E3468" t="str">
            <v>Filozofická fakulta</v>
          </cell>
          <cell r="AN3468">
            <v>0</v>
          </cell>
          <cell r="AO3468">
            <v>1</v>
          </cell>
          <cell r="AP3468">
            <v>0</v>
          </cell>
          <cell r="AQ3468">
            <v>0</v>
          </cell>
          <cell r="AR3468">
            <v>0</v>
          </cell>
          <cell r="BF3468">
            <v>0</v>
          </cell>
          <cell r="BG3468">
            <v>0</v>
          </cell>
          <cell r="BH3468">
            <v>0</v>
          </cell>
          <cell r="BI3468">
            <v>1</v>
          </cell>
          <cell r="BJ3468">
            <v>0</v>
          </cell>
        </row>
        <row r="3469">
          <cell r="D3469" t="str">
            <v>Univerzita Pavla Jozefa Šafárika v Košiciach</v>
          </cell>
          <cell r="E3469" t="str">
            <v>Filozofická fakulta</v>
          </cell>
          <cell r="AN3469">
            <v>1</v>
          </cell>
          <cell r="AO3469">
            <v>0</v>
          </cell>
          <cell r="AP3469">
            <v>0</v>
          </cell>
          <cell r="AQ3469">
            <v>0</v>
          </cell>
          <cell r="AR3469">
            <v>0</v>
          </cell>
          <cell r="BF3469">
            <v>0</v>
          </cell>
          <cell r="BG3469">
            <v>0</v>
          </cell>
          <cell r="BH3469">
            <v>0</v>
          </cell>
          <cell r="BI3469">
            <v>4</v>
          </cell>
          <cell r="BJ3469">
            <v>0</v>
          </cell>
        </row>
        <row r="3470">
          <cell r="D3470" t="str">
            <v>Univerzita Pavla Jozefa Šafárika v Košiciach</v>
          </cell>
          <cell r="E3470" t="str">
            <v>Filozofická fakulta</v>
          </cell>
          <cell r="AN3470">
            <v>4</v>
          </cell>
          <cell r="AO3470">
            <v>4</v>
          </cell>
          <cell r="AP3470">
            <v>0</v>
          </cell>
          <cell r="AQ3470">
            <v>0</v>
          </cell>
          <cell r="AR3470">
            <v>4</v>
          </cell>
          <cell r="BF3470">
            <v>2.8</v>
          </cell>
          <cell r="BG3470">
            <v>2.9119999999999999</v>
          </cell>
          <cell r="BH3470">
            <v>2.9119999999999999</v>
          </cell>
          <cell r="BI3470">
            <v>4</v>
          </cell>
          <cell r="BJ3470">
            <v>0</v>
          </cell>
        </row>
        <row r="3471">
          <cell r="D3471" t="str">
            <v>Univerzita Pavla Jozefa Šafárika v Košiciach</v>
          </cell>
          <cell r="E3471" t="str">
            <v>Filozofická fakulta</v>
          </cell>
          <cell r="AN3471">
            <v>4</v>
          </cell>
          <cell r="AO3471">
            <v>4</v>
          </cell>
          <cell r="AP3471">
            <v>0</v>
          </cell>
          <cell r="AQ3471">
            <v>0</v>
          </cell>
          <cell r="AR3471">
            <v>4</v>
          </cell>
          <cell r="BF3471">
            <v>2.8</v>
          </cell>
          <cell r="BG3471">
            <v>2.8559999999999999</v>
          </cell>
          <cell r="BH3471">
            <v>2.8559999999999999</v>
          </cell>
          <cell r="BI3471">
            <v>4</v>
          </cell>
          <cell r="BJ3471">
            <v>0</v>
          </cell>
        </row>
        <row r="3472">
          <cell r="D3472" t="str">
            <v>Univerzita Pavla Jozefa Šafárika v Košiciach</v>
          </cell>
          <cell r="E3472" t="str">
            <v>Filozofická fakulta</v>
          </cell>
          <cell r="AN3472">
            <v>3</v>
          </cell>
          <cell r="AO3472">
            <v>3</v>
          </cell>
          <cell r="AP3472">
            <v>0</v>
          </cell>
          <cell r="AQ3472">
            <v>0</v>
          </cell>
          <cell r="AR3472">
            <v>3</v>
          </cell>
          <cell r="BF3472">
            <v>2.0999999999999996</v>
          </cell>
          <cell r="BG3472">
            <v>2.0999999999999996</v>
          </cell>
          <cell r="BH3472">
            <v>1.8136363636363633</v>
          </cell>
          <cell r="BI3472">
            <v>3</v>
          </cell>
          <cell r="BJ3472">
            <v>0</v>
          </cell>
        </row>
        <row r="3473">
          <cell r="D3473" t="str">
            <v>Univerzita Pavla Jozefa Šafárika v Košiciach</v>
          </cell>
          <cell r="E3473" t="str">
            <v>Filozofická fakulta</v>
          </cell>
          <cell r="AN3473">
            <v>1</v>
          </cell>
          <cell r="AO3473">
            <v>1</v>
          </cell>
          <cell r="AP3473">
            <v>0</v>
          </cell>
          <cell r="AQ3473">
            <v>0</v>
          </cell>
          <cell r="AR3473">
            <v>1</v>
          </cell>
          <cell r="BF3473">
            <v>0.7</v>
          </cell>
          <cell r="BG3473">
            <v>0.71399999999999997</v>
          </cell>
          <cell r="BH3473">
            <v>0.61663636363636365</v>
          </cell>
          <cell r="BI3473">
            <v>1</v>
          </cell>
          <cell r="BJ3473">
            <v>0</v>
          </cell>
        </row>
        <row r="3474">
          <cell r="D3474" t="str">
            <v>Univerzita Pavla Jozefa Šafárika v Košiciach</v>
          </cell>
          <cell r="E3474" t="str">
            <v>Filozofická fakulta</v>
          </cell>
          <cell r="AN3474">
            <v>1</v>
          </cell>
          <cell r="AO3474">
            <v>1</v>
          </cell>
          <cell r="AP3474">
            <v>1</v>
          </cell>
          <cell r="AQ3474">
            <v>0</v>
          </cell>
          <cell r="AR3474">
            <v>1</v>
          </cell>
          <cell r="BF3474">
            <v>0.7</v>
          </cell>
          <cell r="BG3474">
            <v>0.82600000000000007</v>
          </cell>
          <cell r="BH3474">
            <v>0.78417721518987349</v>
          </cell>
          <cell r="BI3474">
            <v>1</v>
          </cell>
          <cell r="BJ3474">
            <v>0</v>
          </cell>
        </row>
        <row r="3475">
          <cell r="D3475" t="str">
            <v>Univerzita Pavla Jozefa Šafárika v Košiciach</v>
          </cell>
          <cell r="E3475" t="str">
            <v>Filozofická fakulta</v>
          </cell>
          <cell r="AN3475">
            <v>1</v>
          </cell>
          <cell r="AO3475">
            <v>1</v>
          </cell>
          <cell r="AP3475">
            <v>1</v>
          </cell>
          <cell r="AQ3475">
            <v>0</v>
          </cell>
          <cell r="AR3475">
            <v>1</v>
          </cell>
          <cell r="BF3475">
            <v>0.7</v>
          </cell>
          <cell r="BG3475">
            <v>0.86799999999999999</v>
          </cell>
          <cell r="BH3475">
            <v>0.86799999999999999</v>
          </cell>
          <cell r="BI3475">
            <v>1</v>
          </cell>
          <cell r="BJ3475">
            <v>0</v>
          </cell>
        </row>
        <row r="3476">
          <cell r="D3476" t="str">
            <v>Univerzita Konštantína Filozofa v Nitre</v>
          </cell>
          <cell r="E3476" t="str">
            <v>Fakulta prírodných vied</v>
          </cell>
          <cell r="AN3476">
            <v>0</v>
          </cell>
          <cell r="AO3476">
            <v>0</v>
          </cell>
          <cell r="AP3476">
            <v>0</v>
          </cell>
          <cell r="AQ3476">
            <v>0</v>
          </cell>
          <cell r="AR3476">
            <v>0</v>
          </cell>
          <cell r="BF3476">
            <v>0</v>
          </cell>
          <cell r="BG3476">
            <v>0</v>
          </cell>
          <cell r="BH3476">
            <v>0</v>
          </cell>
          <cell r="BI3476">
            <v>1</v>
          </cell>
          <cell r="BJ3476">
            <v>0</v>
          </cell>
        </row>
        <row r="3477">
          <cell r="D3477" t="str">
            <v>Univerzita Konštantína Filozofa v Nitre</v>
          </cell>
          <cell r="E3477" t="str">
            <v>Filozofická fakulta</v>
          </cell>
          <cell r="AN3477">
            <v>2</v>
          </cell>
          <cell r="AO3477">
            <v>2</v>
          </cell>
          <cell r="AP3477">
            <v>0</v>
          </cell>
          <cell r="AQ3477">
            <v>0</v>
          </cell>
          <cell r="AR3477">
            <v>2</v>
          </cell>
          <cell r="BF3477">
            <v>3</v>
          </cell>
          <cell r="BG3477">
            <v>3.2700000000000005</v>
          </cell>
          <cell r="BH3477">
            <v>2.7250000000000005</v>
          </cell>
          <cell r="BI3477">
            <v>2</v>
          </cell>
          <cell r="BJ3477">
            <v>0</v>
          </cell>
        </row>
        <row r="3478">
          <cell r="D3478" t="str">
            <v>Univerzita Konštantína Filozofa v Nitre</v>
          </cell>
          <cell r="E3478" t="str">
            <v>Fakulta prírodných vied</v>
          </cell>
          <cell r="AN3478">
            <v>0</v>
          </cell>
          <cell r="AO3478">
            <v>0</v>
          </cell>
          <cell r="AP3478">
            <v>0</v>
          </cell>
          <cell r="AQ3478">
            <v>0</v>
          </cell>
          <cell r="AR3478">
            <v>0</v>
          </cell>
          <cell r="BF3478">
            <v>0</v>
          </cell>
          <cell r="BG3478">
            <v>0</v>
          </cell>
          <cell r="BH3478">
            <v>0</v>
          </cell>
          <cell r="BI3478">
            <v>1</v>
          </cell>
          <cell r="BJ3478">
            <v>0</v>
          </cell>
        </row>
        <row r="3479">
          <cell r="D3479" t="str">
            <v>Univerzita Konštantína Filozofa v Nitre</v>
          </cell>
          <cell r="E3479" t="str">
            <v>Fakulta stredoeurópskych štúdií</v>
          </cell>
          <cell r="AN3479">
            <v>1</v>
          </cell>
          <cell r="AO3479">
            <v>0</v>
          </cell>
          <cell r="AP3479">
            <v>0</v>
          </cell>
          <cell r="AQ3479">
            <v>0</v>
          </cell>
          <cell r="AR3479">
            <v>0</v>
          </cell>
          <cell r="BF3479">
            <v>0</v>
          </cell>
          <cell r="BG3479">
            <v>0</v>
          </cell>
          <cell r="BH3479">
            <v>0</v>
          </cell>
          <cell r="BI3479">
            <v>2</v>
          </cell>
          <cell r="BJ3479">
            <v>0</v>
          </cell>
        </row>
        <row r="3480">
          <cell r="D3480" t="str">
            <v>Univerzita Konštantína Filozofa v Nitre</v>
          </cell>
          <cell r="E3480" t="str">
            <v>Fakulta stredoeurópskych štúdií</v>
          </cell>
          <cell r="AN3480">
            <v>1.5</v>
          </cell>
          <cell r="AO3480">
            <v>2</v>
          </cell>
          <cell r="AP3480">
            <v>0</v>
          </cell>
          <cell r="AQ3480">
            <v>0</v>
          </cell>
          <cell r="AR3480">
            <v>1.5</v>
          </cell>
          <cell r="BF3480">
            <v>2.25</v>
          </cell>
          <cell r="BG3480">
            <v>3.375</v>
          </cell>
          <cell r="BH3480">
            <v>3.0518617021276597</v>
          </cell>
          <cell r="BI3480">
            <v>2</v>
          </cell>
          <cell r="BJ3480">
            <v>0</v>
          </cell>
        </row>
        <row r="3481">
          <cell r="D3481" t="str">
            <v>Akadémia ozbrojených síl generála Milana Rastislava Štefánika</v>
          </cell>
          <cell r="E3481">
            <v>0</v>
          </cell>
          <cell r="AN3481">
            <v>1</v>
          </cell>
          <cell r="AO3481">
            <v>0</v>
          </cell>
          <cell r="AP3481">
            <v>0</v>
          </cell>
          <cell r="AQ3481">
            <v>0</v>
          </cell>
          <cell r="AR3481">
            <v>0</v>
          </cell>
          <cell r="BF3481">
            <v>0</v>
          </cell>
          <cell r="BG3481">
            <v>0</v>
          </cell>
          <cell r="BH3481">
            <v>0</v>
          </cell>
          <cell r="BI3481">
            <v>1</v>
          </cell>
          <cell r="BJ3481">
            <v>0</v>
          </cell>
        </row>
        <row r="3482">
          <cell r="D3482" t="str">
            <v>Univerzita Pavla Jozefa Šafárika v Košiciach</v>
          </cell>
          <cell r="E3482" t="str">
            <v>Fakulta verejnej správy</v>
          </cell>
          <cell r="AN3482">
            <v>4</v>
          </cell>
          <cell r="AO3482">
            <v>4</v>
          </cell>
          <cell r="AP3482">
            <v>0</v>
          </cell>
          <cell r="AQ3482">
            <v>0</v>
          </cell>
          <cell r="AR3482">
            <v>4</v>
          </cell>
          <cell r="BF3482">
            <v>2.8</v>
          </cell>
          <cell r="BG3482">
            <v>2.8</v>
          </cell>
          <cell r="BH3482">
            <v>2.3309644670050762</v>
          </cell>
          <cell r="BI3482">
            <v>4</v>
          </cell>
          <cell r="BJ3482">
            <v>0</v>
          </cell>
        </row>
        <row r="3483">
          <cell r="D3483" t="str">
            <v>Katolícka univerzita v Ružomberku</v>
          </cell>
          <cell r="E3483" t="str">
            <v>Fakulta zdravotníctva</v>
          </cell>
          <cell r="AN3483">
            <v>8</v>
          </cell>
          <cell r="AO3483">
            <v>9</v>
          </cell>
          <cell r="AP3483">
            <v>0</v>
          </cell>
          <cell r="AQ3483">
            <v>0</v>
          </cell>
          <cell r="AR3483">
            <v>8</v>
          </cell>
          <cell r="BF3483">
            <v>5.6</v>
          </cell>
          <cell r="BG3483">
            <v>8.2880000000000003</v>
          </cell>
          <cell r="BH3483">
            <v>7.3129411764705878</v>
          </cell>
          <cell r="BI3483">
            <v>9</v>
          </cell>
          <cell r="BJ3483">
            <v>0</v>
          </cell>
        </row>
        <row r="3484">
          <cell r="D3484" t="str">
            <v>Katolícka univerzita v Ružomberku</v>
          </cell>
          <cell r="E3484" t="str">
            <v>Fakulta zdravotníctva</v>
          </cell>
          <cell r="AN3484">
            <v>0</v>
          </cell>
          <cell r="AO3484">
            <v>0</v>
          </cell>
          <cell r="AP3484">
            <v>0</v>
          </cell>
          <cell r="AQ3484">
            <v>0</v>
          </cell>
          <cell r="AR3484">
            <v>0</v>
          </cell>
          <cell r="BF3484">
            <v>0</v>
          </cell>
          <cell r="BG3484">
            <v>0</v>
          </cell>
          <cell r="BH3484">
            <v>0</v>
          </cell>
          <cell r="BI3484">
            <v>3</v>
          </cell>
          <cell r="BJ3484">
            <v>0</v>
          </cell>
        </row>
        <row r="3485">
          <cell r="D3485" t="str">
            <v>Katolícka univerzita v Ružomberku</v>
          </cell>
          <cell r="E3485" t="str">
            <v>Filozofická fakulta</v>
          </cell>
          <cell r="AN3485">
            <v>0</v>
          </cell>
          <cell r="AO3485">
            <v>0</v>
          </cell>
          <cell r="AP3485">
            <v>0</v>
          </cell>
          <cell r="AQ3485">
            <v>0</v>
          </cell>
          <cell r="AR3485">
            <v>0</v>
          </cell>
          <cell r="BF3485">
            <v>0</v>
          </cell>
          <cell r="BG3485">
            <v>0</v>
          </cell>
          <cell r="BH3485">
            <v>0</v>
          </cell>
          <cell r="BI3485">
            <v>2</v>
          </cell>
          <cell r="BJ3485">
            <v>0</v>
          </cell>
        </row>
        <row r="3486">
          <cell r="D3486" t="str">
            <v>Katolícka univerzita v Ružomberku</v>
          </cell>
          <cell r="E3486" t="str">
            <v>Filozofická fakulta</v>
          </cell>
          <cell r="AN3486">
            <v>2</v>
          </cell>
          <cell r="AO3486">
            <v>2</v>
          </cell>
          <cell r="AP3486">
            <v>0</v>
          </cell>
          <cell r="AQ3486">
            <v>0</v>
          </cell>
          <cell r="AR3486">
            <v>2</v>
          </cell>
          <cell r="BF3486">
            <v>3</v>
          </cell>
          <cell r="BG3486">
            <v>3</v>
          </cell>
          <cell r="BH3486">
            <v>3</v>
          </cell>
          <cell r="BI3486">
            <v>2</v>
          </cell>
          <cell r="BJ3486">
            <v>0</v>
          </cell>
        </row>
        <row r="3487">
          <cell r="D3487" t="str">
            <v>Katolícka univerzita v Ružomberku</v>
          </cell>
          <cell r="E3487" t="str">
            <v>Filozofická fakulta</v>
          </cell>
          <cell r="AN3487">
            <v>0</v>
          </cell>
          <cell r="AO3487">
            <v>1</v>
          </cell>
          <cell r="AP3487">
            <v>0</v>
          </cell>
          <cell r="AQ3487">
            <v>0</v>
          </cell>
          <cell r="AR3487">
            <v>0</v>
          </cell>
          <cell r="BF3487">
            <v>0</v>
          </cell>
          <cell r="BG3487">
            <v>0</v>
          </cell>
          <cell r="BH3487">
            <v>0</v>
          </cell>
          <cell r="BI3487">
            <v>1</v>
          </cell>
          <cell r="BJ3487">
            <v>0</v>
          </cell>
        </row>
        <row r="3488">
          <cell r="D3488" t="str">
            <v>Katolícka univerzita v Ružomberku</v>
          </cell>
          <cell r="E3488" t="str">
            <v>Filozofická fakulta</v>
          </cell>
          <cell r="AN3488">
            <v>2</v>
          </cell>
          <cell r="AO3488">
            <v>2</v>
          </cell>
          <cell r="AP3488">
            <v>0</v>
          </cell>
          <cell r="AQ3488">
            <v>0</v>
          </cell>
          <cell r="AR3488">
            <v>2</v>
          </cell>
          <cell r="BF3488">
            <v>1.4</v>
          </cell>
          <cell r="BG3488">
            <v>1.4279999999999999</v>
          </cell>
          <cell r="BH3488">
            <v>0.95200000000000007</v>
          </cell>
          <cell r="BI3488">
            <v>2</v>
          </cell>
          <cell r="BJ3488">
            <v>0</v>
          </cell>
        </row>
        <row r="3489">
          <cell r="D3489" t="str">
            <v>Katolícka univerzita v Ružomberku</v>
          </cell>
          <cell r="E3489" t="str">
            <v>Filozofická fakulta</v>
          </cell>
          <cell r="AN3489">
            <v>2</v>
          </cell>
          <cell r="AO3489">
            <v>2</v>
          </cell>
          <cell r="AP3489">
            <v>0</v>
          </cell>
          <cell r="AQ3489">
            <v>0</v>
          </cell>
          <cell r="AR3489">
            <v>2</v>
          </cell>
          <cell r="BF3489">
            <v>1.4</v>
          </cell>
          <cell r="BG3489">
            <v>1.4</v>
          </cell>
          <cell r="BH3489">
            <v>1.4</v>
          </cell>
          <cell r="BI3489">
            <v>2</v>
          </cell>
          <cell r="BJ3489">
            <v>0</v>
          </cell>
        </row>
        <row r="3490">
          <cell r="D3490" t="str">
            <v>Vysoká škola medzinárodného podnikania ISM Slovakia v Prešove</v>
          </cell>
          <cell r="E3490">
            <v>0</v>
          </cell>
          <cell r="AN3490">
            <v>9</v>
          </cell>
          <cell r="AO3490">
            <v>9</v>
          </cell>
          <cell r="AP3490">
            <v>0</v>
          </cell>
          <cell r="AQ3490">
            <v>0</v>
          </cell>
          <cell r="AR3490">
            <v>9</v>
          </cell>
          <cell r="BF3490">
            <v>13.5</v>
          </cell>
          <cell r="BG3490">
            <v>14.040000000000001</v>
          </cell>
          <cell r="BH3490">
            <v>12.302608695652175</v>
          </cell>
          <cell r="BI3490">
            <v>9</v>
          </cell>
          <cell r="BJ3490">
            <v>0</v>
          </cell>
        </row>
        <row r="3491">
          <cell r="D3491" t="str">
            <v>Vysoká škola medzinárodného podnikania ISM Slovakia v Prešove</v>
          </cell>
          <cell r="E3491">
            <v>0</v>
          </cell>
          <cell r="AN3491">
            <v>10</v>
          </cell>
          <cell r="AO3491">
            <v>0</v>
          </cell>
          <cell r="AP3491">
            <v>0</v>
          </cell>
          <cell r="AQ3491">
            <v>0</v>
          </cell>
          <cell r="AR3491">
            <v>0</v>
          </cell>
          <cell r="BF3491">
            <v>0</v>
          </cell>
          <cell r="BG3491">
            <v>0</v>
          </cell>
          <cell r="BH3491">
            <v>0</v>
          </cell>
          <cell r="BI3491">
            <v>10</v>
          </cell>
          <cell r="BJ3491">
            <v>0</v>
          </cell>
        </row>
        <row r="3492">
          <cell r="D3492" t="str">
            <v>Technická univerzita v Košiciach</v>
          </cell>
          <cell r="E3492" t="str">
            <v>Fakulta materiálov, metalurgie a recyklácie</v>
          </cell>
          <cell r="AN3492">
            <v>1</v>
          </cell>
          <cell r="AO3492">
            <v>0</v>
          </cell>
          <cell r="AP3492">
            <v>0</v>
          </cell>
          <cell r="AQ3492">
            <v>1</v>
          </cell>
          <cell r="AR3492">
            <v>1</v>
          </cell>
          <cell r="BF3492">
            <v>3</v>
          </cell>
          <cell r="BG3492">
            <v>6.39</v>
          </cell>
          <cell r="BH3492">
            <v>6.39</v>
          </cell>
          <cell r="BI3492">
            <v>1</v>
          </cell>
          <cell r="BJ3492">
            <v>1</v>
          </cell>
        </row>
        <row r="3493">
          <cell r="D3493" t="str">
            <v>Technická univerzita v Košiciach</v>
          </cell>
          <cell r="E3493" t="str">
            <v>Fakulta materiálov, metalurgie a recyklácie</v>
          </cell>
          <cell r="AN3493">
            <v>4</v>
          </cell>
          <cell r="AO3493">
            <v>4</v>
          </cell>
          <cell r="AP3493">
            <v>4</v>
          </cell>
          <cell r="AQ3493">
            <v>4</v>
          </cell>
          <cell r="AR3493">
            <v>4</v>
          </cell>
          <cell r="BF3493">
            <v>2.8</v>
          </cell>
          <cell r="BG3493">
            <v>4.1440000000000001</v>
          </cell>
          <cell r="BH3493">
            <v>3.996</v>
          </cell>
          <cell r="BI3493">
            <v>4</v>
          </cell>
          <cell r="BJ3493">
            <v>0</v>
          </cell>
        </row>
        <row r="3494">
          <cell r="D3494" t="str">
            <v>Technická univerzita v Košiciach</v>
          </cell>
          <cell r="E3494" t="str">
            <v>Fakulta výrobných technológií so sídlom v Prešove</v>
          </cell>
          <cell r="AN3494">
            <v>0</v>
          </cell>
          <cell r="AO3494">
            <v>0</v>
          </cell>
          <cell r="AP3494">
            <v>0</v>
          </cell>
          <cell r="AQ3494">
            <v>0</v>
          </cell>
          <cell r="AR3494">
            <v>0</v>
          </cell>
          <cell r="BF3494">
            <v>0</v>
          </cell>
          <cell r="BG3494">
            <v>0</v>
          </cell>
          <cell r="BH3494">
            <v>0</v>
          </cell>
          <cell r="BI3494">
            <v>2</v>
          </cell>
          <cell r="BJ3494">
            <v>0</v>
          </cell>
        </row>
        <row r="3495">
          <cell r="D3495" t="str">
            <v>Technická univerzita v Košiciach</v>
          </cell>
          <cell r="E3495" t="str">
            <v>Fakulta výrobných technológií so sídlom v Prešove</v>
          </cell>
          <cell r="AN3495">
            <v>9</v>
          </cell>
          <cell r="AO3495">
            <v>10</v>
          </cell>
          <cell r="AP3495">
            <v>0</v>
          </cell>
          <cell r="AQ3495">
            <v>0</v>
          </cell>
          <cell r="AR3495">
            <v>9</v>
          </cell>
          <cell r="BF3495">
            <v>13.5</v>
          </cell>
          <cell r="BG3495">
            <v>19.98</v>
          </cell>
          <cell r="BH3495">
            <v>18.242608695652176</v>
          </cell>
          <cell r="BI3495">
            <v>10</v>
          </cell>
          <cell r="BJ3495">
            <v>0</v>
          </cell>
        </row>
        <row r="3496">
          <cell r="D3496" t="str">
            <v>Technická univerzita v Košiciach</v>
          </cell>
          <cell r="E3496" t="str">
            <v>Fakulta výrobných technológií so sídlom v Prešove</v>
          </cell>
          <cell r="AN3496">
            <v>16</v>
          </cell>
          <cell r="AO3496">
            <v>17</v>
          </cell>
          <cell r="AP3496">
            <v>0</v>
          </cell>
          <cell r="AQ3496">
            <v>0</v>
          </cell>
          <cell r="AR3496">
            <v>16</v>
          </cell>
          <cell r="BF3496">
            <v>24</v>
          </cell>
          <cell r="BG3496">
            <v>35.519999999999996</v>
          </cell>
          <cell r="BH3496">
            <v>32.431304347826085</v>
          </cell>
          <cell r="BI3496">
            <v>17</v>
          </cell>
          <cell r="BJ3496">
            <v>0</v>
          </cell>
        </row>
        <row r="3497">
          <cell r="D3497" t="str">
            <v>Technická univerzita v Košiciach</v>
          </cell>
          <cell r="E3497" t="str">
            <v>Fakulta výrobných technológií so sídlom v Prešove</v>
          </cell>
          <cell r="AN3497">
            <v>0</v>
          </cell>
          <cell r="AO3497">
            <v>2</v>
          </cell>
          <cell r="AP3497">
            <v>2</v>
          </cell>
          <cell r="AQ3497">
            <v>0</v>
          </cell>
          <cell r="AR3497">
            <v>0</v>
          </cell>
          <cell r="BF3497">
            <v>0</v>
          </cell>
          <cell r="BG3497">
            <v>0</v>
          </cell>
          <cell r="BH3497">
            <v>0</v>
          </cell>
          <cell r="BI3497">
            <v>2</v>
          </cell>
          <cell r="BJ3497">
            <v>0</v>
          </cell>
        </row>
        <row r="3498">
          <cell r="D3498" t="str">
            <v>Technická univerzita v Košiciach</v>
          </cell>
          <cell r="E3498" t="str">
            <v>Stavebná fakulta</v>
          </cell>
          <cell r="AN3498">
            <v>3</v>
          </cell>
          <cell r="AO3498">
            <v>3</v>
          </cell>
          <cell r="AP3498">
            <v>0</v>
          </cell>
          <cell r="AQ3498">
            <v>0</v>
          </cell>
          <cell r="AR3498">
            <v>3</v>
          </cell>
          <cell r="BF3498">
            <v>4.5</v>
          </cell>
          <cell r="BG3498">
            <v>6.66</v>
          </cell>
          <cell r="BH3498">
            <v>5.9107500000000002</v>
          </cell>
          <cell r="BI3498">
            <v>3</v>
          </cell>
          <cell r="BJ3498">
            <v>0</v>
          </cell>
        </row>
        <row r="3499">
          <cell r="D3499" t="str">
            <v>Technická univerzita v Košiciach</v>
          </cell>
          <cell r="E3499" t="str">
            <v>Fakulta baníctva, ekológie, riadenia a geotechnológií</v>
          </cell>
          <cell r="AN3499">
            <v>1</v>
          </cell>
          <cell r="AO3499">
            <v>0</v>
          </cell>
          <cell r="AP3499">
            <v>0</v>
          </cell>
          <cell r="AQ3499">
            <v>0</v>
          </cell>
          <cell r="AR3499">
            <v>0</v>
          </cell>
          <cell r="BF3499">
            <v>0</v>
          </cell>
          <cell r="BG3499">
            <v>0</v>
          </cell>
          <cell r="BH3499">
            <v>0</v>
          </cell>
          <cell r="BI3499">
            <v>15</v>
          </cell>
          <cell r="BJ3499">
            <v>0</v>
          </cell>
        </row>
        <row r="3500">
          <cell r="D3500" t="str">
            <v>Technická univerzita v Košiciach</v>
          </cell>
          <cell r="E3500" t="str">
            <v>Fakulta baníctva, ekológie, riadenia a geotechnológií</v>
          </cell>
          <cell r="AN3500">
            <v>0</v>
          </cell>
          <cell r="AO3500">
            <v>0</v>
          </cell>
          <cell r="AP3500">
            <v>0</v>
          </cell>
          <cell r="AQ3500">
            <v>0</v>
          </cell>
          <cell r="AR3500">
            <v>0</v>
          </cell>
          <cell r="BF3500">
            <v>0</v>
          </cell>
          <cell r="BG3500">
            <v>0</v>
          </cell>
          <cell r="BH3500">
            <v>0</v>
          </cell>
          <cell r="BI3500">
            <v>1</v>
          </cell>
          <cell r="BJ3500">
            <v>0</v>
          </cell>
        </row>
        <row r="3501">
          <cell r="D3501" t="str">
            <v>Technická univerzita v Košiciach</v>
          </cell>
          <cell r="E3501" t="str">
            <v>Fakulta baníctva, ekológie, riadenia a geotechnológií</v>
          </cell>
          <cell r="AN3501">
            <v>0</v>
          </cell>
          <cell r="AO3501">
            <v>0</v>
          </cell>
          <cell r="AP3501">
            <v>0</v>
          </cell>
          <cell r="AQ3501">
            <v>0</v>
          </cell>
          <cell r="AR3501">
            <v>0</v>
          </cell>
          <cell r="BF3501">
            <v>0</v>
          </cell>
          <cell r="BG3501">
            <v>0</v>
          </cell>
          <cell r="BH3501">
            <v>0</v>
          </cell>
          <cell r="BI3501">
            <v>2</v>
          </cell>
          <cell r="BJ3501">
            <v>0</v>
          </cell>
        </row>
        <row r="3502">
          <cell r="D3502" t="str">
            <v>Technická univerzita v Košiciach</v>
          </cell>
          <cell r="E3502" t="str">
            <v>Fakulta baníctva, ekológie, riadenia a geotechnológií</v>
          </cell>
          <cell r="AN3502">
            <v>0</v>
          </cell>
          <cell r="AO3502">
            <v>0</v>
          </cell>
          <cell r="AP3502">
            <v>0</v>
          </cell>
          <cell r="AQ3502">
            <v>0</v>
          </cell>
          <cell r="AR3502">
            <v>0</v>
          </cell>
          <cell r="BF3502">
            <v>0</v>
          </cell>
          <cell r="BG3502">
            <v>0</v>
          </cell>
          <cell r="BH3502">
            <v>0</v>
          </cell>
          <cell r="BI3502">
            <v>4</v>
          </cell>
          <cell r="BJ3502">
            <v>0</v>
          </cell>
        </row>
        <row r="3503">
          <cell r="D3503" t="str">
            <v>Technická univerzita v Košiciach</v>
          </cell>
          <cell r="E3503" t="str">
            <v>Fakulta baníctva, ekológie, riadenia a geotechnológií</v>
          </cell>
          <cell r="AN3503">
            <v>4</v>
          </cell>
          <cell r="AO3503">
            <v>4</v>
          </cell>
          <cell r="AP3503">
            <v>4</v>
          </cell>
          <cell r="AQ3503">
            <v>4</v>
          </cell>
          <cell r="AR3503">
            <v>4</v>
          </cell>
          <cell r="BF3503">
            <v>2.8</v>
          </cell>
          <cell r="BG3503">
            <v>4.1440000000000001</v>
          </cell>
          <cell r="BH3503">
            <v>4.1440000000000001</v>
          </cell>
          <cell r="BI3503">
            <v>4</v>
          </cell>
          <cell r="BJ3503">
            <v>0</v>
          </cell>
        </row>
        <row r="3504">
          <cell r="D3504" t="str">
            <v>Technická univerzita v Košiciach</v>
          </cell>
          <cell r="E3504" t="str">
            <v>Fakulta baníctva, ekológie, riadenia a geotechnológií</v>
          </cell>
          <cell r="AN3504">
            <v>3</v>
          </cell>
          <cell r="AO3504">
            <v>3</v>
          </cell>
          <cell r="AP3504">
            <v>0</v>
          </cell>
          <cell r="AQ3504">
            <v>0</v>
          </cell>
          <cell r="AR3504">
            <v>3</v>
          </cell>
          <cell r="BF3504">
            <v>2.0999999999999996</v>
          </cell>
          <cell r="BG3504">
            <v>3.1079999999999997</v>
          </cell>
          <cell r="BH3504">
            <v>2.8051016949152539</v>
          </cell>
          <cell r="BI3504">
            <v>3</v>
          </cell>
          <cell r="BJ3504">
            <v>0</v>
          </cell>
        </row>
        <row r="3505">
          <cell r="D3505" t="str">
            <v>Ekonomická univerzita v Bratislave</v>
          </cell>
          <cell r="E3505" t="str">
            <v>Obchodná fakulta</v>
          </cell>
          <cell r="AN3505">
            <v>0</v>
          </cell>
          <cell r="AO3505">
            <v>0</v>
          </cell>
          <cell r="AP3505">
            <v>0</v>
          </cell>
          <cell r="AQ3505">
            <v>0</v>
          </cell>
          <cell r="AR3505">
            <v>0</v>
          </cell>
          <cell r="BF3505">
            <v>0</v>
          </cell>
          <cell r="BG3505">
            <v>0</v>
          </cell>
          <cell r="BH3505">
            <v>0</v>
          </cell>
          <cell r="BI3505">
            <v>3</v>
          </cell>
          <cell r="BJ3505">
            <v>0</v>
          </cell>
        </row>
        <row r="3506">
          <cell r="D3506" t="str">
            <v>Ekonomická univerzita v Bratislave</v>
          </cell>
          <cell r="E3506" t="str">
            <v>Národohospodárska fakulta</v>
          </cell>
          <cell r="AN3506">
            <v>6</v>
          </cell>
          <cell r="AO3506">
            <v>9</v>
          </cell>
          <cell r="AP3506">
            <v>0</v>
          </cell>
          <cell r="AQ3506">
            <v>0</v>
          </cell>
          <cell r="AR3506">
            <v>6</v>
          </cell>
          <cell r="BF3506">
            <v>9</v>
          </cell>
          <cell r="BG3506">
            <v>9.36</v>
          </cell>
          <cell r="BH3506">
            <v>9.36</v>
          </cell>
          <cell r="BI3506">
            <v>9</v>
          </cell>
          <cell r="BJ3506">
            <v>0</v>
          </cell>
        </row>
        <row r="3507">
          <cell r="D3507" t="str">
            <v>Ekonomická univerzita v Bratislave</v>
          </cell>
          <cell r="E3507" t="str">
            <v>Fakulta podnikového manažmentu</v>
          </cell>
          <cell r="AN3507">
            <v>0</v>
          </cell>
          <cell r="AO3507">
            <v>8</v>
          </cell>
          <cell r="AP3507">
            <v>0</v>
          </cell>
          <cell r="AQ3507">
            <v>0</v>
          </cell>
          <cell r="AR3507">
            <v>0</v>
          </cell>
          <cell r="BF3507">
            <v>0</v>
          </cell>
          <cell r="BG3507">
            <v>0</v>
          </cell>
          <cell r="BH3507">
            <v>0</v>
          </cell>
          <cell r="BI3507">
            <v>8</v>
          </cell>
          <cell r="BJ3507">
            <v>0</v>
          </cell>
        </row>
        <row r="3508">
          <cell r="D3508" t="str">
            <v>Ekonomická univerzita v Bratislave</v>
          </cell>
          <cell r="E3508" t="str">
            <v>Národohospodárska fakulta</v>
          </cell>
          <cell r="AN3508">
            <v>9</v>
          </cell>
          <cell r="AO3508">
            <v>9</v>
          </cell>
          <cell r="AP3508">
            <v>0</v>
          </cell>
          <cell r="AQ3508">
            <v>0</v>
          </cell>
          <cell r="AR3508">
            <v>9</v>
          </cell>
          <cell r="BF3508">
            <v>13.5</v>
          </cell>
          <cell r="BG3508">
            <v>14.040000000000001</v>
          </cell>
          <cell r="BH3508">
            <v>12.681290322580645</v>
          </cell>
          <cell r="BI3508">
            <v>9</v>
          </cell>
          <cell r="BJ3508">
            <v>0</v>
          </cell>
        </row>
        <row r="3509">
          <cell r="D3509" t="str">
            <v>Ekonomická univerzita v Bratislave</v>
          </cell>
          <cell r="E3509" t="str">
            <v>Podnikovohospodárska fakulta v Košiciach</v>
          </cell>
          <cell r="AN3509">
            <v>14</v>
          </cell>
          <cell r="AO3509">
            <v>15</v>
          </cell>
          <cell r="AP3509">
            <v>0</v>
          </cell>
          <cell r="AQ3509">
            <v>0</v>
          </cell>
          <cell r="AR3509">
            <v>14</v>
          </cell>
          <cell r="BF3509">
            <v>9.7999999999999989</v>
          </cell>
          <cell r="BG3509">
            <v>10.191999999999998</v>
          </cell>
          <cell r="BH3509">
            <v>9.6099023883696777</v>
          </cell>
          <cell r="BI3509">
            <v>15</v>
          </cell>
          <cell r="BJ3509">
            <v>0</v>
          </cell>
        </row>
        <row r="3510">
          <cell r="D3510" t="str">
            <v>Ekonomická univerzita v Bratislave</v>
          </cell>
          <cell r="E3510" t="str">
            <v>Fakulta hospodárskej informatiky</v>
          </cell>
          <cell r="AN3510">
            <v>0</v>
          </cell>
          <cell r="AO3510">
            <v>0</v>
          </cell>
          <cell r="AP3510">
            <v>0</v>
          </cell>
          <cell r="AQ3510">
            <v>0</v>
          </cell>
          <cell r="AR3510">
            <v>0</v>
          </cell>
          <cell r="BF3510">
            <v>0</v>
          </cell>
          <cell r="BG3510">
            <v>0</v>
          </cell>
          <cell r="BH3510">
            <v>0</v>
          </cell>
          <cell r="BI3510">
            <v>1</v>
          </cell>
          <cell r="BJ3510">
            <v>0</v>
          </cell>
        </row>
        <row r="3511">
          <cell r="D3511" t="str">
            <v>Technická univerzita v Košiciach</v>
          </cell>
          <cell r="E3511" t="str">
            <v>Strojnícka fakulta</v>
          </cell>
          <cell r="AN3511">
            <v>9</v>
          </cell>
          <cell r="AO3511">
            <v>9</v>
          </cell>
          <cell r="AP3511">
            <v>0</v>
          </cell>
          <cell r="AQ3511">
            <v>0</v>
          </cell>
          <cell r="AR3511">
            <v>9</v>
          </cell>
          <cell r="BF3511">
            <v>13.5</v>
          </cell>
          <cell r="BG3511">
            <v>19.98</v>
          </cell>
          <cell r="BH3511">
            <v>18.242608695652176</v>
          </cell>
          <cell r="BI3511">
            <v>9</v>
          </cell>
          <cell r="BJ3511">
            <v>0</v>
          </cell>
        </row>
        <row r="3512">
          <cell r="D3512" t="str">
            <v>Technická univerzita v Košiciach</v>
          </cell>
          <cell r="E3512" t="str">
            <v>Strojnícka fakulta</v>
          </cell>
          <cell r="AN3512">
            <v>9</v>
          </cell>
          <cell r="AO3512">
            <v>9</v>
          </cell>
          <cell r="AP3512">
            <v>0</v>
          </cell>
          <cell r="AQ3512">
            <v>0</v>
          </cell>
          <cell r="AR3512">
            <v>9</v>
          </cell>
          <cell r="BF3512">
            <v>13.5</v>
          </cell>
          <cell r="BG3512">
            <v>19.98</v>
          </cell>
          <cell r="BH3512">
            <v>18.242608695652176</v>
          </cell>
          <cell r="BI3512">
            <v>9</v>
          </cell>
          <cell r="BJ3512">
            <v>0</v>
          </cell>
        </row>
        <row r="3513">
          <cell r="D3513" t="str">
            <v>Technická univerzita v Košiciach</v>
          </cell>
          <cell r="E3513" t="str">
            <v>Strojnícka fakulta</v>
          </cell>
          <cell r="AN3513">
            <v>2</v>
          </cell>
          <cell r="AO3513">
            <v>2</v>
          </cell>
          <cell r="AP3513">
            <v>2</v>
          </cell>
          <cell r="AQ3513">
            <v>2</v>
          </cell>
          <cell r="AR3513">
            <v>2</v>
          </cell>
          <cell r="BF3513">
            <v>1.4</v>
          </cell>
          <cell r="BG3513">
            <v>2.0720000000000001</v>
          </cell>
          <cell r="BH3513">
            <v>1.9755303643724695</v>
          </cell>
          <cell r="BI3513">
            <v>2</v>
          </cell>
          <cell r="BJ3513">
            <v>0</v>
          </cell>
        </row>
        <row r="3514">
          <cell r="D3514" t="str">
            <v>Technická univerzita v Košiciach</v>
          </cell>
          <cell r="E3514" t="str">
            <v>Strojnícka fakulta</v>
          </cell>
          <cell r="AN3514">
            <v>0</v>
          </cell>
          <cell r="AO3514">
            <v>13</v>
          </cell>
          <cell r="AP3514">
            <v>0</v>
          </cell>
          <cell r="AQ3514">
            <v>0</v>
          </cell>
          <cell r="AR3514">
            <v>0</v>
          </cell>
          <cell r="BF3514">
            <v>0</v>
          </cell>
          <cell r="BG3514">
            <v>0</v>
          </cell>
          <cell r="BH3514">
            <v>0</v>
          </cell>
          <cell r="BI3514">
            <v>13</v>
          </cell>
          <cell r="BJ3514">
            <v>0</v>
          </cell>
        </row>
        <row r="3515">
          <cell r="D3515" t="str">
            <v>Technická univerzita v Košiciach</v>
          </cell>
          <cell r="E3515" t="str">
            <v>Fakulta elektrotechniky a informatiky</v>
          </cell>
          <cell r="AN3515">
            <v>3</v>
          </cell>
          <cell r="AO3515">
            <v>0</v>
          </cell>
          <cell r="AP3515">
            <v>0</v>
          </cell>
          <cell r="AQ3515">
            <v>3</v>
          </cell>
          <cell r="AR3515">
            <v>3</v>
          </cell>
          <cell r="BF3515">
            <v>9</v>
          </cell>
          <cell r="BG3515">
            <v>19.169999999999998</v>
          </cell>
          <cell r="BH3515">
            <v>19.169999999999998</v>
          </cell>
          <cell r="BI3515">
            <v>3</v>
          </cell>
          <cell r="BJ3515">
            <v>3</v>
          </cell>
        </row>
        <row r="3516">
          <cell r="D3516" t="str">
            <v>Technická univerzita v Košiciach</v>
          </cell>
          <cell r="E3516" t="str">
            <v>Fakulta elektrotechniky a informatiky</v>
          </cell>
          <cell r="AN3516">
            <v>45</v>
          </cell>
          <cell r="AO3516">
            <v>45</v>
          </cell>
          <cell r="AP3516">
            <v>0</v>
          </cell>
          <cell r="AQ3516">
            <v>0</v>
          </cell>
          <cell r="AR3516">
            <v>45</v>
          </cell>
          <cell r="BF3516">
            <v>67.5</v>
          </cell>
          <cell r="BG3516">
            <v>99.9</v>
          </cell>
          <cell r="BH3516">
            <v>90.961578947368423</v>
          </cell>
          <cell r="BI3516">
            <v>45</v>
          </cell>
          <cell r="BJ3516">
            <v>0</v>
          </cell>
        </row>
        <row r="3517">
          <cell r="D3517" t="str">
            <v>Technická univerzita v Košiciach</v>
          </cell>
          <cell r="E3517" t="str">
            <v>Fakulta elektrotechniky a informatiky</v>
          </cell>
          <cell r="AN3517">
            <v>0</v>
          </cell>
          <cell r="AO3517">
            <v>2</v>
          </cell>
          <cell r="AP3517">
            <v>0</v>
          </cell>
          <cell r="AQ3517">
            <v>0</v>
          </cell>
          <cell r="AR3517">
            <v>0</v>
          </cell>
          <cell r="BF3517">
            <v>0</v>
          </cell>
          <cell r="BG3517">
            <v>0</v>
          </cell>
          <cell r="BH3517">
            <v>0</v>
          </cell>
          <cell r="BI3517">
            <v>2</v>
          </cell>
          <cell r="BJ3517">
            <v>0</v>
          </cell>
        </row>
        <row r="3518">
          <cell r="D3518" t="str">
            <v>Technická univerzita v Košiciach</v>
          </cell>
          <cell r="E3518" t="str">
            <v>Fakulta elektrotechniky a informatiky</v>
          </cell>
          <cell r="AN3518">
            <v>0</v>
          </cell>
          <cell r="AO3518">
            <v>2</v>
          </cell>
          <cell r="AP3518">
            <v>0</v>
          </cell>
          <cell r="AQ3518">
            <v>0</v>
          </cell>
          <cell r="AR3518">
            <v>0</v>
          </cell>
          <cell r="BF3518">
            <v>0</v>
          </cell>
          <cell r="BG3518">
            <v>0</v>
          </cell>
          <cell r="BH3518">
            <v>0</v>
          </cell>
          <cell r="BI3518">
            <v>2</v>
          </cell>
          <cell r="BJ3518">
            <v>0</v>
          </cell>
        </row>
        <row r="3519">
          <cell r="D3519" t="str">
            <v>Technická univerzita v Košiciach</v>
          </cell>
          <cell r="E3519" t="str">
            <v>Fakulta elektrotechniky a informatiky</v>
          </cell>
          <cell r="AN3519">
            <v>0</v>
          </cell>
          <cell r="AO3519">
            <v>1</v>
          </cell>
          <cell r="AP3519">
            <v>1</v>
          </cell>
          <cell r="AQ3519">
            <v>0</v>
          </cell>
          <cell r="AR3519">
            <v>0</v>
          </cell>
          <cell r="BF3519">
            <v>0</v>
          </cell>
          <cell r="BG3519">
            <v>0</v>
          </cell>
          <cell r="BH3519">
            <v>0</v>
          </cell>
          <cell r="BI3519">
            <v>1</v>
          </cell>
          <cell r="BJ3519">
            <v>0</v>
          </cell>
        </row>
        <row r="3520">
          <cell r="D3520" t="str">
            <v>Katolícka univerzita v Ružomberku</v>
          </cell>
          <cell r="E3520" t="str">
            <v>Pedagogická fakulta</v>
          </cell>
          <cell r="AN3520">
            <v>0</v>
          </cell>
          <cell r="AO3520">
            <v>0</v>
          </cell>
          <cell r="AP3520">
            <v>0</v>
          </cell>
          <cell r="AQ3520">
            <v>0</v>
          </cell>
          <cell r="AR3520">
            <v>0</v>
          </cell>
          <cell r="BF3520">
            <v>0</v>
          </cell>
          <cell r="BG3520">
            <v>0</v>
          </cell>
          <cell r="BH3520">
            <v>0</v>
          </cell>
          <cell r="BI3520">
            <v>15</v>
          </cell>
          <cell r="BJ3520">
            <v>0</v>
          </cell>
        </row>
        <row r="3521">
          <cell r="D3521" t="str">
            <v>Katolícka univerzita v Ružomberku</v>
          </cell>
          <cell r="E3521" t="str">
            <v>Pedagogická fakulta</v>
          </cell>
          <cell r="AN3521">
            <v>1</v>
          </cell>
          <cell r="AO3521">
            <v>1</v>
          </cell>
          <cell r="AP3521">
            <v>0</v>
          </cell>
          <cell r="AQ3521">
            <v>0</v>
          </cell>
          <cell r="AR3521">
            <v>1</v>
          </cell>
          <cell r="BF3521">
            <v>1.5</v>
          </cell>
          <cell r="BG3521">
            <v>3.2249999999999996</v>
          </cell>
          <cell r="BH3521">
            <v>2.9465827338129493</v>
          </cell>
          <cell r="BI3521">
            <v>1</v>
          </cell>
          <cell r="BJ3521">
            <v>0</v>
          </cell>
        </row>
        <row r="3522">
          <cell r="D3522" t="str">
            <v>Katolícka univerzita v Ružomberku</v>
          </cell>
          <cell r="E3522" t="str">
            <v>Pedagogická fakulta</v>
          </cell>
          <cell r="AN3522">
            <v>2</v>
          </cell>
          <cell r="AO3522">
            <v>2</v>
          </cell>
          <cell r="AP3522">
            <v>0</v>
          </cell>
          <cell r="AQ3522">
            <v>0</v>
          </cell>
          <cell r="AR3522">
            <v>2</v>
          </cell>
          <cell r="BF3522">
            <v>3</v>
          </cell>
          <cell r="BG3522">
            <v>6.4499999999999993</v>
          </cell>
          <cell r="BH3522">
            <v>5.8931654676258987</v>
          </cell>
          <cell r="BI3522">
            <v>2</v>
          </cell>
          <cell r="BJ3522">
            <v>0</v>
          </cell>
        </row>
        <row r="3523">
          <cell r="D3523" t="str">
            <v>Katolícka univerzita v Ružomberku</v>
          </cell>
          <cell r="E3523" t="str">
            <v>Pedagogická fakulta</v>
          </cell>
          <cell r="AN3523">
            <v>13</v>
          </cell>
          <cell r="AO3523">
            <v>13</v>
          </cell>
          <cell r="AP3523">
            <v>0</v>
          </cell>
          <cell r="AQ3523">
            <v>0</v>
          </cell>
          <cell r="AR3523">
            <v>13</v>
          </cell>
          <cell r="BF3523">
            <v>9.1</v>
          </cell>
          <cell r="BG3523">
            <v>10.828999999999999</v>
          </cell>
          <cell r="BH3523">
            <v>10.193868035190615</v>
          </cell>
          <cell r="BI3523">
            <v>13</v>
          </cell>
          <cell r="BJ3523">
            <v>0</v>
          </cell>
        </row>
        <row r="3524">
          <cell r="D3524" t="str">
            <v>Katolícka univerzita v Ružomberku</v>
          </cell>
          <cell r="E3524" t="str">
            <v>Pedagogická fakulta</v>
          </cell>
          <cell r="AN3524">
            <v>5.5</v>
          </cell>
          <cell r="AO3524">
            <v>5.5</v>
          </cell>
          <cell r="AP3524">
            <v>0</v>
          </cell>
          <cell r="AQ3524">
            <v>0</v>
          </cell>
          <cell r="AR3524">
            <v>5.5</v>
          </cell>
          <cell r="BF3524">
            <v>3.8499999999999996</v>
          </cell>
          <cell r="BG3524">
            <v>4.5814999999999992</v>
          </cell>
          <cell r="BH3524">
            <v>4.3127903225806445</v>
          </cell>
          <cell r="BI3524">
            <v>5.5</v>
          </cell>
          <cell r="BJ3524">
            <v>0</v>
          </cell>
        </row>
        <row r="3525">
          <cell r="D3525" t="str">
            <v>Univerzita Konštantína Filozofa v Nitre</v>
          </cell>
          <cell r="E3525" t="str">
            <v>Fakulta sociálnych vied a zdravotníctva</v>
          </cell>
          <cell r="AN3525">
            <v>0</v>
          </cell>
          <cell r="AO3525">
            <v>0</v>
          </cell>
          <cell r="AP3525">
            <v>0</v>
          </cell>
          <cell r="AQ3525">
            <v>0</v>
          </cell>
          <cell r="AR3525">
            <v>0</v>
          </cell>
          <cell r="BF3525">
            <v>0</v>
          </cell>
          <cell r="BG3525">
            <v>0</v>
          </cell>
          <cell r="BH3525">
            <v>0</v>
          </cell>
          <cell r="BI3525">
            <v>1</v>
          </cell>
          <cell r="BJ3525">
            <v>0</v>
          </cell>
        </row>
        <row r="3526">
          <cell r="D3526" t="str">
            <v>Žilinská univerzita v Žiline</v>
          </cell>
          <cell r="E3526" t="str">
            <v>Stavebná fakulta</v>
          </cell>
          <cell r="AN3526">
            <v>0</v>
          </cell>
          <cell r="AO3526">
            <v>0</v>
          </cell>
          <cell r="AP3526">
            <v>0</v>
          </cell>
          <cell r="AQ3526">
            <v>0</v>
          </cell>
          <cell r="AR3526">
            <v>0</v>
          </cell>
          <cell r="BF3526">
            <v>0</v>
          </cell>
          <cell r="BG3526">
            <v>0</v>
          </cell>
          <cell r="BH3526">
            <v>0</v>
          </cell>
          <cell r="BI3526">
            <v>2</v>
          </cell>
          <cell r="BJ3526">
            <v>0</v>
          </cell>
        </row>
        <row r="3527">
          <cell r="D3527" t="str">
            <v>Žilinská univerzita v Žiline</v>
          </cell>
          <cell r="E3527" t="str">
            <v>Fakulta riadenia a informatiky</v>
          </cell>
          <cell r="AN3527">
            <v>0</v>
          </cell>
          <cell r="AO3527">
            <v>0</v>
          </cell>
          <cell r="AP3527">
            <v>0</v>
          </cell>
          <cell r="AQ3527">
            <v>0</v>
          </cell>
          <cell r="AR3527">
            <v>0</v>
          </cell>
          <cell r="BF3527">
            <v>0</v>
          </cell>
          <cell r="BG3527">
            <v>0</v>
          </cell>
          <cell r="BH3527">
            <v>0</v>
          </cell>
          <cell r="BI3527">
            <v>1</v>
          </cell>
          <cell r="BJ3527">
            <v>0</v>
          </cell>
        </row>
        <row r="3528">
          <cell r="D3528" t="str">
            <v>Žilinská univerzita v Žiline</v>
          </cell>
          <cell r="E3528" t="str">
            <v>Strojnícka fakulta</v>
          </cell>
          <cell r="AN3528">
            <v>0</v>
          </cell>
          <cell r="AO3528">
            <v>0</v>
          </cell>
          <cell r="AP3528">
            <v>0</v>
          </cell>
          <cell r="AQ3528">
            <v>0</v>
          </cell>
          <cell r="AR3528">
            <v>0</v>
          </cell>
          <cell r="BF3528">
            <v>0</v>
          </cell>
          <cell r="BG3528">
            <v>0</v>
          </cell>
          <cell r="BH3528">
            <v>0</v>
          </cell>
          <cell r="BI3528">
            <v>1</v>
          </cell>
          <cell r="BJ3528">
            <v>0</v>
          </cell>
        </row>
        <row r="3529">
          <cell r="D3529" t="str">
            <v>Žilinská univerzita v Žiline</v>
          </cell>
          <cell r="E3529" t="str">
            <v>Fakulta humanitných vied</v>
          </cell>
          <cell r="AN3529">
            <v>26</v>
          </cell>
          <cell r="AO3529">
            <v>26</v>
          </cell>
          <cell r="AP3529">
            <v>0</v>
          </cell>
          <cell r="AQ3529">
            <v>0</v>
          </cell>
          <cell r="AR3529">
            <v>26</v>
          </cell>
          <cell r="BF3529">
            <v>18.2</v>
          </cell>
          <cell r="BG3529">
            <v>21.657999999999998</v>
          </cell>
          <cell r="BH3529">
            <v>20.518105263157892</v>
          </cell>
          <cell r="BI3529">
            <v>26</v>
          </cell>
          <cell r="BJ3529">
            <v>0</v>
          </cell>
        </row>
        <row r="3530">
          <cell r="D3530" t="str">
            <v>Žilinská univerzita v Žiline</v>
          </cell>
          <cell r="E3530" t="str">
            <v>Fakulta humanitných vied</v>
          </cell>
          <cell r="AN3530">
            <v>1</v>
          </cell>
          <cell r="AO3530">
            <v>0</v>
          </cell>
          <cell r="AP3530">
            <v>0</v>
          </cell>
          <cell r="AQ3530">
            <v>0</v>
          </cell>
          <cell r="AR3530">
            <v>0</v>
          </cell>
          <cell r="BF3530">
            <v>0</v>
          </cell>
          <cell r="BG3530">
            <v>0</v>
          </cell>
          <cell r="BH3530">
            <v>0</v>
          </cell>
          <cell r="BI3530">
            <v>8</v>
          </cell>
          <cell r="BJ3530">
            <v>0</v>
          </cell>
        </row>
        <row r="3531">
          <cell r="D3531" t="str">
            <v>Žilinská univerzita v Žiline</v>
          </cell>
          <cell r="E3531">
            <v>0</v>
          </cell>
          <cell r="AN3531">
            <v>8</v>
          </cell>
          <cell r="AO3531">
            <v>8</v>
          </cell>
          <cell r="AP3531">
            <v>0</v>
          </cell>
          <cell r="AQ3531">
            <v>0</v>
          </cell>
          <cell r="AR3531">
            <v>8</v>
          </cell>
          <cell r="BF3531">
            <v>12</v>
          </cell>
          <cell r="BG3531">
            <v>17.759999999999998</v>
          </cell>
          <cell r="BH3531">
            <v>11.84</v>
          </cell>
          <cell r="BI3531">
            <v>8</v>
          </cell>
          <cell r="BJ3531">
            <v>0</v>
          </cell>
        </row>
        <row r="3532">
          <cell r="D3532" t="str">
            <v>Žilinská univerzita v Žiline</v>
          </cell>
          <cell r="E3532" t="str">
            <v>Stavebná fakulta</v>
          </cell>
          <cell r="AN3532">
            <v>1</v>
          </cell>
          <cell r="AO3532">
            <v>0</v>
          </cell>
          <cell r="AP3532">
            <v>0</v>
          </cell>
          <cell r="AQ3532">
            <v>0</v>
          </cell>
          <cell r="AR3532">
            <v>0</v>
          </cell>
          <cell r="BF3532">
            <v>0</v>
          </cell>
          <cell r="BG3532">
            <v>0</v>
          </cell>
          <cell r="BH3532">
            <v>0</v>
          </cell>
          <cell r="BI3532">
            <v>1</v>
          </cell>
          <cell r="BJ3532">
            <v>0</v>
          </cell>
        </row>
        <row r="3533">
          <cell r="D3533" t="str">
            <v>Žilinská univerzita v Žiline</v>
          </cell>
          <cell r="E3533" t="str">
            <v>Fakulta prevádzky a ekonomiky dopravy a spojov</v>
          </cell>
          <cell r="AN3533">
            <v>0</v>
          </cell>
          <cell r="AO3533">
            <v>0</v>
          </cell>
          <cell r="AP3533">
            <v>0</v>
          </cell>
          <cell r="AQ3533">
            <v>0</v>
          </cell>
          <cell r="AR3533">
            <v>0</v>
          </cell>
          <cell r="BF3533">
            <v>0</v>
          </cell>
          <cell r="BG3533">
            <v>0</v>
          </cell>
          <cell r="BH3533">
            <v>0</v>
          </cell>
          <cell r="BI3533">
            <v>2</v>
          </cell>
          <cell r="BJ3533">
            <v>0</v>
          </cell>
        </row>
        <row r="3534">
          <cell r="D3534" t="str">
            <v>Žilinská univerzita v Žiline</v>
          </cell>
          <cell r="E3534" t="str">
            <v>Fakulta elektrotechniky a informačných technológií</v>
          </cell>
          <cell r="AN3534">
            <v>0</v>
          </cell>
          <cell r="AO3534">
            <v>0</v>
          </cell>
          <cell r="AP3534">
            <v>0</v>
          </cell>
          <cell r="AQ3534">
            <v>0</v>
          </cell>
          <cell r="AR3534">
            <v>0</v>
          </cell>
          <cell r="BF3534">
            <v>0</v>
          </cell>
          <cell r="BG3534">
            <v>0</v>
          </cell>
          <cell r="BH3534">
            <v>0</v>
          </cell>
          <cell r="BI3534">
            <v>1</v>
          </cell>
          <cell r="BJ3534">
            <v>0</v>
          </cell>
        </row>
        <row r="3535">
          <cell r="D3535" t="str">
            <v>Vysoká škola zdravotníctva a sociálnej práce sv. Alžbety v Bratislave, n. o.</v>
          </cell>
          <cell r="E3535">
            <v>0</v>
          </cell>
          <cell r="AN3535">
            <v>43</v>
          </cell>
          <cell r="AO3535">
            <v>0</v>
          </cell>
          <cell r="AP3535">
            <v>0</v>
          </cell>
          <cell r="AQ3535">
            <v>0</v>
          </cell>
          <cell r="AR3535">
            <v>0</v>
          </cell>
          <cell r="BF3535">
            <v>0</v>
          </cell>
          <cell r="BG3535">
            <v>0</v>
          </cell>
          <cell r="BH3535">
            <v>0</v>
          </cell>
          <cell r="BI3535">
            <v>43</v>
          </cell>
          <cell r="BJ3535">
            <v>0</v>
          </cell>
        </row>
        <row r="3536">
          <cell r="D3536" t="str">
            <v>Vysoká škola zdravotníctva a sociálnej práce sv. Alžbety v Bratislave, n. o.</v>
          </cell>
          <cell r="E3536">
            <v>0</v>
          </cell>
          <cell r="AN3536">
            <v>50</v>
          </cell>
          <cell r="AO3536">
            <v>50</v>
          </cell>
          <cell r="AP3536">
            <v>0</v>
          </cell>
          <cell r="AQ3536">
            <v>0</v>
          </cell>
          <cell r="AR3536">
            <v>50</v>
          </cell>
          <cell r="BF3536">
            <v>75</v>
          </cell>
          <cell r="BG3536">
            <v>75</v>
          </cell>
          <cell r="BH3536">
            <v>75</v>
          </cell>
          <cell r="BI3536">
            <v>50</v>
          </cell>
          <cell r="BJ3536">
            <v>0</v>
          </cell>
        </row>
        <row r="3537">
          <cell r="D3537" t="str">
            <v>Vysoká škola zdravotníctva a sociálnej práce sv. Alžbety v Bratislave, n. o.</v>
          </cell>
          <cell r="E3537" t="str">
            <v>Fakulta zdravotníctva a sociálnej práce sv. Ladislava</v>
          </cell>
          <cell r="AN3537">
            <v>129</v>
          </cell>
          <cell r="AO3537">
            <v>0</v>
          </cell>
          <cell r="AP3537">
            <v>0</v>
          </cell>
          <cell r="AQ3537">
            <v>0</v>
          </cell>
          <cell r="AR3537">
            <v>0</v>
          </cell>
          <cell r="BF3537">
            <v>0</v>
          </cell>
          <cell r="BG3537">
            <v>0</v>
          </cell>
          <cell r="BH3537">
            <v>0</v>
          </cell>
          <cell r="BI3537">
            <v>129</v>
          </cell>
          <cell r="BJ3537">
            <v>0</v>
          </cell>
        </row>
        <row r="3538">
          <cell r="D3538" t="str">
            <v>Univerzita Konštantína Filozofa v Nitre</v>
          </cell>
          <cell r="E3538" t="str">
            <v>Filozofická fakulta</v>
          </cell>
          <cell r="AN3538">
            <v>0</v>
          </cell>
          <cell r="AO3538">
            <v>0</v>
          </cell>
          <cell r="AP3538">
            <v>0</v>
          </cell>
          <cell r="AQ3538">
            <v>0</v>
          </cell>
          <cell r="AR3538">
            <v>0</v>
          </cell>
          <cell r="BF3538">
            <v>0</v>
          </cell>
          <cell r="BG3538">
            <v>0</v>
          </cell>
          <cell r="BH3538">
            <v>0</v>
          </cell>
          <cell r="BI3538">
            <v>1</v>
          </cell>
          <cell r="BJ3538">
            <v>0</v>
          </cell>
        </row>
        <row r="3539">
          <cell r="D3539" t="str">
            <v>Univerzita Konštantína Filozofa v Nitre</v>
          </cell>
          <cell r="E3539" t="str">
            <v>Filozofická fakulta</v>
          </cell>
          <cell r="AN3539">
            <v>1</v>
          </cell>
          <cell r="AO3539">
            <v>0</v>
          </cell>
          <cell r="AP3539">
            <v>0</v>
          </cell>
          <cell r="AQ3539">
            <v>0</v>
          </cell>
          <cell r="AR3539">
            <v>1</v>
          </cell>
          <cell r="BF3539">
            <v>4</v>
          </cell>
          <cell r="BG3539">
            <v>4.4000000000000004</v>
          </cell>
          <cell r="BH3539">
            <v>4.4000000000000004</v>
          </cell>
          <cell r="BI3539">
            <v>1</v>
          </cell>
          <cell r="BJ3539">
            <v>1</v>
          </cell>
        </row>
        <row r="3540">
          <cell r="D3540" t="str">
            <v>Univerzita Konštantína Filozofa v Nitre</v>
          </cell>
          <cell r="E3540" t="str">
            <v>Filozofická fakulta</v>
          </cell>
          <cell r="AN3540">
            <v>1</v>
          </cell>
          <cell r="AO3540">
            <v>0</v>
          </cell>
          <cell r="AP3540">
            <v>0</v>
          </cell>
          <cell r="AQ3540">
            <v>0</v>
          </cell>
          <cell r="AR3540">
            <v>1</v>
          </cell>
          <cell r="BF3540">
            <v>4</v>
          </cell>
          <cell r="BG3540">
            <v>4.4000000000000004</v>
          </cell>
          <cell r="BH3540">
            <v>4.4000000000000004</v>
          </cell>
          <cell r="BI3540">
            <v>1</v>
          </cell>
          <cell r="BJ3540">
            <v>1</v>
          </cell>
        </row>
        <row r="3541">
          <cell r="D3541" t="str">
            <v>Univerzita Konštantína Filozofa v Nitre</v>
          </cell>
          <cell r="E3541" t="str">
            <v>Filozofická fakulta</v>
          </cell>
          <cell r="AN3541">
            <v>1</v>
          </cell>
          <cell r="AO3541">
            <v>1</v>
          </cell>
          <cell r="AP3541">
            <v>0</v>
          </cell>
          <cell r="AQ3541">
            <v>0</v>
          </cell>
          <cell r="AR3541">
            <v>1</v>
          </cell>
          <cell r="BF3541">
            <v>0.7</v>
          </cell>
          <cell r="BG3541">
            <v>1.0499999999999998</v>
          </cell>
          <cell r="BH3541">
            <v>0.9876712328767121</v>
          </cell>
          <cell r="BI3541">
            <v>1</v>
          </cell>
          <cell r="BJ3541">
            <v>0</v>
          </cell>
        </row>
        <row r="3542">
          <cell r="D3542" t="str">
            <v>Univerzita Konštantína Filozofa v Nitre</v>
          </cell>
          <cell r="E3542" t="str">
            <v>Filozofická fakulta</v>
          </cell>
          <cell r="AN3542">
            <v>1</v>
          </cell>
          <cell r="AO3542">
            <v>1</v>
          </cell>
          <cell r="AP3542">
            <v>0</v>
          </cell>
          <cell r="AQ3542">
            <v>0</v>
          </cell>
          <cell r="AR3542">
            <v>1</v>
          </cell>
          <cell r="BF3542">
            <v>0.7</v>
          </cell>
          <cell r="BG3542">
            <v>0.78049999999999997</v>
          </cell>
          <cell r="BH3542">
            <v>0.71721621621621623</v>
          </cell>
          <cell r="BI3542">
            <v>1</v>
          </cell>
          <cell r="BJ3542">
            <v>0</v>
          </cell>
        </row>
        <row r="3543">
          <cell r="D3543" t="str">
            <v>Univerzita Konštantína Filozofa v Nitre</v>
          </cell>
          <cell r="E3543" t="str">
            <v>Filozofická fakulta</v>
          </cell>
          <cell r="AN3543">
            <v>1</v>
          </cell>
          <cell r="AO3543">
            <v>1</v>
          </cell>
          <cell r="AP3543">
            <v>0</v>
          </cell>
          <cell r="AQ3543">
            <v>0</v>
          </cell>
          <cell r="AR3543">
            <v>1</v>
          </cell>
          <cell r="BF3543">
            <v>0.7</v>
          </cell>
          <cell r="BG3543">
            <v>0.71399999999999997</v>
          </cell>
          <cell r="BH3543">
            <v>0.59499999999999997</v>
          </cell>
          <cell r="BI3543">
            <v>1</v>
          </cell>
          <cell r="BJ3543">
            <v>0</v>
          </cell>
        </row>
        <row r="3544">
          <cell r="D3544" t="str">
            <v>Trenčianska univerzita Alexandra Dubčeka v Trenčíne</v>
          </cell>
          <cell r="E3544" t="str">
            <v>Fakulta zdravotníctva</v>
          </cell>
          <cell r="AN3544">
            <v>3</v>
          </cell>
          <cell r="AO3544">
            <v>3</v>
          </cell>
          <cell r="AP3544">
            <v>0</v>
          </cell>
          <cell r="AQ3544">
            <v>0</v>
          </cell>
          <cell r="AR3544">
            <v>3</v>
          </cell>
          <cell r="BF3544">
            <v>4.5</v>
          </cell>
          <cell r="BG3544">
            <v>6.66</v>
          </cell>
          <cell r="BH3544">
            <v>5.6659701492537318</v>
          </cell>
          <cell r="BI3544">
            <v>3</v>
          </cell>
          <cell r="BJ3544">
            <v>0</v>
          </cell>
        </row>
        <row r="3545">
          <cell r="D3545" t="str">
            <v>Univerzita Komenského v Bratislave</v>
          </cell>
          <cell r="E3545" t="str">
            <v>Lekárska fakulta</v>
          </cell>
          <cell r="AN3545">
            <v>2</v>
          </cell>
          <cell r="AO3545">
            <v>0</v>
          </cell>
          <cell r="AP3545">
            <v>0</v>
          </cell>
          <cell r="AQ3545">
            <v>0</v>
          </cell>
          <cell r="AR3545">
            <v>2</v>
          </cell>
          <cell r="BF3545">
            <v>6</v>
          </cell>
          <cell r="BG3545">
            <v>20.46</v>
          </cell>
          <cell r="BH3545">
            <v>20.46</v>
          </cell>
          <cell r="BI3545">
            <v>2</v>
          </cell>
          <cell r="BJ3545">
            <v>2</v>
          </cell>
        </row>
        <row r="3546">
          <cell r="D3546" t="str">
            <v>Univerzita Komenského v Bratislave</v>
          </cell>
          <cell r="E3546" t="str">
            <v>Lekárska fakulta</v>
          </cell>
          <cell r="AN3546">
            <v>0</v>
          </cell>
          <cell r="AO3546">
            <v>0</v>
          </cell>
          <cell r="AP3546">
            <v>0</v>
          </cell>
          <cell r="AQ3546">
            <v>0</v>
          </cell>
          <cell r="AR3546">
            <v>0</v>
          </cell>
          <cell r="BF3546">
            <v>0</v>
          </cell>
          <cell r="BG3546">
            <v>0</v>
          </cell>
          <cell r="BH3546">
            <v>0</v>
          </cell>
          <cell r="BI3546">
            <v>1</v>
          </cell>
          <cell r="BJ3546">
            <v>0</v>
          </cell>
        </row>
        <row r="3547">
          <cell r="D3547" t="str">
            <v>Technická univerzita vo Zvolene</v>
          </cell>
          <cell r="E3547" t="str">
            <v>Fakulta techniky</v>
          </cell>
          <cell r="AN3547">
            <v>0</v>
          </cell>
          <cell r="AO3547">
            <v>0</v>
          </cell>
          <cell r="AP3547">
            <v>0</v>
          </cell>
          <cell r="AQ3547">
            <v>0</v>
          </cell>
          <cell r="AR3547">
            <v>0</v>
          </cell>
          <cell r="BF3547">
            <v>0</v>
          </cell>
          <cell r="BG3547">
            <v>0</v>
          </cell>
          <cell r="BH3547">
            <v>0</v>
          </cell>
          <cell r="BI3547">
            <v>4</v>
          </cell>
          <cell r="BJ3547">
            <v>0</v>
          </cell>
        </row>
        <row r="3548">
          <cell r="D3548" t="str">
            <v>Technická univerzita vo Zvolene</v>
          </cell>
          <cell r="E3548">
            <v>0</v>
          </cell>
          <cell r="AN3548">
            <v>0</v>
          </cell>
          <cell r="AO3548">
            <v>0</v>
          </cell>
          <cell r="AP3548">
            <v>0</v>
          </cell>
          <cell r="AQ3548">
            <v>0</v>
          </cell>
          <cell r="AR3548">
            <v>0</v>
          </cell>
          <cell r="BF3548">
            <v>0</v>
          </cell>
          <cell r="BG3548">
            <v>0</v>
          </cell>
          <cell r="BH3548">
            <v>0</v>
          </cell>
          <cell r="BI3548">
            <v>2</v>
          </cell>
          <cell r="BJ3548">
            <v>0</v>
          </cell>
        </row>
        <row r="3549">
          <cell r="D3549" t="str">
            <v>Technická univerzita vo Zvolene</v>
          </cell>
          <cell r="E3549" t="str">
            <v>Lesnícka fakulta</v>
          </cell>
          <cell r="AN3549">
            <v>7</v>
          </cell>
          <cell r="AO3549">
            <v>8</v>
          </cell>
          <cell r="AP3549">
            <v>0</v>
          </cell>
          <cell r="AQ3549">
            <v>0</v>
          </cell>
          <cell r="AR3549">
            <v>7</v>
          </cell>
          <cell r="BF3549">
            <v>10.5</v>
          </cell>
          <cell r="BG3549">
            <v>16.695</v>
          </cell>
          <cell r="BH3549">
            <v>13.610054347826088</v>
          </cell>
          <cell r="BI3549">
            <v>8</v>
          </cell>
          <cell r="BJ3549">
            <v>0</v>
          </cell>
        </row>
        <row r="3550">
          <cell r="D3550" t="str">
            <v>Technická univerzita vo Zvolene</v>
          </cell>
          <cell r="E3550">
            <v>0</v>
          </cell>
          <cell r="AN3550">
            <v>5</v>
          </cell>
          <cell r="AO3550">
            <v>0</v>
          </cell>
          <cell r="AP3550">
            <v>0</v>
          </cell>
          <cell r="AQ3550">
            <v>0</v>
          </cell>
          <cell r="AR3550">
            <v>5</v>
          </cell>
          <cell r="BF3550">
            <v>20</v>
          </cell>
          <cell r="BG3550">
            <v>22</v>
          </cell>
          <cell r="BH3550">
            <v>21.142857142857142</v>
          </cell>
          <cell r="BI3550">
            <v>5</v>
          </cell>
          <cell r="BJ3550">
            <v>5</v>
          </cell>
        </row>
        <row r="3551">
          <cell r="D3551" t="str">
            <v>Technická univerzita vo Zvolene</v>
          </cell>
          <cell r="E3551" t="str">
            <v>Lesnícka fakulta</v>
          </cell>
          <cell r="AN3551">
            <v>0</v>
          </cell>
          <cell r="AO3551">
            <v>0</v>
          </cell>
          <cell r="AP3551">
            <v>0</v>
          </cell>
          <cell r="AQ3551">
            <v>0</v>
          </cell>
          <cell r="AR3551">
            <v>0</v>
          </cell>
          <cell r="BF3551">
            <v>0</v>
          </cell>
          <cell r="BG3551">
            <v>0</v>
          </cell>
          <cell r="BH3551">
            <v>0</v>
          </cell>
          <cell r="BI3551">
            <v>1</v>
          </cell>
          <cell r="BJ3551">
            <v>0</v>
          </cell>
        </row>
        <row r="3552">
          <cell r="D3552" t="str">
            <v>Technická univerzita vo Zvolene</v>
          </cell>
          <cell r="E3552" t="str">
            <v>Fakulta techniky</v>
          </cell>
          <cell r="AN3552">
            <v>2</v>
          </cell>
          <cell r="AO3552">
            <v>2</v>
          </cell>
          <cell r="AP3552">
            <v>0</v>
          </cell>
          <cell r="AQ3552">
            <v>0</v>
          </cell>
          <cell r="AR3552">
            <v>2</v>
          </cell>
          <cell r="BF3552">
            <v>1.4</v>
          </cell>
          <cell r="BG3552">
            <v>2.0720000000000001</v>
          </cell>
          <cell r="BH3552">
            <v>1.9464242424242426</v>
          </cell>
          <cell r="BI3552">
            <v>2</v>
          </cell>
          <cell r="BJ3552">
            <v>0</v>
          </cell>
        </row>
        <row r="3553">
          <cell r="D3553" t="str">
            <v>Univerzita J. Selyeho</v>
          </cell>
          <cell r="E3553" t="str">
            <v>Pedagogická fakulta</v>
          </cell>
          <cell r="AN3553">
            <v>2</v>
          </cell>
          <cell r="AO3553">
            <v>0</v>
          </cell>
          <cell r="AP3553">
            <v>0</v>
          </cell>
          <cell r="AQ3553">
            <v>0</v>
          </cell>
          <cell r="AR3553">
            <v>2</v>
          </cell>
          <cell r="BF3553">
            <v>8</v>
          </cell>
          <cell r="BG3553">
            <v>8.8000000000000007</v>
          </cell>
          <cell r="BH3553">
            <v>8.2823529411764714</v>
          </cell>
          <cell r="BI3553">
            <v>2</v>
          </cell>
          <cell r="BJ3553">
            <v>2</v>
          </cell>
        </row>
        <row r="3554">
          <cell r="D3554" t="str">
            <v>Univerzita J. Selyeho</v>
          </cell>
          <cell r="E3554" t="str">
            <v>Pedagogická fakulta</v>
          </cell>
          <cell r="AN3554">
            <v>0</v>
          </cell>
          <cell r="AO3554">
            <v>0</v>
          </cell>
          <cell r="AP3554">
            <v>0</v>
          </cell>
          <cell r="AQ3554">
            <v>0</v>
          </cell>
          <cell r="AR3554">
            <v>0</v>
          </cell>
          <cell r="BF3554">
            <v>0</v>
          </cell>
          <cell r="BG3554">
            <v>0</v>
          </cell>
          <cell r="BH3554">
            <v>0</v>
          </cell>
          <cell r="BI3554">
            <v>1</v>
          </cell>
          <cell r="BJ3554">
            <v>0</v>
          </cell>
        </row>
        <row r="3555">
          <cell r="D3555" t="str">
            <v>Slovenská zdravotnícka univerzita v Bratislave</v>
          </cell>
          <cell r="E3555" t="str">
            <v>Fakulta zdravotníctva so sídlom v Banskej Bystrici</v>
          </cell>
          <cell r="AN3555">
            <v>52</v>
          </cell>
          <cell r="AO3555">
            <v>0</v>
          </cell>
          <cell r="AP3555">
            <v>0</v>
          </cell>
          <cell r="AQ3555">
            <v>0</v>
          </cell>
          <cell r="AR3555">
            <v>0</v>
          </cell>
          <cell r="BF3555">
            <v>0</v>
          </cell>
          <cell r="BG3555">
            <v>0</v>
          </cell>
          <cell r="BH3555">
            <v>0</v>
          </cell>
          <cell r="BI3555">
            <v>52</v>
          </cell>
          <cell r="BJ3555">
            <v>0</v>
          </cell>
        </row>
        <row r="3556">
          <cell r="D3556" t="str">
            <v>Slovenská technická univerzita v Bratislave</v>
          </cell>
          <cell r="E3556" t="str">
            <v>Fakulta chemickej a potravinárskej technológie</v>
          </cell>
          <cell r="AN3556">
            <v>0</v>
          </cell>
          <cell r="AO3556">
            <v>0</v>
          </cell>
          <cell r="AP3556">
            <v>0</v>
          </cell>
          <cell r="AQ3556">
            <v>0</v>
          </cell>
          <cell r="AR3556">
            <v>0</v>
          </cell>
          <cell r="BF3556">
            <v>0</v>
          </cell>
          <cell r="BG3556">
            <v>0</v>
          </cell>
          <cell r="BH3556">
            <v>0</v>
          </cell>
          <cell r="BI3556">
            <v>1</v>
          </cell>
          <cell r="BJ3556">
            <v>0</v>
          </cell>
        </row>
        <row r="3557">
          <cell r="D3557" t="str">
            <v>Slovenská technická univerzita v Bratislave</v>
          </cell>
          <cell r="E3557" t="str">
            <v>Fakulta informatiky a informačných technológií</v>
          </cell>
          <cell r="AN3557">
            <v>21</v>
          </cell>
          <cell r="AO3557">
            <v>21</v>
          </cell>
          <cell r="AP3557">
            <v>21</v>
          </cell>
          <cell r="AQ3557">
            <v>21</v>
          </cell>
          <cell r="AR3557">
            <v>21</v>
          </cell>
          <cell r="BF3557">
            <v>31.5</v>
          </cell>
          <cell r="BG3557">
            <v>46.62</v>
          </cell>
          <cell r="BH3557">
            <v>45.482926829268287</v>
          </cell>
          <cell r="BI3557">
            <v>21</v>
          </cell>
          <cell r="BJ3557">
            <v>0</v>
          </cell>
        </row>
        <row r="3558">
          <cell r="D3558" t="str">
            <v>Slovenská technická univerzita v Bratislave</v>
          </cell>
          <cell r="E3558" t="str">
            <v>Fakulta chemickej a potravinárskej technológie</v>
          </cell>
          <cell r="AN3558">
            <v>1</v>
          </cell>
          <cell r="AO3558">
            <v>0</v>
          </cell>
          <cell r="AP3558">
            <v>0</v>
          </cell>
          <cell r="AQ3558">
            <v>0</v>
          </cell>
          <cell r="AR3558">
            <v>1</v>
          </cell>
          <cell r="BF3558">
            <v>3</v>
          </cell>
          <cell r="BG3558">
            <v>6.39</v>
          </cell>
          <cell r="BH3558">
            <v>5.5912499999999996</v>
          </cell>
          <cell r="BI3558">
            <v>1</v>
          </cell>
          <cell r="BJ3558">
            <v>1</v>
          </cell>
        </row>
        <row r="3559">
          <cell r="D3559" t="str">
            <v>Slovenská technická univerzita v Bratislave</v>
          </cell>
          <cell r="E3559" t="str">
            <v>Fakulta chemickej a potravinárskej technológie</v>
          </cell>
          <cell r="AN3559">
            <v>49</v>
          </cell>
          <cell r="AO3559">
            <v>52</v>
          </cell>
          <cell r="AP3559">
            <v>52</v>
          </cell>
          <cell r="AQ3559">
            <v>49</v>
          </cell>
          <cell r="AR3559">
            <v>49</v>
          </cell>
          <cell r="BF3559">
            <v>34.299999999999997</v>
          </cell>
          <cell r="BG3559">
            <v>50.763999999999996</v>
          </cell>
          <cell r="BH3559">
            <v>48.565559055118108</v>
          </cell>
          <cell r="BI3559">
            <v>52</v>
          </cell>
          <cell r="BJ3559">
            <v>0</v>
          </cell>
        </row>
        <row r="3560">
          <cell r="D3560" t="str">
            <v>Slovenská technická univerzita v Bratislave</v>
          </cell>
          <cell r="E3560" t="str">
            <v>Fakulta chemickej a potravinárskej technológie</v>
          </cell>
          <cell r="AN3560">
            <v>0</v>
          </cell>
          <cell r="AO3560">
            <v>0</v>
          </cell>
          <cell r="AP3560">
            <v>0</v>
          </cell>
          <cell r="AQ3560">
            <v>0</v>
          </cell>
          <cell r="AR3560">
            <v>0</v>
          </cell>
          <cell r="BF3560">
            <v>0</v>
          </cell>
          <cell r="BG3560">
            <v>0</v>
          </cell>
          <cell r="BH3560">
            <v>0</v>
          </cell>
          <cell r="BI3560">
            <v>1</v>
          </cell>
          <cell r="BJ3560">
            <v>0</v>
          </cell>
        </row>
        <row r="3561">
          <cell r="D3561" t="str">
            <v>Slovenská technická univerzita v Bratislave</v>
          </cell>
          <cell r="E3561" t="str">
            <v>Fakulta chemickej a potravinárskej technológie</v>
          </cell>
          <cell r="AN3561">
            <v>7</v>
          </cell>
          <cell r="AO3561">
            <v>7</v>
          </cell>
          <cell r="AP3561">
            <v>0</v>
          </cell>
          <cell r="AQ3561">
            <v>0</v>
          </cell>
          <cell r="AR3561">
            <v>7</v>
          </cell>
          <cell r="BF3561">
            <v>10.5</v>
          </cell>
          <cell r="BG3561">
            <v>25.305</v>
          </cell>
          <cell r="BH3561">
            <v>21.69</v>
          </cell>
          <cell r="BI3561">
            <v>7</v>
          </cell>
          <cell r="BJ3561">
            <v>0</v>
          </cell>
        </row>
        <row r="3562">
          <cell r="D3562" t="str">
            <v>Slovenská technická univerzita v Bratislave</v>
          </cell>
          <cell r="E3562" t="str">
            <v>Strojnícka fakulta</v>
          </cell>
          <cell r="AN3562">
            <v>11</v>
          </cell>
          <cell r="AO3562">
            <v>11</v>
          </cell>
          <cell r="AP3562">
            <v>0</v>
          </cell>
          <cell r="AQ3562">
            <v>0</v>
          </cell>
          <cell r="AR3562">
            <v>11</v>
          </cell>
          <cell r="BF3562">
            <v>16.5</v>
          </cell>
          <cell r="BG3562">
            <v>24.419999999999998</v>
          </cell>
          <cell r="BH3562">
            <v>20.349999999999998</v>
          </cell>
          <cell r="BI3562">
            <v>11</v>
          </cell>
          <cell r="BJ3562">
            <v>0</v>
          </cell>
        </row>
        <row r="3563">
          <cell r="D3563" t="str">
            <v>Slovenská technická univerzita v Bratislave</v>
          </cell>
          <cell r="E3563" t="str">
            <v>Fakulta informatiky a informačných technológií</v>
          </cell>
          <cell r="AN3563">
            <v>0</v>
          </cell>
          <cell r="AO3563">
            <v>0</v>
          </cell>
          <cell r="AP3563">
            <v>0</v>
          </cell>
          <cell r="AQ3563">
            <v>0</v>
          </cell>
          <cell r="AR3563">
            <v>0</v>
          </cell>
          <cell r="BF3563">
            <v>0</v>
          </cell>
          <cell r="BG3563">
            <v>0</v>
          </cell>
          <cell r="BH3563">
            <v>0</v>
          </cell>
          <cell r="BI3563">
            <v>1</v>
          </cell>
          <cell r="BJ3563">
            <v>0</v>
          </cell>
        </row>
        <row r="3564">
          <cell r="D3564" t="str">
            <v>Slovenská technická univerzita v Bratislave</v>
          </cell>
          <cell r="E3564" t="str">
            <v>Fakulta chemickej a potravinárskej technológie</v>
          </cell>
          <cell r="AN3564">
            <v>1</v>
          </cell>
          <cell r="AO3564">
            <v>0</v>
          </cell>
          <cell r="AP3564">
            <v>0</v>
          </cell>
          <cell r="AQ3564">
            <v>0</v>
          </cell>
          <cell r="AR3564">
            <v>1</v>
          </cell>
          <cell r="BF3564">
            <v>3</v>
          </cell>
          <cell r="BG3564">
            <v>6.39</v>
          </cell>
          <cell r="BH3564">
            <v>5.5912499999999996</v>
          </cell>
          <cell r="BI3564">
            <v>1</v>
          </cell>
          <cell r="BJ3564">
            <v>1</v>
          </cell>
        </row>
        <row r="3565">
          <cell r="D3565" t="str">
            <v>Slovenská technická univerzita v Bratislave</v>
          </cell>
          <cell r="E3565" t="str">
            <v>Fakulta chemickej a potravinárskej technológie</v>
          </cell>
          <cell r="AN3565">
            <v>12</v>
          </cell>
          <cell r="AO3565">
            <v>12</v>
          </cell>
          <cell r="AP3565">
            <v>12</v>
          </cell>
          <cell r="AQ3565">
            <v>12</v>
          </cell>
          <cell r="AR3565">
            <v>12</v>
          </cell>
          <cell r="BF3565">
            <v>8.3999999999999986</v>
          </cell>
          <cell r="BG3565">
            <v>12.431999999999999</v>
          </cell>
          <cell r="BH3565">
            <v>11.893606299212596</v>
          </cell>
          <cell r="BI3565">
            <v>12</v>
          </cell>
          <cell r="BJ3565">
            <v>0</v>
          </cell>
        </row>
        <row r="3566">
          <cell r="D3566" t="str">
            <v>Slovenská technická univerzita v Bratislave</v>
          </cell>
          <cell r="E3566" t="str">
            <v>Strojnícka fakulta</v>
          </cell>
          <cell r="AN3566">
            <v>4</v>
          </cell>
          <cell r="AO3566">
            <v>4</v>
          </cell>
          <cell r="AP3566">
            <v>4</v>
          </cell>
          <cell r="AQ3566">
            <v>4</v>
          </cell>
          <cell r="AR3566">
            <v>4</v>
          </cell>
          <cell r="BF3566">
            <v>2.8</v>
          </cell>
          <cell r="BG3566">
            <v>4.1440000000000001</v>
          </cell>
          <cell r="BH3566">
            <v>3.9154163701067617</v>
          </cell>
          <cell r="BI3566">
            <v>4</v>
          </cell>
          <cell r="BJ3566">
            <v>0</v>
          </cell>
        </row>
        <row r="3567">
          <cell r="D3567" t="str">
            <v>Slovenská technická univerzita v Bratislave</v>
          </cell>
          <cell r="E3567" t="str">
            <v>Fakulta chemickej a potravinárskej technológie</v>
          </cell>
          <cell r="AN3567">
            <v>0</v>
          </cell>
          <cell r="AO3567">
            <v>3</v>
          </cell>
          <cell r="AP3567">
            <v>0</v>
          </cell>
          <cell r="AQ3567">
            <v>0</v>
          </cell>
          <cell r="AR3567">
            <v>0</v>
          </cell>
          <cell r="BF3567">
            <v>0</v>
          </cell>
          <cell r="BG3567">
            <v>0</v>
          </cell>
          <cell r="BH3567">
            <v>0</v>
          </cell>
          <cell r="BI3567">
            <v>3</v>
          </cell>
          <cell r="BJ3567">
            <v>0</v>
          </cell>
        </row>
        <row r="3568">
          <cell r="D3568" t="str">
            <v>Slovenská technická univerzita v Bratislave</v>
          </cell>
          <cell r="E3568" t="str">
            <v>Fakulta informatiky a informačných technológií</v>
          </cell>
          <cell r="AN3568">
            <v>1</v>
          </cell>
          <cell r="AO3568">
            <v>1</v>
          </cell>
          <cell r="AP3568">
            <v>1</v>
          </cell>
          <cell r="AQ3568">
            <v>1</v>
          </cell>
          <cell r="AR3568">
            <v>1</v>
          </cell>
          <cell r="BF3568">
            <v>1.5</v>
          </cell>
          <cell r="BG3568">
            <v>2.2199999999999998</v>
          </cell>
          <cell r="BH3568">
            <v>2.1658536585365851</v>
          </cell>
          <cell r="BI3568">
            <v>1</v>
          </cell>
          <cell r="BJ3568">
            <v>0</v>
          </cell>
        </row>
        <row r="3569">
          <cell r="D3569" t="str">
            <v>Slovenská technická univerzita v Bratislave</v>
          </cell>
          <cell r="E3569" t="str">
            <v>Fakulta architektúry a dizajnu</v>
          </cell>
          <cell r="AN3569">
            <v>0</v>
          </cell>
          <cell r="AO3569">
            <v>2</v>
          </cell>
          <cell r="AP3569">
            <v>0</v>
          </cell>
          <cell r="AQ3569">
            <v>0</v>
          </cell>
          <cell r="AR3569">
            <v>0</v>
          </cell>
          <cell r="BF3569">
            <v>0</v>
          </cell>
          <cell r="BG3569">
            <v>0</v>
          </cell>
          <cell r="BH3569">
            <v>0</v>
          </cell>
          <cell r="BI3569">
            <v>2</v>
          </cell>
          <cell r="BJ3569">
            <v>0</v>
          </cell>
        </row>
        <row r="3570">
          <cell r="D3570" t="str">
            <v>Slovenská technická univerzita v Bratislave</v>
          </cell>
          <cell r="E3570" t="str">
            <v>Materiálovotechnologická fakulta so sídlom v Trnave</v>
          </cell>
          <cell r="AN3570">
            <v>0</v>
          </cell>
          <cell r="AO3570">
            <v>0</v>
          </cell>
          <cell r="AP3570">
            <v>0</v>
          </cell>
          <cell r="AQ3570">
            <v>0</v>
          </cell>
          <cell r="AR3570">
            <v>0</v>
          </cell>
          <cell r="BF3570">
            <v>0</v>
          </cell>
          <cell r="BG3570">
            <v>0</v>
          </cell>
          <cell r="BH3570">
            <v>0</v>
          </cell>
          <cell r="BI3570">
            <v>1</v>
          </cell>
          <cell r="BJ3570">
            <v>0</v>
          </cell>
        </row>
        <row r="3571">
          <cell r="D3571" t="str">
            <v>Slovenská technická univerzita v Bratislave</v>
          </cell>
          <cell r="E3571" t="str">
            <v>Fakulta informatiky a informačných technológií</v>
          </cell>
          <cell r="AN3571">
            <v>1</v>
          </cell>
          <cell r="AO3571">
            <v>0</v>
          </cell>
          <cell r="AP3571">
            <v>0</v>
          </cell>
          <cell r="AQ3571">
            <v>1</v>
          </cell>
          <cell r="AR3571">
            <v>1</v>
          </cell>
          <cell r="BF3571">
            <v>4</v>
          </cell>
          <cell r="BG3571">
            <v>8.52</v>
          </cell>
          <cell r="BH3571">
            <v>8.52</v>
          </cell>
          <cell r="BI3571">
            <v>1</v>
          </cell>
          <cell r="BJ3571">
            <v>1</v>
          </cell>
        </row>
        <row r="3572">
          <cell r="D3572" t="str">
            <v>Trenčianska univerzita Alexandra Dubčeka v Trenčíne</v>
          </cell>
          <cell r="E3572" t="str">
            <v>Fakulta priemyselných technológií v Púchove</v>
          </cell>
          <cell r="AN3572">
            <v>0</v>
          </cell>
          <cell r="AO3572">
            <v>0</v>
          </cell>
          <cell r="AP3572">
            <v>0</v>
          </cell>
          <cell r="AQ3572">
            <v>0</v>
          </cell>
          <cell r="AR3572">
            <v>0</v>
          </cell>
          <cell r="BF3572">
            <v>0</v>
          </cell>
          <cell r="BG3572">
            <v>0</v>
          </cell>
          <cell r="BH3572">
            <v>0</v>
          </cell>
          <cell r="BI3572">
            <v>1</v>
          </cell>
          <cell r="BJ3572">
            <v>0</v>
          </cell>
        </row>
        <row r="3573">
          <cell r="D3573" t="str">
            <v>Univerzita Komenského v Bratislave</v>
          </cell>
          <cell r="E3573" t="str">
            <v>Evanjelická bohoslovecká fakulta</v>
          </cell>
          <cell r="AN3573">
            <v>0</v>
          </cell>
          <cell r="AO3573">
            <v>1</v>
          </cell>
          <cell r="AP3573">
            <v>0</v>
          </cell>
          <cell r="AQ3573">
            <v>0</v>
          </cell>
          <cell r="AR3573">
            <v>0</v>
          </cell>
          <cell r="BF3573">
            <v>0</v>
          </cell>
          <cell r="BG3573">
            <v>0</v>
          </cell>
          <cell r="BH3573">
            <v>0</v>
          </cell>
          <cell r="BI3573">
            <v>1</v>
          </cell>
          <cell r="BJ3573">
            <v>0</v>
          </cell>
        </row>
        <row r="3574">
          <cell r="D3574" t="str">
            <v>Univerzita Komenského v Bratislave</v>
          </cell>
          <cell r="E3574" t="str">
            <v>Pedagogická fakulta</v>
          </cell>
          <cell r="AN3574">
            <v>0</v>
          </cell>
          <cell r="AO3574">
            <v>0</v>
          </cell>
          <cell r="AP3574">
            <v>0</v>
          </cell>
          <cell r="AQ3574">
            <v>0</v>
          </cell>
          <cell r="AR3574">
            <v>0</v>
          </cell>
          <cell r="BF3574">
            <v>0</v>
          </cell>
          <cell r="BG3574">
            <v>0</v>
          </cell>
          <cell r="BH3574">
            <v>0</v>
          </cell>
          <cell r="BI3574">
            <v>11</v>
          </cell>
          <cell r="BJ3574">
            <v>0</v>
          </cell>
        </row>
        <row r="3575">
          <cell r="D3575" t="str">
            <v>Univerzita Komenského v Bratislave</v>
          </cell>
          <cell r="E3575" t="str">
            <v>Pedagogická fakulta</v>
          </cell>
          <cell r="AN3575">
            <v>8</v>
          </cell>
          <cell r="AO3575">
            <v>8</v>
          </cell>
          <cell r="AP3575">
            <v>0</v>
          </cell>
          <cell r="AQ3575">
            <v>0</v>
          </cell>
          <cell r="AR3575">
            <v>8</v>
          </cell>
          <cell r="BF3575">
            <v>12</v>
          </cell>
          <cell r="BG3575">
            <v>25.799999999999997</v>
          </cell>
          <cell r="BH3575">
            <v>24.995844155844154</v>
          </cell>
          <cell r="BI3575">
            <v>8</v>
          </cell>
          <cell r="BJ3575">
            <v>0</v>
          </cell>
        </row>
        <row r="3576">
          <cell r="D3576" t="str">
            <v>Univerzita Komenského v Bratislave</v>
          </cell>
          <cell r="E3576" t="str">
            <v>Pedagogická fakulta</v>
          </cell>
          <cell r="AN3576">
            <v>0</v>
          </cell>
          <cell r="AO3576">
            <v>0</v>
          </cell>
          <cell r="AP3576">
            <v>0</v>
          </cell>
          <cell r="AQ3576">
            <v>0</v>
          </cell>
          <cell r="AR3576">
            <v>0</v>
          </cell>
          <cell r="BF3576">
            <v>0</v>
          </cell>
          <cell r="BG3576">
            <v>0</v>
          </cell>
          <cell r="BH3576">
            <v>0</v>
          </cell>
          <cell r="BI3576">
            <v>5</v>
          </cell>
          <cell r="BJ3576">
            <v>0</v>
          </cell>
        </row>
        <row r="3577">
          <cell r="D3577" t="str">
            <v>Univerzita Komenského v Bratislave</v>
          </cell>
          <cell r="E3577" t="str">
            <v>Fakulta matematiky, fyziky a informatiky</v>
          </cell>
          <cell r="AN3577">
            <v>0</v>
          </cell>
          <cell r="AO3577">
            <v>0</v>
          </cell>
          <cell r="AP3577">
            <v>0</v>
          </cell>
          <cell r="AQ3577">
            <v>0</v>
          </cell>
          <cell r="AR3577">
            <v>0</v>
          </cell>
          <cell r="BF3577">
            <v>0</v>
          </cell>
          <cell r="BG3577">
            <v>0</v>
          </cell>
          <cell r="BH3577">
            <v>0</v>
          </cell>
          <cell r="BI3577">
            <v>1</v>
          </cell>
          <cell r="BJ3577">
            <v>0</v>
          </cell>
        </row>
        <row r="3578">
          <cell r="D3578" t="str">
            <v>Univerzita Komenského v Bratislave</v>
          </cell>
          <cell r="E3578" t="str">
            <v>Fakulta matematiky, fyziky a informatiky</v>
          </cell>
          <cell r="AN3578">
            <v>2</v>
          </cell>
          <cell r="AO3578">
            <v>0</v>
          </cell>
          <cell r="AP3578">
            <v>0</v>
          </cell>
          <cell r="AQ3578">
            <v>2</v>
          </cell>
          <cell r="AR3578">
            <v>2</v>
          </cell>
          <cell r="BF3578">
            <v>6</v>
          </cell>
          <cell r="BG3578">
            <v>12.78</v>
          </cell>
          <cell r="BH3578">
            <v>12.78</v>
          </cell>
          <cell r="BI3578">
            <v>2</v>
          </cell>
          <cell r="BJ3578">
            <v>2</v>
          </cell>
        </row>
        <row r="3579">
          <cell r="D3579" t="str">
            <v>Univerzita Komenského v Bratislave</v>
          </cell>
          <cell r="E3579" t="str">
            <v>Fakulta matematiky, fyziky a informatiky</v>
          </cell>
          <cell r="AN3579">
            <v>1</v>
          </cell>
          <cell r="AO3579">
            <v>0</v>
          </cell>
          <cell r="AP3579">
            <v>0</v>
          </cell>
          <cell r="AQ3579">
            <v>1</v>
          </cell>
          <cell r="AR3579">
            <v>1</v>
          </cell>
          <cell r="BF3579">
            <v>3</v>
          </cell>
          <cell r="BG3579">
            <v>6.39</v>
          </cell>
          <cell r="BH3579">
            <v>6.39</v>
          </cell>
          <cell r="BI3579">
            <v>1</v>
          </cell>
          <cell r="BJ3579">
            <v>1</v>
          </cell>
        </row>
        <row r="3580">
          <cell r="D3580" t="str">
            <v>Univerzita Komenského v Bratislave</v>
          </cell>
          <cell r="E3580" t="str">
            <v>Fakulta matematiky, fyziky a informatiky</v>
          </cell>
          <cell r="AN3580">
            <v>6</v>
          </cell>
          <cell r="AO3580">
            <v>7</v>
          </cell>
          <cell r="AP3580">
            <v>7</v>
          </cell>
          <cell r="AQ3580">
            <v>6</v>
          </cell>
          <cell r="AR3580">
            <v>6</v>
          </cell>
          <cell r="BF3580">
            <v>4.1999999999999993</v>
          </cell>
          <cell r="BG3580">
            <v>6.2159999999999993</v>
          </cell>
          <cell r="BH3580">
            <v>6.2159999999999993</v>
          </cell>
          <cell r="BI3580">
            <v>7</v>
          </cell>
          <cell r="BJ3580">
            <v>0</v>
          </cell>
        </row>
        <row r="3581">
          <cell r="D3581" t="str">
            <v>Univerzita Komenského v Bratislave</v>
          </cell>
          <cell r="E3581" t="str">
            <v>Fakulta matematiky, fyziky a informatiky</v>
          </cell>
          <cell r="AN3581">
            <v>0</v>
          </cell>
          <cell r="AO3581">
            <v>0</v>
          </cell>
          <cell r="AP3581">
            <v>0</v>
          </cell>
          <cell r="AQ3581">
            <v>0</v>
          </cell>
          <cell r="AR3581">
            <v>0</v>
          </cell>
          <cell r="BF3581">
            <v>0</v>
          </cell>
          <cell r="BG3581">
            <v>0</v>
          </cell>
          <cell r="BH3581">
            <v>0</v>
          </cell>
          <cell r="BI3581">
            <v>1</v>
          </cell>
          <cell r="BJ3581">
            <v>0</v>
          </cell>
        </row>
        <row r="3582">
          <cell r="D3582" t="str">
            <v>Univerzita Komenského v Bratislave</v>
          </cell>
          <cell r="E3582" t="str">
            <v>Fakulta matematiky, fyziky a informatiky</v>
          </cell>
          <cell r="AN3582">
            <v>0</v>
          </cell>
          <cell r="AO3582">
            <v>2</v>
          </cell>
          <cell r="AP3582">
            <v>2</v>
          </cell>
          <cell r="AQ3582">
            <v>0</v>
          </cell>
          <cell r="AR3582">
            <v>0</v>
          </cell>
          <cell r="BF3582">
            <v>0</v>
          </cell>
          <cell r="BG3582">
            <v>0</v>
          </cell>
          <cell r="BH3582">
            <v>0</v>
          </cell>
          <cell r="BI3582">
            <v>2</v>
          </cell>
          <cell r="BJ3582">
            <v>0</v>
          </cell>
        </row>
        <row r="3583">
          <cell r="D3583" t="str">
            <v>Slovenská zdravotnícka univerzita v Bratislave</v>
          </cell>
          <cell r="E3583" t="str">
            <v>Fakulta ošetrovateľstva a zdravotníckych odborných štúdií</v>
          </cell>
          <cell r="AN3583">
            <v>17</v>
          </cell>
          <cell r="AO3583">
            <v>0</v>
          </cell>
          <cell r="AP3583">
            <v>0</v>
          </cell>
          <cell r="AQ3583">
            <v>0</v>
          </cell>
          <cell r="AR3583">
            <v>0</v>
          </cell>
          <cell r="BF3583">
            <v>0</v>
          </cell>
          <cell r="BG3583">
            <v>0</v>
          </cell>
          <cell r="BH3583">
            <v>0</v>
          </cell>
          <cell r="BI3583">
            <v>17</v>
          </cell>
          <cell r="BJ3583">
            <v>0</v>
          </cell>
        </row>
        <row r="3584">
          <cell r="D3584" t="str">
            <v>Slovenská zdravotnícka univerzita v Bratislave</v>
          </cell>
          <cell r="E3584" t="str">
            <v>Fakulta ošetrovateľstva a zdravotníckych odborných štúdií</v>
          </cell>
          <cell r="AN3584">
            <v>12</v>
          </cell>
          <cell r="AO3584">
            <v>0</v>
          </cell>
          <cell r="AP3584">
            <v>0</v>
          </cell>
          <cell r="AQ3584">
            <v>0</v>
          </cell>
          <cell r="AR3584">
            <v>0</v>
          </cell>
          <cell r="BF3584">
            <v>0</v>
          </cell>
          <cell r="BG3584">
            <v>0</v>
          </cell>
          <cell r="BH3584">
            <v>0</v>
          </cell>
          <cell r="BI3584">
            <v>12</v>
          </cell>
          <cell r="BJ3584">
            <v>0</v>
          </cell>
        </row>
        <row r="3585">
          <cell r="D3585" t="str">
            <v>Univerzita Komenského v Bratislave</v>
          </cell>
          <cell r="E3585" t="str">
            <v>Filozofická fakulta</v>
          </cell>
          <cell r="AN3585">
            <v>0</v>
          </cell>
          <cell r="AO3585">
            <v>0</v>
          </cell>
          <cell r="AP3585">
            <v>0</v>
          </cell>
          <cell r="AQ3585">
            <v>0</v>
          </cell>
          <cell r="AR3585">
            <v>0</v>
          </cell>
          <cell r="BF3585">
            <v>0</v>
          </cell>
          <cell r="BG3585">
            <v>0</v>
          </cell>
          <cell r="BH3585">
            <v>0</v>
          </cell>
          <cell r="BI3585">
            <v>2</v>
          </cell>
          <cell r="BJ3585">
            <v>0</v>
          </cell>
        </row>
        <row r="3586">
          <cell r="D3586" t="str">
            <v>Univerzita Komenského v Bratislave</v>
          </cell>
          <cell r="E3586" t="str">
            <v>Filozofická fakulta</v>
          </cell>
          <cell r="AN3586">
            <v>3</v>
          </cell>
          <cell r="AO3586">
            <v>0</v>
          </cell>
          <cell r="AP3586">
            <v>0</v>
          </cell>
          <cell r="AQ3586">
            <v>0</v>
          </cell>
          <cell r="AR3586">
            <v>3</v>
          </cell>
          <cell r="BF3586">
            <v>9</v>
          </cell>
          <cell r="BG3586">
            <v>9.9</v>
          </cell>
          <cell r="BH3586">
            <v>9.9</v>
          </cell>
          <cell r="BI3586">
            <v>3</v>
          </cell>
          <cell r="BJ3586">
            <v>3</v>
          </cell>
        </row>
        <row r="3587">
          <cell r="D3587" t="str">
            <v>Univerzita Komenského v Bratislave</v>
          </cell>
          <cell r="E3587" t="str">
            <v>Filozofická fakulta</v>
          </cell>
          <cell r="AN3587">
            <v>1</v>
          </cell>
          <cell r="AO3587">
            <v>1</v>
          </cell>
          <cell r="AP3587">
            <v>0</v>
          </cell>
          <cell r="AQ3587">
            <v>0</v>
          </cell>
          <cell r="AR3587">
            <v>1</v>
          </cell>
          <cell r="BF3587">
            <v>1.5</v>
          </cell>
          <cell r="BG3587">
            <v>1.56</v>
          </cell>
          <cell r="BH3587">
            <v>1.4029530201342282</v>
          </cell>
          <cell r="BI3587">
            <v>1</v>
          </cell>
          <cell r="BJ3587">
            <v>0</v>
          </cell>
        </row>
        <row r="3588">
          <cell r="D3588" t="str">
            <v>Univerzita Komenského v Bratislave</v>
          </cell>
          <cell r="E3588" t="str">
            <v>Filozofická fakulta</v>
          </cell>
          <cell r="AN3588">
            <v>1</v>
          </cell>
          <cell r="AO3588">
            <v>0</v>
          </cell>
          <cell r="AP3588">
            <v>0</v>
          </cell>
          <cell r="AQ3588">
            <v>0</v>
          </cell>
          <cell r="AR3588">
            <v>1</v>
          </cell>
          <cell r="BF3588">
            <v>3</v>
          </cell>
          <cell r="BG3588">
            <v>3.3000000000000003</v>
          </cell>
          <cell r="BH3588">
            <v>3.3000000000000003</v>
          </cell>
          <cell r="BI3588">
            <v>1</v>
          </cell>
          <cell r="BJ3588">
            <v>1</v>
          </cell>
        </row>
        <row r="3589">
          <cell r="D3589" t="str">
            <v>Univerzita Komenského v Bratislave</v>
          </cell>
          <cell r="E3589" t="str">
            <v>Filozofická fakulta</v>
          </cell>
          <cell r="AN3589">
            <v>3</v>
          </cell>
          <cell r="AO3589">
            <v>3</v>
          </cell>
          <cell r="AP3589">
            <v>0</v>
          </cell>
          <cell r="AQ3589">
            <v>0</v>
          </cell>
          <cell r="AR3589">
            <v>3</v>
          </cell>
          <cell r="BF3589">
            <v>2.0999999999999996</v>
          </cell>
          <cell r="BG3589">
            <v>3.1499999999999995</v>
          </cell>
          <cell r="BH3589">
            <v>2.9889776357827471</v>
          </cell>
          <cell r="BI3589">
            <v>3</v>
          </cell>
          <cell r="BJ3589">
            <v>0</v>
          </cell>
        </row>
        <row r="3590">
          <cell r="D3590" t="str">
            <v>Univerzita Komenského v Bratislave</v>
          </cell>
          <cell r="E3590" t="str">
            <v>Filozofická fakulta</v>
          </cell>
          <cell r="AN3590">
            <v>7.5</v>
          </cell>
          <cell r="AO3590">
            <v>7.5</v>
          </cell>
          <cell r="AP3590">
            <v>0</v>
          </cell>
          <cell r="AQ3590">
            <v>0</v>
          </cell>
          <cell r="AR3590">
            <v>7.5</v>
          </cell>
          <cell r="BF3590">
            <v>5.25</v>
          </cell>
          <cell r="BG3590">
            <v>7.875</v>
          </cell>
          <cell r="BH3590">
            <v>7.875</v>
          </cell>
          <cell r="BI3590">
            <v>7.5</v>
          </cell>
          <cell r="BJ3590">
            <v>0</v>
          </cell>
        </row>
        <row r="3591">
          <cell r="D3591" t="str">
            <v>Univerzita Komenského v Bratislave</v>
          </cell>
          <cell r="E3591" t="str">
            <v>Filozofická fakulta</v>
          </cell>
          <cell r="AN3591">
            <v>1</v>
          </cell>
          <cell r="AO3591">
            <v>1</v>
          </cell>
          <cell r="AP3591">
            <v>0</v>
          </cell>
          <cell r="AQ3591">
            <v>0</v>
          </cell>
          <cell r="AR3591">
            <v>1</v>
          </cell>
          <cell r="BF3591">
            <v>0.7</v>
          </cell>
          <cell r="BG3591">
            <v>0.71399999999999997</v>
          </cell>
          <cell r="BH3591">
            <v>0.64982022471910106</v>
          </cell>
          <cell r="BI3591">
            <v>1</v>
          </cell>
          <cell r="BJ3591">
            <v>0</v>
          </cell>
        </row>
        <row r="3592">
          <cell r="D3592" t="str">
            <v>Univerzita Komenského v Bratislave</v>
          </cell>
          <cell r="E3592" t="str">
            <v>Filozofická fakulta</v>
          </cell>
          <cell r="AN3592">
            <v>3</v>
          </cell>
          <cell r="AO3592">
            <v>3</v>
          </cell>
          <cell r="AP3592">
            <v>0</v>
          </cell>
          <cell r="AQ3592">
            <v>0</v>
          </cell>
          <cell r="AR3592">
            <v>3</v>
          </cell>
          <cell r="BF3592">
            <v>2.0999999999999996</v>
          </cell>
          <cell r="BG3592">
            <v>2.0999999999999996</v>
          </cell>
          <cell r="BH3592">
            <v>1.9112359550561795</v>
          </cell>
          <cell r="BI3592">
            <v>3</v>
          </cell>
          <cell r="BJ3592">
            <v>0</v>
          </cell>
        </row>
        <row r="3593">
          <cell r="D3593" t="str">
            <v>Univerzita Komenského v Bratislave</v>
          </cell>
          <cell r="E3593" t="str">
            <v>Filozofická fakulta</v>
          </cell>
          <cell r="AN3593">
            <v>1.5</v>
          </cell>
          <cell r="AO3593">
            <v>1.5</v>
          </cell>
          <cell r="AP3593">
            <v>0</v>
          </cell>
          <cell r="AQ3593">
            <v>0</v>
          </cell>
          <cell r="AR3593">
            <v>1.5</v>
          </cell>
          <cell r="BF3593">
            <v>1.0499999999999998</v>
          </cell>
          <cell r="BG3593">
            <v>1.1444999999999999</v>
          </cell>
          <cell r="BH3593">
            <v>1.1444999999999999</v>
          </cell>
          <cell r="BI3593">
            <v>1.5</v>
          </cell>
          <cell r="BJ3593">
            <v>0</v>
          </cell>
        </row>
        <row r="3594">
          <cell r="D3594" t="str">
            <v>Univerzita Komenského v Bratislave</v>
          </cell>
          <cell r="E3594" t="str">
            <v>Filozofická fakulta</v>
          </cell>
          <cell r="AN3594">
            <v>2</v>
          </cell>
          <cell r="AO3594">
            <v>2</v>
          </cell>
          <cell r="AP3594">
            <v>0</v>
          </cell>
          <cell r="AQ3594">
            <v>0</v>
          </cell>
          <cell r="AR3594">
            <v>2</v>
          </cell>
          <cell r="BF3594">
            <v>1.4</v>
          </cell>
          <cell r="BG3594">
            <v>2.0999999999999996</v>
          </cell>
          <cell r="BH3594">
            <v>1.9926517571884981</v>
          </cell>
          <cell r="BI3594">
            <v>2</v>
          </cell>
          <cell r="BJ3594">
            <v>0</v>
          </cell>
        </row>
        <row r="3595">
          <cell r="D3595" t="str">
            <v>Univerzita Komenského v Bratislave</v>
          </cell>
          <cell r="E3595" t="str">
            <v>Filozofická fakulta</v>
          </cell>
          <cell r="AN3595">
            <v>1</v>
          </cell>
          <cell r="AO3595">
            <v>2</v>
          </cell>
          <cell r="AP3595">
            <v>0</v>
          </cell>
          <cell r="AQ3595">
            <v>0</v>
          </cell>
          <cell r="AR3595">
            <v>1</v>
          </cell>
          <cell r="BF3595">
            <v>0.7</v>
          </cell>
          <cell r="BG3595">
            <v>0.7</v>
          </cell>
          <cell r="BH3595">
            <v>0.64166666666666661</v>
          </cell>
          <cell r="BI3595">
            <v>2</v>
          </cell>
          <cell r="BJ3595">
            <v>0</v>
          </cell>
        </row>
        <row r="3596">
          <cell r="D3596" t="str">
            <v>Univerzita Komenského v Bratislave</v>
          </cell>
          <cell r="E3596" t="str">
            <v>Filozofická fakulta</v>
          </cell>
          <cell r="AN3596">
            <v>2</v>
          </cell>
          <cell r="AO3596">
            <v>2</v>
          </cell>
          <cell r="AP3596">
            <v>0</v>
          </cell>
          <cell r="AQ3596">
            <v>0</v>
          </cell>
          <cell r="AR3596">
            <v>2</v>
          </cell>
          <cell r="BF3596">
            <v>1.4</v>
          </cell>
          <cell r="BG3596">
            <v>1.4</v>
          </cell>
          <cell r="BH3596">
            <v>1.3631578947368421</v>
          </cell>
          <cell r="BI3596">
            <v>2</v>
          </cell>
          <cell r="BJ3596">
            <v>0</v>
          </cell>
        </row>
        <row r="3597">
          <cell r="D3597" t="str">
            <v>Univerzita Komenského v Bratislave</v>
          </cell>
          <cell r="E3597" t="str">
            <v>Jesseniova lekárska fakulta v Martine</v>
          </cell>
          <cell r="AN3597">
            <v>0</v>
          </cell>
          <cell r="AO3597">
            <v>0</v>
          </cell>
          <cell r="AP3597">
            <v>0</v>
          </cell>
          <cell r="AQ3597">
            <v>0</v>
          </cell>
          <cell r="AR3597">
            <v>0</v>
          </cell>
          <cell r="BF3597">
            <v>0</v>
          </cell>
          <cell r="BG3597">
            <v>0</v>
          </cell>
          <cell r="BH3597">
            <v>0</v>
          </cell>
          <cell r="BI3597">
            <v>1</v>
          </cell>
          <cell r="BJ3597">
            <v>0</v>
          </cell>
        </row>
        <row r="3598">
          <cell r="D3598" t="str">
            <v>Univerzita Komenského v Bratislave</v>
          </cell>
          <cell r="E3598" t="str">
            <v>Jesseniova lekárska fakulta v Martine</v>
          </cell>
          <cell r="AN3598">
            <v>2</v>
          </cell>
          <cell r="AO3598">
            <v>0</v>
          </cell>
          <cell r="AP3598">
            <v>0</v>
          </cell>
          <cell r="AQ3598">
            <v>0</v>
          </cell>
          <cell r="AR3598">
            <v>2</v>
          </cell>
          <cell r="BF3598">
            <v>6</v>
          </cell>
          <cell r="BG3598">
            <v>20.46</v>
          </cell>
          <cell r="BH3598">
            <v>20.46</v>
          </cell>
          <cell r="BI3598">
            <v>2</v>
          </cell>
          <cell r="BJ3598">
            <v>2</v>
          </cell>
        </row>
        <row r="3599">
          <cell r="D3599" t="str">
            <v>Univerzita Komenského v Bratislave</v>
          </cell>
          <cell r="E3599" t="str">
            <v>Jesseniova lekárska fakulta v Martine</v>
          </cell>
          <cell r="AN3599">
            <v>1</v>
          </cell>
          <cell r="AO3599">
            <v>0</v>
          </cell>
          <cell r="AP3599">
            <v>0</v>
          </cell>
          <cell r="AQ3599">
            <v>0</v>
          </cell>
          <cell r="AR3599">
            <v>1</v>
          </cell>
          <cell r="BF3599">
            <v>3</v>
          </cell>
          <cell r="BG3599">
            <v>10.23</v>
          </cell>
          <cell r="BH3599">
            <v>10.23</v>
          </cell>
          <cell r="BI3599">
            <v>1</v>
          </cell>
          <cell r="BJ3599">
            <v>1</v>
          </cell>
        </row>
        <row r="3600">
          <cell r="D3600" t="str">
            <v>Vysoká škola DTI</v>
          </cell>
          <cell r="E3600">
            <v>0</v>
          </cell>
          <cell r="AN3600">
            <v>101</v>
          </cell>
          <cell r="AO3600">
            <v>0</v>
          </cell>
          <cell r="AP3600">
            <v>0</v>
          </cell>
          <cell r="AQ3600">
            <v>0</v>
          </cell>
          <cell r="AR3600">
            <v>0</v>
          </cell>
          <cell r="BF3600">
            <v>0</v>
          </cell>
          <cell r="BG3600">
            <v>0</v>
          </cell>
          <cell r="BH3600">
            <v>0</v>
          </cell>
          <cell r="BI3600">
            <v>101</v>
          </cell>
          <cell r="BJ3600">
            <v>0</v>
          </cell>
        </row>
        <row r="3601">
          <cell r="D3601" t="str">
            <v>Univerzita Komenského v Bratislave</v>
          </cell>
          <cell r="E3601" t="str">
            <v>Prírodovedecká fakulta</v>
          </cell>
          <cell r="AN3601">
            <v>0</v>
          </cell>
          <cell r="AO3601">
            <v>0</v>
          </cell>
          <cell r="AP3601">
            <v>0</v>
          </cell>
          <cell r="AQ3601">
            <v>0</v>
          </cell>
          <cell r="AR3601">
            <v>0</v>
          </cell>
          <cell r="BF3601">
            <v>0</v>
          </cell>
          <cell r="BG3601">
            <v>0</v>
          </cell>
          <cell r="BH3601">
            <v>0</v>
          </cell>
          <cell r="BI3601">
            <v>1</v>
          </cell>
          <cell r="BJ3601">
            <v>0</v>
          </cell>
        </row>
        <row r="3602">
          <cell r="D3602" t="str">
            <v>Univerzita Komenského v Bratislave</v>
          </cell>
          <cell r="E3602" t="str">
            <v>Prírodovedecká fakulta</v>
          </cell>
          <cell r="AN3602">
            <v>0</v>
          </cell>
          <cell r="AO3602">
            <v>0</v>
          </cell>
          <cell r="AP3602">
            <v>0</v>
          </cell>
          <cell r="AQ3602">
            <v>0</v>
          </cell>
          <cell r="AR3602">
            <v>0</v>
          </cell>
          <cell r="BF3602">
            <v>0</v>
          </cell>
          <cell r="BG3602">
            <v>0</v>
          </cell>
          <cell r="BH3602">
            <v>0</v>
          </cell>
          <cell r="BI3602">
            <v>1</v>
          </cell>
          <cell r="BJ3602">
            <v>0</v>
          </cell>
        </row>
        <row r="3603">
          <cell r="D3603" t="str">
            <v>Univerzita Komenského v Bratislave</v>
          </cell>
          <cell r="E3603" t="str">
            <v>Prírodovedecká fakulta</v>
          </cell>
          <cell r="AN3603">
            <v>0</v>
          </cell>
          <cell r="AO3603">
            <v>0</v>
          </cell>
          <cell r="AP3603">
            <v>0</v>
          </cell>
          <cell r="AQ3603">
            <v>0</v>
          </cell>
          <cell r="AR3603">
            <v>0</v>
          </cell>
          <cell r="BF3603">
            <v>0</v>
          </cell>
          <cell r="BG3603">
            <v>0</v>
          </cell>
          <cell r="BH3603">
            <v>0</v>
          </cell>
          <cell r="BI3603">
            <v>1</v>
          </cell>
          <cell r="BJ3603">
            <v>0</v>
          </cell>
        </row>
        <row r="3604">
          <cell r="D3604" t="str">
            <v>Univerzita Komenského v Bratislave</v>
          </cell>
          <cell r="E3604" t="str">
            <v>Prírodovedecká fakulta</v>
          </cell>
          <cell r="AN3604">
            <v>2</v>
          </cell>
          <cell r="AO3604">
            <v>2</v>
          </cell>
          <cell r="AP3604">
            <v>0</v>
          </cell>
          <cell r="AQ3604">
            <v>0</v>
          </cell>
          <cell r="AR3604">
            <v>2</v>
          </cell>
          <cell r="BF3604">
            <v>3</v>
          </cell>
          <cell r="BG3604">
            <v>4.4399999999999995</v>
          </cell>
          <cell r="BH3604">
            <v>3.3299999999999996</v>
          </cell>
          <cell r="BI3604">
            <v>2</v>
          </cell>
          <cell r="BJ3604">
            <v>0</v>
          </cell>
        </row>
        <row r="3605">
          <cell r="D3605" t="str">
            <v>Univerzita Komenského v Bratislave</v>
          </cell>
          <cell r="E3605" t="str">
            <v>Prírodovedecká fakulta</v>
          </cell>
          <cell r="AN3605">
            <v>2</v>
          </cell>
          <cell r="AO3605">
            <v>0</v>
          </cell>
          <cell r="AP3605">
            <v>0</v>
          </cell>
          <cell r="AQ3605">
            <v>2</v>
          </cell>
          <cell r="AR3605">
            <v>2</v>
          </cell>
          <cell r="BF3605">
            <v>6</v>
          </cell>
          <cell r="BG3605">
            <v>12.78</v>
          </cell>
          <cell r="BH3605">
            <v>12.78</v>
          </cell>
          <cell r="BI3605">
            <v>2</v>
          </cell>
          <cell r="BJ3605">
            <v>2</v>
          </cell>
        </row>
        <row r="3606">
          <cell r="D3606" t="str">
            <v>Univerzita Komenského v Bratislave</v>
          </cell>
          <cell r="E3606" t="str">
            <v>Prírodovedecká fakulta</v>
          </cell>
          <cell r="AN3606">
            <v>3</v>
          </cell>
          <cell r="AO3606">
            <v>3</v>
          </cell>
          <cell r="AP3606">
            <v>3</v>
          </cell>
          <cell r="AQ3606">
            <v>3</v>
          </cell>
          <cell r="AR3606">
            <v>3</v>
          </cell>
          <cell r="BF3606">
            <v>4.5</v>
          </cell>
          <cell r="BG3606">
            <v>6.66</v>
          </cell>
          <cell r="BH3606">
            <v>6.66</v>
          </cell>
          <cell r="BI3606">
            <v>3</v>
          </cell>
          <cell r="BJ3606">
            <v>0</v>
          </cell>
        </row>
        <row r="3607">
          <cell r="D3607" t="str">
            <v>Univerzita Komenského v Bratislave</v>
          </cell>
          <cell r="E3607" t="str">
            <v>Prírodovedecká fakulta</v>
          </cell>
          <cell r="AN3607">
            <v>0</v>
          </cell>
          <cell r="AO3607">
            <v>0</v>
          </cell>
          <cell r="AP3607">
            <v>0</v>
          </cell>
          <cell r="AQ3607">
            <v>0</v>
          </cell>
          <cell r="AR3607">
            <v>0</v>
          </cell>
          <cell r="BF3607">
            <v>0</v>
          </cell>
          <cell r="BG3607">
            <v>0</v>
          </cell>
          <cell r="BH3607">
            <v>0</v>
          </cell>
          <cell r="BI3607">
            <v>1</v>
          </cell>
          <cell r="BJ3607">
            <v>0</v>
          </cell>
        </row>
        <row r="3608">
          <cell r="D3608" t="str">
            <v>Univerzita Komenského v Bratislave</v>
          </cell>
          <cell r="E3608" t="str">
            <v>Fakulta managementu</v>
          </cell>
          <cell r="AN3608">
            <v>51</v>
          </cell>
          <cell r="AO3608">
            <v>52</v>
          </cell>
          <cell r="AP3608">
            <v>0</v>
          </cell>
          <cell r="AQ3608">
            <v>0</v>
          </cell>
          <cell r="AR3608">
            <v>51</v>
          </cell>
          <cell r="BF3608">
            <v>76.5</v>
          </cell>
          <cell r="BG3608">
            <v>79.56</v>
          </cell>
          <cell r="BH3608">
            <v>72.987652173913048</v>
          </cell>
          <cell r="BI3608">
            <v>52</v>
          </cell>
          <cell r="BJ3608">
            <v>0</v>
          </cell>
        </row>
        <row r="3609">
          <cell r="D3609" t="str">
            <v>Univerzita Komenského v Bratislave</v>
          </cell>
          <cell r="E3609" t="str">
            <v>Fakulta managementu</v>
          </cell>
          <cell r="AN3609">
            <v>3</v>
          </cell>
          <cell r="AO3609">
            <v>3</v>
          </cell>
          <cell r="AP3609">
            <v>0</v>
          </cell>
          <cell r="AQ3609">
            <v>0</v>
          </cell>
          <cell r="AR3609">
            <v>3</v>
          </cell>
          <cell r="BF3609">
            <v>4.5</v>
          </cell>
          <cell r="BG3609">
            <v>4.68</v>
          </cell>
          <cell r="BH3609">
            <v>4.2933913043478258</v>
          </cell>
          <cell r="BI3609">
            <v>3</v>
          </cell>
          <cell r="BJ3609">
            <v>0</v>
          </cell>
        </row>
        <row r="3610">
          <cell r="D3610" t="str">
            <v>Univerzita Komenského v Bratislave</v>
          </cell>
          <cell r="E3610" t="str">
            <v>Právnická fakulta</v>
          </cell>
          <cell r="AN3610">
            <v>0</v>
          </cell>
          <cell r="AO3610">
            <v>0</v>
          </cell>
          <cell r="AP3610">
            <v>0</v>
          </cell>
          <cell r="AQ3610">
            <v>0</v>
          </cell>
          <cell r="AR3610">
            <v>0</v>
          </cell>
          <cell r="BF3610">
            <v>0</v>
          </cell>
          <cell r="BG3610">
            <v>0</v>
          </cell>
          <cell r="BH3610">
            <v>0</v>
          </cell>
          <cell r="BI3610">
            <v>1</v>
          </cell>
          <cell r="BJ3610">
            <v>0</v>
          </cell>
        </row>
        <row r="3611">
          <cell r="D3611" t="str">
            <v>Vysoká škola múzických umení v Bratislave</v>
          </cell>
          <cell r="E3611" t="str">
            <v>Filmová a televízna fakulta</v>
          </cell>
          <cell r="AN3611">
            <v>0</v>
          </cell>
          <cell r="AO3611">
            <v>0</v>
          </cell>
          <cell r="AP3611">
            <v>0</v>
          </cell>
          <cell r="AQ3611">
            <v>0</v>
          </cell>
          <cell r="AR3611">
            <v>0</v>
          </cell>
          <cell r="BF3611">
            <v>0</v>
          </cell>
          <cell r="BG3611">
            <v>0</v>
          </cell>
          <cell r="BH3611">
            <v>0</v>
          </cell>
          <cell r="BI3611">
            <v>1</v>
          </cell>
          <cell r="BJ3611">
            <v>0</v>
          </cell>
        </row>
        <row r="3612">
          <cell r="D3612" t="str">
            <v>Vysoká škola múzických umení v Bratislave</v>
          </cell>
          <cell r="E3612" t="str">
            <v>Hudobná a tanečná fakulta</v>
          </cell>
          <cell r="AN3612">
            <v>0</v>
          </cell>
          <cell r="AO3612">
            <v>0</v>
          </cell>
          <cell r="AP3612">
            <v>0</v>
          </cell>
          <cell r="AQ3612">
            <v>0</v>
          </cell>
          <cell r="AR3612">
            <v>0</v>
          </cell>
          <cell r="BF3612">
            <v>0</v>
          </cell>
          <cell r="BG3612">
            <v>0</v>
          </cell>
          <cell r="BH3612">
            <v>0</v>
          </cell>
          <cell r="BI3612">
            <v>1</v>
          </cell>
          <cell r="BJ3612">
            <v>0</v>
          </cell>
        </row>
        <row r="3613">
          <cell r="D3613" t="str">
            <v>Slovenská poľnohospodárska univerzita v Nitre</v>
          </cell>
          <cell r="E3613" t="str">
            <v>Fakulta agrobiológie a potravinových zdrojov</v>
          </cell>
          <cell r="AN3613">
            <v>0</v>
          </cell>
          <cell r="AO3613">
            <v>0</v>
          </cell>
          <cell r="AP3613">
            <v>0</v>
          </cell>
          <cell r="AQ3613">
            <v>0</v>
          </cell>
          <cell r="AR3613">
            <v>0</v>
          </cell>
          <cell r="BF3613">
            <v>0</v>
          </cell>
          <cell r="BG3613">
            <v>0</v>
          </cell>
          <cell r="BH3613">
            <v>0</v>
          </cell>
          <cell r="BI3613">
            <v>1</v>
          </cell>
          <cell r="BJ3613">
            <v>0</v>
          </cell>
        </row>
        <row r="3614">
          <cell r="D3614" t="str">
            <v>Slovenská poľnohospodárska univerzita v Nitre</v>
          </cell>
          <cell r="E3614" t="str">
            <v>Fakulta biotechnológie a potravinárstva</v>
          </cell>
          <cell r="AN3614">
            <v>0</v>
          </cell>
          <cell r="AO3614">
            <v>0</v>
          </cell>
          <cell r="AP3614">
            <v>0</v>
          </cell>
          <cell r="AQ3614">
            <v>0</v>
          </cell>
          <cell r="AR3614">
            <v>0</v>
          </cell>
          <cell r="BF3614">
            <v>0</v>
          </cell>
          <cell r="BG3614">
            <v>0</v>
          </cell>
          <cell r="BH3614">
            <v>0</v>
          </cell>
          <cell r="BI3614">
            <v>5</v>
          </cell>
          <cell r="BJ3614">
            <v>0</v>
          </cell>
        </row>
        <row r="3615">
          <cell r="D3615" t="str">
            <v>Slovenská poľnohospodárska univerzita v Nitre</v>
          </cell>
          <cell r="E3615" t="str">
            <v>Fakulta ekonomiky a manažmentu</v>
          </cell>
          <cell r="AN3615">
            <v>0</v>
          </cell>
          <cell r="AO3615">
            <v>0</v>
          </cell>
          <cell r="AP3615">
            <v>0</v>
          </cell>
          <cell r="AQ3615">
            <v>0</v>
          </cell>
          <cell r="AR3615">
            <v>0</v>
          </cell>
          <cell r="BF3615">
            <v>0</v>
          </cell>
          <cell r="BG3615">
            <v>0</v>
          </cell>
          <cell r="BH3615">
            <v>0</v>
          </cell>
          <cell r="BI3615">
            <v>1</v>
          </cell>
          <cell r="BJ3615">
            <v>0</v>
          </cell>
        </row>
        <row r="3616">
          <cell r="D3616" t="str">
            <v>Slovenská poľnohospodárska univerzita v Nitre</v>
          </cell>
          <cell r="E3616" t="str">
            <v>Technická fakulta</v>
          </cell>
          <cell r="AN3616">
            <v>23</v>
          </cell>
          <cell r="AO3616">
            <v>23</v>
          </cell>
          <cell r="AP3616">
            <v>0</v>
          </cell>
          <cell r="AQ3616">
            <v>0</v>
          </cell>
          <cell r="AR3616">
            <v>23</v>
          </cell>
          <cell r="BF3616">
            <v>34.5</v>
          </cell>
          <cell r="BG3616">
            <v>51.06</v>
          </cell>
          <cell r="BH3616">
            <v>43.820149253731344</v>
          </cell>
          <cell r="BI3616">
            <v>23</v>
          </cell>
          <cell r="BJ3616">
            <v>0</v>
          </cell>
        </row>
        <row r="3617">
          <cell r="D3617" t="str">
            <v>Slovenská poľnohospodárska univerzita v Nitre</v>
          </cell>
          <cell r="E3617" t="str">
            <v>Technická fakulta</v>
          </cell>
          <cell r="AN3617">
            <v>1</v>
          </cell>
          <cell r="AO3617">
            <v>0</v>
          </cell>
          <cell r="AP3617">
            <v>0</v>
          </cell>
          <cell r="AQ3617">
            <v>0</v>
          </cell>
          <cell r="AR3617">
            <v>1</v>
          </cell>
          <cell r="BF3617">
            <v>4</v>
          </cell>
          <cell r="BG3617">
            <v>8.52</v>
          </cell>
          <cell r="BH3617">
            <v>6.39</v>
          </cell>
          <cell r="BI3617">
            <v>1</v>
          </cell>
          <cell r="BJ3617">
            <v>1</v>
          </cell>
        </row>
        <row r="3618">
          <cell r="D3618" t="str">
            <v>Slovenská poľnohospodárska univerzita v Nitre</v>
          </cell>
          <cell r="E3618" t="str">
            <v>Technická fakulta</v>
          </cell>
          <cell r="AN3618">
            <v>23</v>
          </cell>
          <cell r="AO3618">
            <v>23</v>
          </cell>
          <cell r="AP3618">
            <v>0</v>
          </cell>
          <cell r="AQ3618">
            <v>0</v>
          </cell>
          <cell r="AR3618">
            <v>23</v>
          </cell>
          <cell r="BF3618">
            <v>16.099999999999998</v>
          </cell>
          <cell r="BG3618">
            <v>23.827999999999996</v>
          </cell>
          <cell r="BH3618">
            <v>22.078391608391605</v>
          </cell>
          <cell r="BI3618">
            <v>23</v>
          </cell>
          <cell r="BJ3618">
            <v>0</v>
          </cell>
        </row>
        <row r="3619">
          <cell r="D3619" t="str">
            <v>Slovenská poľnohospodárska univerzita v Nitre</v>
          </cell>
          <cell r="E3619" t="str">
            <v>Fakulta ekonomiky a manažmentu</v>
          </cell>
          <cell r="AN3619">
            <v>10</v>
          </cell>
          <cell r="AO3619">
            <v>10</v>
          </cell>
          <cell r="AP3619">
            <v>0</v>
          </cell>
          <cell r="AQ3619">
            <v>0</v>
          </cell>
          <cell r="AR3619">
            <v>10</v>
          </cell>
          <cell r="BF3619">
            <v>7</v>
          </cell>
          <cell r="BG3619">
            <v>7.28</v>
          </cell>
          <cell r="BH3619">
            <v>6.6776604850213985</v>
          </cell>
          <cell r="BI3619">
            <v>10</v>
          </cell>
          <cell r="BJ3619">
            <v>0</v>
          </cell>
        </row>
        <row r="3620">
          <cell r="D3620" t="str">
            <v>Slovenská poľnohospodárska univerzita v Nitre</v>
          </cell>
          <cell r="E3620" t="str">
            <v>Fakulta biotechnológie a potravinárstva</v>
          </cell>
          <cell r="AN3620">
            <v>0</v>
          </cell>
          <cell r="AO3620">
            <v>0</v>
          </cell>
          <cell r="AP3620">
            <v>0</v>
          </cell>
          <cell r="AQ3620">
            <v>0</v>
          </cell>
          <cell r="AR3620">
            <v>0</v>
          </cell>
          <cell r="BF3620">
            <v>0</v>
          </cell>
          <cell r="BG3620">
            <v>0</v>
          </cell>
          <cell r="BH3620">
            <v>0</v>
          </cell>
          <cell r="BI3620">
            <v>3</v>
          </cell>
          <cell r="BJ3620">
            <v>0</v>
          </cell>
        </row>
        <row r="3621">
          <cell r="D3621" t="str">
            <v>Slovenská poľnohospodárska univerzita v Nitre</v>
          </cell>
          <cell r="E3621" t="str">
            <v>Fakulta záhradníctva a krajinného inžinierstva</v>
          </cell>
          <cell r="AN3621">
            <v>0</v>
          </cell>
          <cell r="AO3621">
            <v>0</v>
          </cell>
          <cell r="AP3621">
            <v>0</v>
          </cell>
          <cell r="AQ3621">
            <v>0</v>
          </cell>
          <cell r="AR3621">
            <v>0</v>
          </cell>
          <cell r="BF3621">
            <v>0</v>
          </cell>
          <cell r="BG3621">
            <v>0</v>
          </cell>
          <cell r="BH3621">
            <v>0</v>
          </cell>
          <cell r="BI3621">
            <v>1</v>
          </cell>
          <cell r="BJ3621">
            <v>0</v>
          </cell>
        </row>
        <row r="3622">
          <cell r="D3622" t="str">
            <v>Slovenská poľnohospodárska univerzita v Nitre</v>
          </cell>
          <cell r="E3622" t="str">
            <v>Fakulta ekonomiky a manažmentu</v>
          </cell>
          <cell r="AN3622">
            <v>0</v>
          </cell>
          <cell r="AO3622">
            <v>0</v>
          </cell>
          <cell r="AP3622">
            <v>0</v>
          </cell>
          <cell r="AQ3622">
            <v>0</v>
          </cell>
          <cell r="AR3622">
            <v>0</v>
          </cell>
          <cell r="BF3622">
            <v>0</v>
          </cell>
          <cell r="BG3622">
            <v>0</v>
          </cell>
          <cell r="BH3622">
            <v>0</v>
          </cell>
          <cell r="BI3622">
            <v>1</v>
          </cell>
          <cell r="BJ3622">
            <v>0</v>
          </cell>
        </row>
        <row r="3623">
          <cell r="D3623" t="str">
            <v>Slovenská poľnohospodárska univerzita v Nitre</v>
          </cell>
          <cell r="E3623" t="str">
            <v>Fakulta biotechnológie a potravinárstva</v>
          </cell>
          <cell r="AN3623">
            <v>0</v>
          </cell>
          <cell r="AO3623">
            <v>0</v>
          </cell>
          <cell r="AP3623">
            <v>0</v>
          </cell>
          <cell r="AQ3623">
            <v>0</v>
          </cell>
          <cell r="AR3623">
            <v>0</v>
          </cell>
          <cell r="BF3623">
            <v>0</v>
          </cell>
          <cell r="BG3623">
            <v>0</v>
          </cell>
          <cell r="BH3623">
            <v>0</v>
          </cell>
          <cell r="BI3623">
            <v>5</v>
          </cell>
          <cell r="BJ3623">
            <v>0</v>
          </cell>
        </row>
        <row r="3624">
          <cell r="D3624" t="str">
            <v>Univerzita Mateja Bela v Banskej Bystrici</v>
          </cell>
          <cell r="E3624" t="str">
            <v>Fakulta politických vied a medzinárodných vzťahov</v>
          </cell>
          <cell r="AN3624">
            <v>0</v>
          </cell>
          <cell r="AO3624">
            <v>4</v>
          </cell>
          <cell r="AP3624">
            <v>0</v>
          </cell>
          <cell r="AQ3624">
            <v>0</v>
          </cell>
          <cell r="AR3624">
            <v>0</v>
          </cell>
          <cell r="BF3624">
            <v>0</v>
          </cell>
          <cell r="BG3624">
            <v>0</v>
          </cell>
          <cell r="BH3624">
            <v>0</v>
          </cell>
          <cell r="BI3624">
            <v>4</v>
          </cell>
          <cell r="BJ3624">
            <v>0</v>
          </cell>
        </row>
        <row r="3625">
          <cell r="D3625" t="str">
            <v>Trnavská univerzita v Trnave</v>
          </cell>
          <cell r="E3625" t="str">
            <v>Filozofická fakulta</v>
          </cell>
          <cell r="AN3625">
            <v>4</v>
          </cell>
          <cell r="AO3625">
            <v>4</v>
          </cell>
          <cell r="AP3625">
            <v>0</v>
          </cell>
          <cell r="AQ3625">
            <v>0</v>
          </cell>
          <cell r="AR3625">
            <v>4</v>
          </cell>
          <cell r="BF3625">
            <v>6</v>
          </cell>
          <cell r="BG3625">
            <v>6</v>
          </cell>
          <cell r="BH3625">
            <v>6</v>
          </cell>
          <cell r="BI3625">
            <v>4</v>
          </cell>
          <cell r="BJ3625">
            <v>0</v>
          </cell>
        </row>
        <row r="3626">
          <cell r="D3626" t="str">
            <v>Trnavská univerzita v Trnave</v>
          </cell>
          <cell r="E3626" t="str">
            <v>Filozofická fakulta</v>
          </cell>
          <cell r="AN3626">
            <v>1</v>
          </cell>
          <cell r="AO3626">
            <v>0</v>
          </cell>
          <cell r="AP3626">
            <v>0</v>
          </cell>
          <cell r="AQ3626">
            <v>0</v>
          </cell>
          <cell r="AR3626">
            <v>1</v>
          </cell>
          <cell r="BF3626">
            <v>4</v>
          </cell>
          <cell r="BG3626">
            <v>4.4000000000000004</v>
          </cell>
          <cell r="BH3626">
            <v>4.4000000000000004</v>
          </cell>
          <cell r="BI3626">
            <v>1</v>
          </cell>
          <cell r="BJ3626">
            <v>1</v>
          </cell>
        </row>
        <row r="3627">
          <cell r="D3627" t="str">
            <v>Trnavská univerzita v Trnave</v>
          </cell>
          <cell r="E3627" t="str">
            <v>Filozofická fakulta</v>
          </cell>
          <cell r="AN3627">
            <v>1</v>
          </cell>
          <cell r="AO3627">
            <v>0</v>
          </cell>
          <cell r="AP3627">
            <v>0</v>
          </cell>
          <cell r="AQ3627">
            <v>0</v>
          </cell>
          <cell r="AR3627">
            <v>0</v>
          </cell>
          <cell r="BF3627">
            <v>0</v>
          </cell>
          <cell r="BG3627">
            <v>0</v>
          </cell>
          <cell r="BH3627">
            <v>0</v>
          </cell>
          <cell r="BI3627">
            <v>1</v>
          </cell>
          <cell r="BJ3627">
            <v>0</v>
          </cell>
        </row>
        <row r="3628">
          <cell r="D3628" t="str">
            <v>Trnavská univerzita v Trnave</v>
          </cell>
          <cell r="E3628" t="str">
            <v>Filozofická fakulta</v>
          </cell>
          <cell r="AN3628">
            <v>0</v>
          </cell>
          <cell r="AO3628">
            <v>0</v>
          </cell>
          <cell r="AP3628">
            <v>0</v>
          </cell>
          <cell r="AQ3628">
            <v>0</v>
          </cell>
          <cell r="AR3628">
            <v>0</v>
          </cell>
          <cell r="BF3628">
            <v>0</v>
          </cell>
          <cell r="BG3628">
            <v>0</v>
          </cell>
          <cell r="BH3628">
            <v>0</v>
          </cell>
          <cell r="BI3628">
            <v>1</v>
          </cell>
          <cell r="BJ3628">
            <v>0</v>
          </cell>
        </row>
        <row r="3629">
          <cell r="D3629" t="str">
            <v>Trnavská univerzita v Trnave</v>
          </cell>
          <cell r="E3629" t="str">
            <v>Filozofická fakulta</v>
          </cell>
          <cell r="AN3629">
            <v>0</v>
          </cell>
          <cell r="AO3629">
            <v>0</v>
          </cell>
          <cell r="AP3629">
            <v>0</v>
          </cell>
          <cell r="AQ3629">
            <v>0</v>
          </cell>
          <cell r="AR3629">
            <v>0</v>
          </cell>
          <cell r="BF3629">
            <v>0</v>
          </cell>
          <cell r="BG3629">
            <v>0</v>
          </cell>
          <cell r="BH3629">
            <v>0</v>
          </cell>
          <cell r="BI3629">
            <v>1</v>
          </cell>
          <cell r="BJ3629">
            <v>0</v>
          </cell>
        </row>
        <row r="3630">
          <cell r="D3630" t="str">
            <v>Trnavská univerzita v Trnave</v>
          </cell>
          <cell r="E3630" t="str">
            <v>Pedagogická fakulta</v>
          </cell>
          <cell r="AN3630">
            <v>0</v>
          </cell>
          <cell r="AO3630">
            <v>0</v>
          </cell>
          <cell r="AP3630">
            <v>0</v>
          </cell>
          <cell r="AQ3630">
            <v>0</v>
          </cell>
          <cell r="AR3630">
            <v>0</v>
          </cell>
          <cell r="BF3630">
            <v>0</v>
          </cell>
          <cell r="BG3630">
            <v>0</v>
          </cell>
          <cell r="BH3630">
            <v>0</v>
          </cell>
          <cell r="BI3630">
            <v>4</v>
          </cell>
          <cell r="BJ3630">
            <v>0</v>
          </cell>
        </row>
        <row r="3631">
          <cell r="D3631" t="str">
            <v>Trnavská univerzita v Trnave</v>
          </cell>
          <cell r="E3631" t="str">
            <v>Fakulta zdravotníctva a sociálnej práce</v>
          </cell>
          <cell r="AN3631">
            <v>7</v>
          </cell>
          <cell r="AO3631">
            <v>8</v>
          </cell>
          <cell r="AP3631">
            <v>0</v>
          </cell>
          <cell r="AQ3631">
            <v>0</v>
          </cell>
          <cell r="AR3631">
            <v>7</v>
          </cell>
          <cell r="BF3631">
            <v>4.8999999999999995</v>
          </cell>
          <cell r="BG3631">
            <v>4.8999999999999995</v>
          </cell>
          <cell r="BH3631">
            <v>4.4099999999999993</v>
          </cell>
          <cell r="BI3631">
            <v>8</v>
          </cell>
          <cell r="BJ3631">
            <v>0</v>
          </cell>
        </row>
        <row r="3632">
          <cell r="D3632" t="str">
            <v>Univerzita sv. Cyrila a Metoda v Trnave</v>
          </cell>
          <cell r="E3632" t="str">
            <v>Filozofická fakulta</v>
          </cell>
          <cell r="AN3632">
            <v>0</v>
          </cell>
          <cell r="AO3632">
            <v>0</v>
          </cell>
          <cell r="AP3632">
            <v>0</v>
          </cell>
          <cell r="AQ3632">
            <v>0</v>
          </cell>
          <cell r="AR3632">
            <v>0</v>
          </cell>
          <cell r="BF3632">
            <v>0</v>
          </cell>
          <cell r="BG3632">
            <v>0</v>
          </cell>
          <cell r="BH3632">
            <v>0</v>
          </cell>
          <cell r="BI3632">
            <v>22</v>
          </cell>
          <cell r="BJ3632">
            <v>0</v>
          </cell>
        </row>
        <row r="3633">
          <cell r="D3633" t="str">
            <v>Univerzita sv. Cyrila a Metoda v Trnave</v>
          </cell>
          <cell r="E3633" t="str">
            <v>Filozofická fakulta</v>
          </cell>
          <cell r="AN3633">
            <v>3</v>
          </cell>
          <cell r="AO3633">
            <v>4</v>
          </cell>
          <cell r="AP3633">
            <v>0</v>
          </cell>
          <cell r="AQ3633">
            <v>0</v>
          </cell>
          <cell r="AR3633">
            <v>3</v>
          </cell>
          <cell r="BF3633">
            <v>2.0999999999999996</v>
          </cell>
          <cell r="BG3633">
            <v>2.0999999999999996</v>
          </cell>
          <cell r="BH3633">
            <v>1.7999999999999996</v>
          </cell>
          <cell r="BI3633">
            <v>4</v>
          </cell>
          <cell r="BJ3633">
            <v>0</v>
          </cell>
        </row>
        <row r="3634">
          <cell r="D3634" t="str">
            <v>Univerzita sv. Cyrila a Metoda v Trnave</v>
          </cell>
          <cell r="E3634" t="str">
            <v>Fakulta sociálnych vied</v>
          </cell>
          <cell r="AN3634">
            <v>5</v>
          </cell>
          <cell r="AO3634">
            <v>5</v>
          </cell>
          <cell r="AP3634">
            <v>0</v>
          </cell>
          <cell r="AQ3634">
            <v>0</v>
          </cell>
          <cell r="AR3634">
            <v>5</v>
          </cell>
          <cell r="BF3634">
            <v>7.5</v>
          </cell>
          <cell r="BG3634">
            <v>7.5</v>
          </cell>
          <cell r="BH3634">
            <v>6.8181818181818183</v>
          </cell>
          <cell r="BI3634">
            <v>5</v>
          </cell>
          <cell r="BJ3634">
            <v>0</v>
          </cell>
        </row>
        <row r="3635">
          <cell r="D3635" t="str">
            <v>Univerzita sv. Cyrila a Metoda v Trnave</v>
          </cell>
          <cell r="E3635" t="str">
            <v>Fakulta sociálnych vied</v>
          </cell>
          <cell r="AN3635">
            <v>0</v>
          </cell>
          <cell r="AO3635">
            <v>0</v>
          </cell>
          <cell r="AP3635">
            <v>0</v>
          </cell>
          <cell r="AQ3635">
            <v>0</v>
          </cell>
          <cell r="AR3635">
            <v>0</v>
          </cell>
          <cell r="BF3635">
            <v>0</v>
          </cell>
          <cell r="BG3635">
            <v>0</v>
          </cell>
          <cell r="BH3635">
            <v>0</v>
          </cell>
          <cell r="BI3635">
            <v>6</v>
          </cell>
          <cell r="BJ3635">
            <v>0</v>
          </cell>
        </row>
        <row r="3636">
          <cell r="D3636" t="str">
            <v>Univerzita sv. Cyrila a Metoda v Trnave</v>
          </cell>
          <cell r="E3636" t="str">
            <v>Fakulta masmediálnej komunikácie</v>
          </cell>
          <cell r="AN3636">
            <v>0</v>
          </cell>
          <cell r="AO3636">
            <v>0</v>
          </cell>
          <cell r="AP3636">
            <v>0</v>
          </cell>
          <cell r="AQ3636">
            <v>0</v>
          </cell>
          <cell r="AR3636">
            <v>0</v>
          </cell>
          <cell r="BF3636">
            <v>0</v>
          </cell>
          <cell r="BG3636">
            <v>0</v>
          </cell>
          <cell r="BH3636">
            <v>0</v>
          </cell>
          <cell r="BI3636">
            <v>6</v>
          </cell>
          <cell r="BJ3636">
            <v>0</v>
          </cell>
        </row>
        <row r="3637">
          <cell r="D3637" t="str">
            <v>Univerzita sv. Cyrila a Metoda v Trnave</v>
          </cell>
          <cell r="E3637" t="str">
            <v>Fakulta sociálnych vied</v>
          </cell>
          <cell r="AN3637">
            <v>22</v>
          </cell>
          <cell r="AO3637">
            <v>23</v>
          </cell>
          <cell r="AP3637">
            <v>0</v>
          </cell>
          <cell r="AQ3637">
            <v>0</v>
          </cell>
          <cell r="AR3637">
            <v>22</v>
          </cell>
          <cell r="BF3637">
            <v>15.399999999999999</v>
          </cell>
          <cell r="BG3637">
            <v>15.399999999999999</v>
          </cell>
          <cell r="BH3637">
            <v>14.634782608695652</v>
          </cell>
          <cell r="BI3637">
            <v>23</v>
          </cell>
          <cell r="BJ3637">
            <v>0</v>
          </cell>
        </row>
        <row r="3638">
          <cell r="D3638" t="str">
            <v>Univerzita sv. Cyrila a Metoda v Trnave</v>
          </cell>
          <cell r="E3638" t="str">
            <v>Fakulta sociálnych vied</v>
          </cell>
          <cell r="AN3638">
            <v>0</v>
          </cell>
          <cell r="AO3638">
            <v>0</v>
          </cell>
          <cell r="AP3638">
            <v>0</v>
          </cell>
          <cell r="AQ3638">
            <v>0</v>
          </cell>
          <cell r="AR3638">
            <v>0</v>
          </cell>
          <cell r="BF3638">
            <v>0</v>
          </cell>
          <cell r="BG3638">
            <v>0</v>
          </cell>
          <cell r="BH3638">
            <v>0</v>
          </cell>
          <cell r="BI3638">
            <v>19</v>
          </cell>
          <cell r="BJ3638">
            <v>0</v>
          </cell>
        </row>
        <row r="3639">
          <cell r="D3639" t="str">
            <v>Univerzita sv. Cyrila a Metoda v Trnave</v>
          </cell>
          <cell r="E3639" t="str">
            <v>Fakulta prírodných vied</v>
          </cell>
          <cell r="AN3639">
            <v>9</v>
          </cell>
          <cell r="AO3639">
            <v>9</v>
          </cell>
          <cell r="AP3639">
            <v>0</v>
          </cell>
          <cell r="AQ3639">
            <v>0</v>
          </cell>
          <cell r="AR3639">
            <v>9</v>
          </cell>
          <cell r="BF3639">
            <v>13.5</v>
          </cell>
          <cell r="BG3639">
            <v>19.98</v>
          </cell>
          <cell r="BH3639">
            <v>18.757343283582088</v>
          </cell>
          <cell r="BI3639">
            <v>9</v>
          </cell>
          <cell r="BJ3639">
            <v>0</v>
          </cell>
        </row>
        <row r="3640">
          <cell r="D3640" t="str">
            <v>Univerzita sv. Cyrila a Metoda v Trnave</v>
          </cell>
          <cell r="E3640" t="str">
            <v>Fakulta sociálnych vied</v>
          </cell>
          <cell r="AN3640">
            <v>0</v>
          </cell>
          <cell r="AO3640">
            <v>0</v>
          </cell>
          <cell r="AP3640">
            <v>0</v>
          </cell>
          <cell r="AQ3640">
            <v>0</v>
          </cell>
          <cell r="AR3640">
            <v>0</v>
          </cell>
          <cell r="BF3640">
            <v>0</v>
          </cell>
          <cell r="BG3640">
            <v>0</v>
          </cell>
          <cell r="BH3640">
            <v>0</v>
          </cell>
          <cell r="BI3640">
            <v>7</v>
          </cell>
          <cell r="BJ3640">
            <v>0</v>
          </cell>
        </row>
        <row r="3641">
          <cell r="D3641" t="str">
            <v>Univerzita sv. Cyrila a Metoda v Trnave</v>
          </cell>
          <cell r="E3641" t="str">
            <v>Fakulta sociálnych vied</v>
          </cell>
          <cell r="AN3641">
            <v>0</v>
          </cell>
          <cell r="AO3641">
            <v>0</v>
          </cell>
          <cell r="AP3641">
            <v>0</v>
          </cell>
          <cell r="AQ3641">
            <v>0</v>
          </cell>
          <cell r="AR3641">
            <v>0</v>
          </cell>
          <cell r="BF3641">
            <v>0</v>
          </cell>
          <cell r="BG3641">
            <v>0</v>
          </cell>
          <cell r="BH3641">
            <v>0</v>
          </cell>
          <cell r="BI3641">
            <v>1</v>
          </cell>
          <cell r="BJ3641">
            <v>0</v>
          </cell>
        </row>
        <row r="3642">
          <cell r="D3642" t="str">
            <v>Univerzita sv. Cyrila a Metoda v Trnave</v>
          </cell>
          <cell r="E3642" t="str">
            <v>Filozofická fakulta</v>
          </cell>
          <cell r="AN3642">
            <v>0</v>
          </cell>
          <cell r="AO3642">
            <v>0</v>
          </cell>
          <cell r="AP3642">
            <v>0</v>
          </cell>
          <cell r="AQ3642">
            <v>0</v>
          </cell>
          <cell r="AR3642">
            <v>0</v>
          </cell>
          <cell r="BF3642">
            <v>0</v>
          </cell>
          <cell r="BG3642">
            <v>0</v>
          </cell>
          <cell r="BH3642">
            <v>0</v>
          </cell>
          <cell r="BI3642">
            <v>2</v>
          </cell>
          <cell r="BJ3642">
            <v>0</v>
          </cell>
        </row>
        <row r="3643">
          <cell r="D3643" t="str">
            <v>Univerzita sv. Cyrila a Metoda v Trnave</v>
          </cell>
          <cell r="E3643" t="str">
            <v>Filozofická fakulta</v>
          </cell>
          <cell r="AN3643">
            <v>0</v>
          </cell>
          <cell r="AO3643">
            <v>0</v>
          </cell>
          <cell r="AP3643">
            <v>0</v>
          </cell>
          <cell r="AQ3643">
            <v>0</v>
          </cell>
          <cell r="AR3643">
            <v>0</v>
          </cell>
          <cell r="BF3643">
            <v>0</v>
          </cell>
          <cell r="BG3643">
            <v>0</v>
          </cell>
          <cell r="BH3643">
            <v>0</v>
          </cell>
          <cell r="BI3643">
            <v>1</v>
          </cell>
          <cell r="BJ3643">
            <v>0</v>
          </cell>
        </row>
        <row r="3644">
          <cell r="D3644" t="str">
            <v>Univerzita sv. Cyrila a Metoda v Trnave</v>
          </cell>
          <cell r="E3644" t="str">
            <v>Fakulta sociálnych vied</v>
          </cell>
          <cell r="AN3644">
            <v>0</v>
          </cell>
          <cell r="AO3644">
            <v>0</v>
          </cell>
          <cell r="AP3644">
            <v>0</v>
          </cell>
          <cell r="AQ3644">
            <v>0</v>
          </cell>
          <cell r="AR3644">
            <v>0</v>
          </cell>
          <cell r="BF3644">
            <v>0</v>
          </cell>
          <cell r="BG3644">
            <v>0</v>
          </cell>
          <cell r="BH3644">
            <v>0</v>
          </cell>
          <cell r="BI3644">
            <v>3</v>
          </cell>
          <cell r="BJ3644">
            <v>0</v>
          </cell>
        </row>
        <row r="3645">
          <cell r="D3645" t="str">
            <v>Univerzita Pavla Jozefa Šafárika v Košiciach</v>
          </cell>
          <cell r="E3645" t="str">
            <v>Prírodovedecká fakulta</v>
          </cell>
          <cell r="AN3645">
            <v>0</v>
          </cell>
          <cell r="AO3645">
            <v>1</v>
          </cell>
          <cell r="AP3645">
            <v>0</v>
          </cell>
          <cell r="AQ3645">
            <v>0</v>
          </cell>
          <cell r="AR3645">
            <v>0</v>
          </cell>
          <cell r="BF3645">
            <v>0</v>
          </cell>
          <cell r="BG3645">
            <v>0</v>
          </cell>
          <cell r="BH3645">
            <v>0</v>
          </cell>
          <cell r="BI3645">
            <v>1</v>
          </cell>
          <cell r="BJ3645">
            <v>0</v>
          </cell>
        </row>
        <row r="3646">
          <cell r="D3646" t="str">
            <v>Vysoká škola výtvarných umení v Bratislave</v>
          </cell>
          <cell r="E3646">
            <v>0</v>
          </cell>
          <cell r="AN3646">
            <v>0</v>
          </cell>
          <cell r="AO3646">
            <v>0</v>
          </cell>
          <cell r="AP3646">
            <v>0</v>
          </cell>
          <cell r="AQ3646">
            <v>0</v>
          </cell>
          <cell r="AR3646">
            <v>0</v>
          </cell>
          <cell r="BF3646">
            <v>0</v>
          </cell>
          <cell r="BG3646">
            <v>0</v>
          </cell>
          <cell r="BH3646">
            <v>0</v>
          </cell>
          <cell r="BI3646">
            <v>1</v>
          </cell>
          <cell r="BJ3646">
            <v>0</v>
          </cell>
        </row>
        <row r="3647">
          <cell r="D3647" t="str">
            <v>Vysoká škola výtvarných umení v Bratislave</v>
          </cell>
          <cell r="E3647">
            <v>0</v>
          </cell>
          <cell r="AN3647">
            <v>3</v>
          </cell>
          <cell r="AO3647">
            <v>0</v>
          </cell>
          <cell r="AP3647">
            <v>0</v>
          </cell>
          <cell r="AQ3647">
            <v>0</v>
          </cell>
          <cell r="AR3647">
            <v>3</v>
          </cell>
          <cell r="BF3647">
            <v>12</v>
          </cell>
          <cell r="BG3647">
            <v>13.200000000000001</v>
          </cell>
          <cell r="BH3647">
            <v>13.200000000000001</v>
          </cell>
          <cell r="BI3647">
            <v>3</v>
          </cell>
          <cell r="BJ3647">
            <v>3</v>
          </cell>
        </row>
        <row r="3648">
          <cell r="D3648" t="str">
            <v>Vysoká škola výtvarných umení v Bratislave</v>
          </cell>
          <cell r="E3648">
            <v>0</v>
          </cell>
          <cell r="AN3648">
            <v>0</v>
          </cell>
          <cell r="AO3648">
            <v>0</v>
          </cell>
          <cell r="AP3648">
            <v>0</v>
          </cell>
          <cell r="AQ3648">
            <v>0</v>
          </cell>
          <cell r="AR3648">
            <v>0</v>
          </cell>
          <cell r="BF3648">
            <v>0</v>
          </cell>
          <cell r="BG3648">
            <v>0</v>
          </cell>
          <cell r="BH3648">
            <v>0</v>
          </cell>
          <cell r="BI3648">
            <v>1</v>
          </cell>
          <cell r="BJ3648">
            <v>0</v>
          </cell>
        </row>
        <row r="3649">
          <cell r="D3649" t="str">
            <v>Vysoká škola výtvarných umení v Bratislave</v>
          </cell>
          <cell r="E3649">
            <v>0</v>
          </cell>
          <cell r="AN3649">
            <v>2</v>
          </cell>
          <cell r="AO3649">
            <v>3</v>
          </cell>
          <cell r="AP3649">
            <v>0</v>
          </cell>
          <cell r="AQ3649">
            <v>0</v>
          </cell>
          <cell r="AR3649">
            <v>2</v>
          </cell>
          <cell r="BF3649">
            <v>3</v>
          </cell>
          <cell r="BG3649">
            <v>3</v>
          </cell>
          <cell r="BH3649">
            <v>2.5760869565217392</v>
          </cell>
          <cell r="BI3649">
            <v>3</v>
          </cell>
          <cell r="BJ3649">
            <v>0</v>
          </cell>
        </row>
        <row r="3650">
          <cell r="D3650" t="str">
            <v>Prešovská univerzita v Prešove</v>
          </cell>
          <cell r="E3650" t="str">
            <v>Filozofická fakulta</v>
          </cell>
          <cell r="AN3650">
            <v>1</v>
          </cell>
          <cell r="AO3650">
            <v>0</v>
          </cell>
          <cell r="AP3650">
            <v>0</v>
          </cell>
          <cell r="AQ3650">
            <v>0</v>
          </cell>
          <cell r="AR3650">
            <v>1</v>
          </cell>
          <cell r="BF3650">
            <v>3</v>
          </cell>
          <cell r="BG3650">
            <v>3.3000000000000003</v>
          </cell>
          <cell r="BH3650">
            <v>3.3000000000000003</v>
          </cell>
          <cell r="BI3650">
            <v>1</v>
          </cell>
          <cell r="BJ3650">
            <v>1</v>
          </cell>
        </row>
        <row r="3651">
          <cell r="D3651" t="str">
            <v>Prešovská univerzita v Prešove</v>
          </cell>
          <cell r="E3651" t="str">
            <v>Filozofická fakulta</v>
          </cell>
          <cell r="AN3651">
            <v>1</v>
          </cell>
          <cell r="AO3651">
            <v>0</v>
          </cell>
          <cell r="AP3651">
            <v>0</v>
          </cell>
          <cell r="AQ3651">
            <v>0</v>
          </cell>
          <cell r="AR3651">
            <v>1</v>
          </cell>
          <cell r="BF3651">
            <v>3</v>
          </cell>
          <cell r="BG3651">
            <v>3.3000000000000003</v>
          </cell>
          <cell r="BH3651">
            <v>3.3000000000000003</v>
          </cell>
          <cell r="BI3651">
            <v>1</v>
          </cell>
          <cell r="BJ3651">
            <v>1</v>
          </cell>
        </row>
        <row r="3652">
          <cell r="D3652" t="str">
            <v>Prešovská univerzita v Prešove</v>
          </cell>
          <cell r="E3652" t="str">
            <v>Filozofická fakulta</v>
          </cell>
          <cell r="AN3652">
            <v>1</v>
          </cell>
          <cell r="AO3652">
            <v>2</v>
          </cell>
          <cell r="AP3652">
            <v>0</v>
          </cell>
          <cell r="AQ3652">
            <v>0</v>
          </cell>
          <cell r="AR3652">
            <v>1</v>
          </cell>
          <cell r="BF3652">
            <v>1.5</v>
          </cell>
          <cell r="BG3652">
            <v>1.6350000000000002</v>
          </cell>
          <cell r="BH3652">
            <v>1.6350000000000002</v>
          </cell>
          <cell r="BI3652">
            <v>2</v>
          </cell>
          <cell r="BJ3652">
            <v>0</v>
          </cell>
        </row>
        <row r="3653">
          <cell r="D3653" t="str">
            <v>Prešovská univerzita v Prešove</v>
          </cell>
          <cell r="E3653" t="str">
            <v>Filozofická fakulta</v>
          </cell>
          <cell r="AN3653">
            <v>0</v>
          </cell>
          <cell r="AO3653">
            <v>1</v>
          </cell>
          <cell r="AP3653">
            <v>0</v>
          </cell>
          <cell r="AQ3653">
            <v>0</v>
          </cell>
          <cell r="AR3653">
            <v>0</v>
          </cell>
          <cell r="BF3653">
            <v>0</v>
          </cell>
          <cell r="BG3653">
            <v>0</v>
          </cell>
          <cell r="BH3653">
            <v>0</v>
          </cell>
          <cell r="BI3653">
            <v>1</v>
          </cell>
          <cell r="BJ3653">
            <v>0</v>
          </cell>
        </row>
        <row r="3654">
          <cell r="D3654" t="str">
            <v>Prešovská univerzita v Prešove</v>
          </cell>
          <cell r="E3654" t="str">
            <v>Filozofická fakulta</v>
          </cell>
          <cell r="AN3654">
            <v>1</v>
          </cell>
          <cell r="AO3654">
            <v>1</v>
          </cell>
          <cell r="AP3654">
            <v>0</v>
          </cell>
          <cell r="AQ3654">
            <v>0</v>
          </cell>
          <cell r="AR3654">
            <v>1</v>
          </cell>
          <cell r="BF3654">
            <v>1.5</v>
          </cell>
          <cell r="BG3654">
            <v>1.5</v>
          </cell>
          <cell r="BH3654">
            <v>1.5</v>
          </cell>
          <cell r="BI3654">
            <v>1</v>
          </cell>
          <cell r="BJ3654">
            <v>0</v>
          </cell>
        </row>
        <row r="3655">
          <cell r="D3655" t="str">
            <v>Prešovská univerzita v Prešove</v>
          </cell>
          <cell r="E3655" t="str">
            <v>Filozofická fakulta</v>
          </cell>
          <cell r="AN3655">
            <v>1</v>
          </cell>
          <cell r="AO3655">
            <v>1</v>
          </cell>
          <cell r="AP3655">
            <v>0</v>
          </cell>
          <cell r="AQ3655">
            <v>0</v>
          </cell>
          <cell r="AR3655">
            <v>1</v>
          </cell>
          <cell r="BF3655">
            <v>1.5</v>
          </cell>
          <cell r="BG3655">
            <v>1.5</v>
          </cell>
          <cell r="BH3655">
            <v>1.0384615384615383</v>
          </cell>
          <cell r="BI3655">
            <v>1</v>
          </cell>
          <cell r="BJ3655">
            <v>0</v>
          </cell>
        </row>
        <row r="3656">
          <cell r="D3656" t="str">
            <v>Prešovská univerzita v Prešove</v>
          </cell>
          <cell r="E3656" t="str">
            <v>Filozofická fakulta</v>
          </cell>
          <cell r="AN3656">
            <v>0</v>
          </cell>
          <cell r="AO3656">
            <v>0</v>
          </cell>
          <cell r="AP3656">
            <v>0</v>
          </cell>
          <cell r="AQ3656">
            <v>0</v>
          </cell>
          <cell r="AR3656">
            <v>0</v>
          </cell>
          <cell r="BF3656">
            <v>0</v>
          </cell>
          <cell r="BG3656">
            <v>0</v>
          </cell>
          <cell r="BH3656">
            <v>0</v>
          </cell>
          <cell r="BI3656">
            <v>1</v>
          </cell>
          <cell r="BJ3656">
            <v>0</v>
          </cell>
        </row>
        <row r="3657">
          <cell r="D3657" t="str">
            <v>Prešovská univerzita v Prešove</v>
          </cell>
          <cell r="E3657" t="str">
            <v>Filozofická fakulta</v>
          </cell>
          <cell r="AN3657">
            <v>1</v>
          </cell>
          <cell r="AO3657">
            <v>1</v>
          </cell>
          <cell r="AP3657">
            <v>0</v>
          </cell>
          <cell r="AQ3657">
            <v>0</v>
          </cell>
          <cell r="AR3657">
            <v>1</v>
          </cell>
          <cell r="BF3657">
            <v>0.7</v>
          </cell>
          <cell r="BG3657">
            <v>0.76300000000000001</v>
          </cell>
          <cell r="BH3657">
            <v>0.72761712247324617</v>
          </cell>
          <cell r="BI3657">
            <v>1</v>
          </cell>
          <cell r="BJ3657">
            <v>0</v>
          </cell>
        </row>
        <row r="3658">
          <cell r="D3658" t="str">
            <v>Prešovská univerzita v Prešove</v>
          </cell>
          <cell r="E3658" t="str">
            <v>Fakulta humanitných a prírodných vied</v>
          </cell>
          <cell r="AN3658">
            <v>2</v>
          </cell>
          <cell r="AO3658">
            <v>0</v>
          </cell>
          <cell r="AP3658">
            <v>0</v>
          </cell>
          <cell r="AQ3658">
            <v>2</v>
          </cell>
          <cell r="AR3658">
            <v>2</v>
          </cell>
          <cell r="BF3658">
            <v>8</v>
          </cell>
          <cell r="BG3658">
            <v>17.04</v>
          </cell>
          <cell r="BH3658">
            <v>17.04</v>
          </cell>
          <cell r="BI3658">
            <v>2</v>
          </cell>
          <cell r="BJ3658">
            <v>2</v>
          </cell>
        </row>
        <row r="3659">
          <cell r="D3659" t="str">
            <v>Prešovská univerzita v Prešove</v>
          </cell>
          <cell r="E3659" t="str">
            <v>Fakulta humanitných a prírodných vied</v>
          </cell>
          <cell r="AN3659">
            <v>2</v>
          </cell>
          <cell r="AO3659">
            <v>2</v>
          </cell>
          <cell r="AP3659">
            <v>2</v>
          </cell>
          <cell r="AQ3659">
            <v>2</v>
          </cell>
          <cell r="AR3659">
            <v>2</v>
          </cell>
          <cell r="BF3659">
            <v>3</v>
          </cell>
          <cell r="BG3659">
            <v>4.4399999999999995</v>
          </cell>
          <cell r="BH3659">
            <v>4.4399999999999995</v>
          </cell>
          <cell r="BI3659">
            <v>2</v>
          </cell>
          <cell r="BJ3659">
            <v>0</v>
          </cell>
        </row>
        <row r="3660">
          <cell r="D3660" t="str">
            <v>Prešovská univerzita v Prešove</v>
          </cell>
          <cell r="E3660" t="str">
            <v>Fakulta zdravotníckych odborov</v>
          </cell>
          <cell r="AN3660">
            <v>0</v>
          </cell>
          <cell r="AO3660">
            <v>0</v>
          </cell>
          <cell r="AP3660">
            <v>0</v>
          </cell>
          <cell r="AQ3660">
            <v>0</v>
          </cell>
          <cell r="AR3660">
            <v>0</v>
          </cell>
          <cell r="BF3660">
            <v>0</v>
          </cell>
          <cell r="BG3660">
            <v>0</v>
          </cell>
          <cell r="BH3660">
            <v>0</v>
          </cell>
          <cell r="BI3660">
            <v>17</v>
          </cell>
          <cell r="BJ3660">
            <v>0</v>
          </cell>
        </row>
        <row r="3661">
          <cell r="D3661" t="str">
            <v>Prešovská univerzita v Prešove</v>
          </cell>
          <cell r="E3661" t="str">
            <v>Fakulta manažmentu</v>
          </cell>
          <cell r="AN3661">
            <v>0</v>
          </cell>
          <cell r="AO3661">
            <v>0</v>
          </cell>
          <cell r="AP3661">
            <v>0</v>
          </cell>
          <cell r="AQ3661">
            <v>0</v>
          </cell>
          <cell r="AR3661">
            <v>0</v>
          </cell>
          <cell r="BF3661">
            <v>0</v>
          </cell>
          <cell r="BG3661">
            <v>0</v>
          </cell>
          <cell r="BH3661">
            <v>0</v>
          </cell>
          <cell r="BI3661">
            <v>3</v>
          </cell>
          <cell r="BJ3661">
            <v>0</v>
          </cell>
        </row>
        <row r="3662">
          <cell r="D3662" t="str">
            <v>Prešovská univerzita v Prešove</v>
          </cell>
          <cell r="E3662" t="str">
            <v>Pravoslávna bohoslovecká fakulta</v>
          </cell>
          <cell r="AN3662">
            <v>2</v>
          </cell>
          <cell r="AO3662">
            <v>0</v>
          </cell>
          <cell r="AP3662">
            <v>0</v>
          </cell>
          <cell r="AQ3662">
            <v>0</v>
          </cell>
          <cell r="AR3662">
            <v>2</v>
          </cell>
          <cell r="BF3662">
            <v>6</v>
          </cell>
          <cell r="BG3662">
            <v>6.6000000000000005</v>
          </cell>
          <cell r="BH3662">
            <v>6.6000000000000005</v>
          </cell>
          <cell r="BI3662">
            <v>2</v>
          </cell>
          <cell r="BJ3662">
            <v>2</v>
          </cell>
        </row>
        <row r="3663">
          <cell r="D3663" t="str">
            <v>Prešovská univerzita v Prešove</v>
          </cell>
          <cell r="E3663" t="str">
            <v>Pravoslávna bohoslovecká fakulta</v>
          </cell>
          <cell r="AN3663">
            <v>6</v>
          </cell>
          <cell r="AO3663">
            <v>0</v>
          </cell>
          <cell r="AP3663">
            <v>0</v>
          </cell>
          <cell r="AQ3663">
            <v>0</v>
          </cell>
          <cell r="AR3663">
            <v>0</v>
          </cell>
          <cell r="BF3663">
            <v>0</v>
          </cell>
          <cell r="BG3663">
            <v>0</v>
          </cell>
          <cell r="BH3663">
            <v>0</v>
          </cell>
          <cell r="BI3663">
            <v>7</v>
          </cell>
          <cell r="BJ3663">
            <v>0</v>
          </cell>
        </row>
        <row r="3664">
          <cell r="D3664" t="str">
            <v>Prešovská univerzita v Prešove</v>
          </cell>
          <cell r="E3664" t="str">
            <v>Fakulta športu</v>
          </cell>
          <cell r="AN3664">
            <v>25</v>
          </cell>
          <cell r="AO3664">
            <v>25</v>
          </cell>
          <cell r="AP3664">
            <v>0</v>
          </cell>
          <cell r="AQ3664">
            <v>0</v>
          </cell>
          <cell r="AR3664">
            <v>25</v>
          </cell>
          <cell r="BF3664">
            <v>37.5</v>
          </cell>
          <cell r="BG3664">
            <v>44.625</v>
          </cell>
          <cell r="BH3664">
            <v>40.871495327102807</v>
          </cell>
          <cell r="BI3664">
            <v>25</v>
          </cell>
          <cell r="BJ3664">
            <v>0</v>
          </cell>
        </row>
        <row r="3665">
          <cell r="D3665" t="str">
            <v>Prešovská univerzita v Prešove</v>
          </cell>
          <cell r="E3665">
            <v>0</v>
          </cell>
          <cell r="AN3665">
            <v>4</v>
          </cell>
          <cell r="AO3665">
            <v>4</v>
          </cell>
          <cell r="AP3665" t="str">
            <v xml:space="preserve"> </v>
          </cell>
          <cell r="AQ3665" t="str">
            <v xml:space="preserve"> </v>
          </cell>
          <cell r="AR3665">
            <v>4</v>
          </cell>
          <cell r="BF3665">
            <v>2.8</v>
          </cell>
          <cell r="BG3665">
            <v>3.052</v>
          </cell>
          <cell r="BH3665">
            <v>2.9104684898929847</v>
          </cell>
          <cell r="BI3665">
            <v>4</v>
          </cell>
          <cell r="BJ3665">
            <v>0</v>
          </cell>
        </row>
        <row r="3666">
          <cell r="D3666" t="str">
            <v>Slovenská technická univerzita v Bratislave</v>
          </cell>
          <cell r="E3666" t="str">
            <v>Fakulta chemickej a potravinárskej technológie</v>
          </cell>
          <cell r="AN3666">
            <v>0</v>
          </cell>
          <cell r="AO3666">
            <v>1</v>
          </cell>
          <cell r="AP3666">
            <v>0</v>
          </cell>
          <cell r="AQ3666">
            <v>0</v>
          </cell>
          <cell r="AR3666">
            <v>0</v>
          </cell>
          <cell r="BF3666">
            <v>0</v>
          </cell>
          <cell r="BG3666">
            <v>0</v>
          </cell>
          <cell r="BH3666">
            <v>0</v>
          </cell>
          <cell r="BI3666">
            <v>1</v>
          </cell>
          <cell r="BJ3666">
            <v>0</v>
          </cell>
        </row>
        <row r="3667">
          <cell r="D3667" t="str">
            <v>Stredoeurópska vysoká škola v Skalici</v>
          </cell>
          <cell r="E3667">
            <v>0</v>
          </cell>
          <cell r="AN3667">
            <v>9</v>
          </cell>
          <cell r="AO3667">
            <v>9</v>
          </cell>
          <cell r="AP3667">
            <v>9</v>
          </cell>
          <cell r="AQ3667">
            <v>9</v>
          </cell>
          <cell r="AR3667">
            <v>9</v>
          </cell>
          <cell r="BF3667">
            <v>13.5</v>
          </cell>
          <cell r="BG3667">
            <v>19.98</v>
          </cell>
          <cell r="BH3667">
            <v>19.98</v>
          </cell>
          <cell r="BI3667">
            <v>9</v>
          </cell>
          <cell r="BJ3667">
            <v>0</v>
          </cell>
        </row>
        <row r="3668">
          <cell r="D3668" t="str">
            <v>Vysoká škola medzinárodného podnikania ISM Slovakia v Prešove</v>
          </cell>
          <cell r="E3668">
            <v>0</v>
          </cell>
          <cell r="AN3668">
            <v>35</v>
          </cell>
          <cell r="AO3668">
            <v>0</v>
          </cell>
          <cell r="AP3668">
            <v>0</v>
          </cell>
          <cell r="AQ3668">
            <v>0</v>
          </cell>
          <cell r="AR3668">
            <v>0</v>
          </cell>
          <cell r="BF3668">
            <v>0</v>
          </cell>
          <cell r="BG3668">
            <v>0</v>
          </cell>
          <cell r="BH3668">
            <v>0</v>
          </cell>
          <cell r="BI3668">
            <v>35</v>
          </cell>
          <cell r="BJ3668">
            <v>0</v>
          </cell>
        </row>
        <row r="3669">
          <cell r="D3669" t="str">
            <v>Žilinská univerzita v Žiline</v>
          </cell>
          <cell r="E3669" t="str">
            <v>Fakulta prevádzky a ekonomiky dopravy a spojov</v>
          </cell>
          <cell r="AN3669">
            <v>2</v>
          </cell>
          <cell r="AO3669">
            <v>0</v>
          </cell>
          <cell r="AP3669">
            <v>0</v>
          </cell>
          <cell r="AQ3669">
            <v>0</v>
          </cell>
          <cell r="AR3669">
            <v>0</v>
          </cell>
          <cell r="BF3669">
            <v>0</v>
          </cell>
          <cell r="BG3669">
            <v>0</v>
          </cell>
          <cell r="BH3669">
            <v>0</v>
          </cell>
          <cell r="BI3669">
            <v>2</v>
          </cell>
          <cell r="BJ3669">
            <v>0</v>
          </cell>
        </row>
        <row r="3670">
          <cell r="D3670" t="str">
            <v>Vysoká škola DTI</v>
          </cell>
          <cell r="E3670">
            <v>0</v>
          </cell>
          <cell r="AN3670">
            <v>116</v>
          </cell>
          <cell r="AO3670">
            <v>116</v>
          </cell>
          <cell r="AP3670">
            <v>0</v>
          </cell>
          <cell r="AQ3670">
            <v>0</v>
          </cell>
          <cell r="AR3670">
            <v>116</v>
          </cell>
          <cell r="BF3670">
            <v>174</v>
          </cell>
          <cell r="BG3670">
            <v>189.66000000000003</v>
          </cell>
          <cell r="BH3670">
            <v>189.66000000000003</v>
          </cell>
          <cell r="BI3670">
            <v>116</v>
          </cell>
          <cell r="BJ3670">
            <v>0</v>
          </cell>
        </row>
        <row r="3671">
          <cell r="D3671" t="str">
            <v>Ekonomická univerzita v Bratislave</v>
          </cell>
          <cell r="E3671" t="str">
            <v>Národohospodárska fakulta</v>
          </cell>
          <cell r="AN3671">
            <v>0</v>
          </cell>
          <cell r="AO3671">
            <v>0</v>
          </cell>
          <cell r="AP3671">
            <v>0</v>
          </cell>
          <cell r="AQ3671">
            <v>0</v>
          </cell>
          <cell r="AR3671">
            <v>0</v>
          </cell>
          <cell r="BF3671">
            <v>0</v>
          </cell>
          <cell r="BG3671">
            <v>0</v>
          </cell>
          <cell r="BH3671">
            <v>0</v>
          </cell>
          <cell r="BI3671">
            <v>1</v>
          </cell>
          <cell r="BJ3671">
            <v>0</v>
          </cell>
        </row>
        <row r="3672">
          <cell r="D3672" t="str">
            <v>Ekonomická univerzita v Bratislave</v>
          </cell>
          <cell r="E3672" t="str">
            <v>Národohospodárska fakulta</v>
          </cell>
          <cell r="AN3672">
            <v>1</v>
          </cell>
          <cell r="AO3672">
            <v>1</v>
          </cell>
          <cell r="AP3672">
            <v>0</v>
          </cell>
          <cell r="AQ3672">
            <v>0</v>
          </cell>
          <cell r="AR3672">
            <v>1</v>
          </cell>
          <cell r="BF3672">
            <v>1.5</v>
          </cell>
          <cell r="BG3672">
            <v>1.53</v>
          </cell>
          <cell r="BH3672">
            <v>1.3071168437025795</v>
          </cell>
          <cell r="BI3672">
            <v>1</v>
          </cell>
          <cell r="BJ3672">
            <v>0</v>
          </cell>
        </row>
        <row r="3673">
          <cell r="D3673" t="str">
            <v>Vysoká škola Danubius</v>
          </cell>
          <cell r="E3673" t="str">
            <v>Fakulta sociálnych štúdií</v>
          </cell>
          <cell r="AN3673">
            <v>1</v>
          </cell>
          <cell r="AO3673">
            <v>0</v>
          </cell>
          <cell r="AP3673">
            <v>0</v>
          </cell>
          <cell r="AQ3673">
            <v>0</v>
          </cell>
          <cell r="AR3673">
            <v>0</v>
          </cell>
          <cell r="BF3673">
            <v>0</v>
          </cell>
          <cell r="BG3673">
            <v>0</v>
          </cell>
          <cell r="BH3673">
            <v>0</v>
          </cell>
          <cell r="BI3673">
            <v>1</v>
          </cell>
          <cell r="BJ3673">
            <v>0</v>
          </cell>
        </row>
        <row r="3674">
          <cell r="D3674" t="str">
            <v>Vysoká škola ekonómie a manažmentu verejnej správy v Bratislave</v>
          </cell>
          <cell r="E3674">
            <v>0</v>
          </cell>
          <cell r="AN3674">
            <v>537</v>
          </cell>
          <cell r="AO3674">
            <v>537</v>
          </cell>
          <cell r="AP3674">
            <v>0</v>
          </cell>
          <cell r="AQ3674">
            <v>0</v>
          </cell>
          <cell r="AR3674">
            <v>537</v>
          </cell>
          <cell r="BF3674">
            <v>479.4</v>
          </cell>
          <cell r="BG3674">
            <v>498.57599999999996</v>
          </cell>
          <cell r="BH3674">
            <v>464.88345642540617</v>
          </cell>
          <cell r="BI3674">
            <v>537</v>
          </cell>
          <cell r="BJ3674">
            <v>0</v>
          </cell>
        </row>
        <row r="3675">
          <cell r="D3675" t="str">
            <v>Vysoká škola ekonómie a manažmentu verejnej správy v Bratislave</v>
          </cell>
          <cell r="E3675">
            <v>0</v>
          </cell>
          <cell r="AN3675">
            <v>12</v>
          </cell>
          <cell r="AO3675">
            <v>12</v>
          </cell>
          <cell r="AP3675">
            <v>0</v>
          </cell>
          <cell r="AQ3675">
            <v>0</v>
          </cell>
          <cell r="AR3675">
            <v>12</v>
          </cell>
          <cell r="BF3675">
            <v>18</v>
          </cell>
          <cell r="BG3675">
            <v>18.72</v>
          </cell>
          <cell r="BH3675">
            <v>16.403478260869562</v>
          </cell>
          <cell r="BI3675">
            <v>12</v>
          </cell>
          <cell r="BJ3675">
            <v>0</v>
          </cell>
        </row>
        <row r="3676">
          <cell r="D3676" t="str">
            <v>Vysoká škola ekonómie a manažmentu verejnej správy v Bratislave</v>
          </cell>
          <cell r="E3676">
            <v>0</v>
          </cell>
          <cell r="AN3676">
            <v>19</v>
          </cell>
          <cell r="AO3676">
            <v>0</v>
          </cell>
          <cell r="AP3676">
            <v>0</v>
          </cell>
          <cell r="AQ3676">
            <v>0</v>
          </cell>
          <cell r="AR3676">
            <v>0</v>
          </cell>
          <cell r="BF3676">
            <v>0</v>
          </cell>
          <cell r="BG3676">
            <v>0</v>
          </cell>
          <cell r="BH3676">
            <v>0</v>
          </cell>
          <cell r="BI3676">
            <v>19</v>
          </cell>
          <cell r="BJ3676">
            <v>0</v>
          </cell>
        </row>
        <row r="3677">
          <cell r="D3677" t="str">
            <v>Vysoká škola ekonómie a manažmentu verejnej správy v Bratislave</v>
          </cell>
          <cell r="E3677">
            <v>0</v>
          </cell>
          <cell r="AN3677">
            <v>35</v>
          </cell>
          <cell r="AO3677">
            <v>35</v>
          </cell>
          <cell r="AP3677">
            <v>0</v>
          </cell>
          <cell r="AQ3677">
            <v>0</v>
          </cell>
          <cell r="AR3677">
            <v>35</v>
          </cell>
          <cell r="BF3677">
            <v>28.099999999999998</v>
          </cell>
          <cell r="BG3677">
            <v>29.224</v>
          </cell>
          <cell r="BH3677">
            <v>27.249113737075334</v>
          </cell>
          <cell r="BI3677">
            <v>35</v>
          </cell>
          <cell r="BJ3677">
            <v>0</v>
          </cell>
        </row>
        <row r="3678">
          <cell r="D3678" t="str">
            <v>Vysoká škola ekonómie a manažmentu verejnej správy v Bratislave</v>
          </cell>
          <cell r="E3678">
            <v>0</v>
          </cell>
          <cell r="AN3678">
            <v>26</v>
          </cell>
          <cell r="AO3678">
            <v>0</v>
          </cell>
          <cell r="AP3678">
            <v>0</v>
          </cell>
          <cell r="AQ3678">
            <v>0</v>
          </cell>
          <cell r="AR3678">
            <v>0</v>
          </cell>
          <cell r="BF3678">
            <v>0</v>
          </cell>
          <cell r="BG3678">
            <v>0</v>
          </cell>
          <cell r="BH3678">
            <v>0</v>
          </cell>
          <cell r="BI3678">
            <v>26</v>
          </cell>
          <cell r="BJ3678">
            <v>0</v>
          </cell>
        </row>
        <row r="3679">
          <cell r="D3679" t="str">
            <v>Vysoká škola ekonómie a manažmentu verejnej správy v Bratislave</v>
          </cell>
          <cell r="E3679">
            <v>0</v>
          </cell>
          <cell r="AN3679">
            <v>6</v>
          </cell>
          <cell r="AO3679">
            <v>0</v>
          </cell>
          <cell r="AP3679">
            <v>0</v>
          </cell>
          <cell r="AQ3679">
            <v>0</v>
          </cell>
          <cell r="AR3679">
            <v>0</v>
          </cell>
          <cell r="BF3679">
            <v>0</v>
          </cell>
          <cell r="BG3679">
            <v>0</v>
          </cell>
          <cell r="BH3679">
            <v>0</v>
          </cell>
          <cell r="BI3679">
            <v>6</v>
          </cell>
          <cell r="BJ3679">
            <v>0</v>
          </cell>
        </row>
        <row r="3680">
          <cell r="D3680" t="str">
            <v>Vysoká škola ekonómie a manažmentu verejnej správy v Bratislave</v>
          </cell>
          <cell r="E3680">
            <v>0</v>
          </cell>
          <cell r="AN3680">
            <v>15</v>
          </cell>
          <cell r="AO3680">
            <v>0</v>
          </cell>
          <cell r="AP3680">
            <v>0</v>
          </cell>
          <cell r="AQ3680">
            <v>0</v>
          </cell>
          <cell r="AR3680">
            <v>0</v>
          </cell>
          <cell r="BF3680">
            <v>0</v>
          </cell>
          <cell r="BG3680">
            <v>0</v>
          </cell>
          <cell r="BH3680">
            <v>0</v>
          </cell>
          <cell r="BI3680">
            <v>15</v>
          </cell>
          <cell r="BJ3680">
            <v>0</v>
          </cell>
        </row>
        <row r="3681">
          <cell r="D3681" t="str">
            <v>Vysoká škola ekonómie a manažmentu verejnej správy v Bratislave</v>
          </cell>
          <cell r="E3681">
            <v>0</v>
          </cell>
          <cell r="AN3681">
            <v>15</v>
          </cell>
          <cell r="AO3681">
            <v>15</v>
          </cell>
          <cell r="AP3681">
            <v>0</v>
          </cell>
          <cell r="AQ3681">
            <v>0</v>
          </cell>
          <cell r="AR3681">
            <v>15</v>
          </cell>
          <cell r="BF3681">
            <v>13.5</v>
          </cell>
          <cell r="BG3681">
            <v>14.040000000000001</v>
          </cell>
          <cell r="BH3681">
            <v>13.091211225997046</v>
          </cell>
          <cell r="BI3681">
            <v>15</v>
          </cell>
          <cell r="BJ3681">
            <v>0</v>
          </cell>
        </row>
        <row r="3682">
          <cell r="D3682" t="str">
            <v>Trenčianska univerzita Alexandra Dubčeka v Trenčíne</v>
          </cell>
          <cell r="E3682">
            <v>0</v>
          </cell>
          <cell r="AN3682">
            <v>1</v>
          </cell>
          <cell r="AO3682">
            <v>0</v>
          </cell>
          <cell r="AP3682">
            <v>0</v>
          </cell>
          <cell r="AQ3682">
            <v>0</v>
          </cell>
          <cell r="AR3682">
            <v>0</v>
          </cell>
          <cell r="BF3682">
            <v>0</v>
          </cell>
          <cell r="BG3682">
            <v>0</v>
          </cell>
          <cell r="BH3682">
            <v>0</v>
          </cell>
          <cell r="BI3682">
            <v>14</v>
          </cell>
          <cell r="BJ368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">
          <cell r="K3">
            <v>735000000</v>
          </cell>
          <cell r="L3" t="str">
            <v>Akadémia médií, odborná vysoká škola mediálnej a marketingovej komunikácie v Bratislave</v>
          </cell>
          <cell r="M3" t="str">
            <v>Ak-Medii</v>
          </cell>
        </row>
        <row r="4">
          <cell r="K4">
            <v>712000000</v>
          </cell>
          <cell r="L4" t="str">
            <v>Akadémia ozbrojených síl generála Milana Rastislava Štefánika</v>
          </cell>
          <cell r="M4" t="str">
            <v>AOS</v>
          </cell>
        </row>
        <row r="5">
          <cell r="K5">
            <v>712000000</v>
          </cell>
          <cell r="L5" t="str">
            <v>Akadémia ozbrojených síl generála Milana Rastislava Štefánika</v>
          </cell>
          <cell r="M5" t="str">
            <v>AOS</v>
          </cell>
        </row>
        <row r="6">
          <cell r="K6">
            <v>712000000</v>
          </cell>
          <cell r="L6" t="str">
            <v>Akadémia ozbrojených síl generála Milana Rastislava Štefánika v Liptovskom Mikuláši</v>
          </cell>
          <cell r="M6" t="str">
            <v>AOS</v>
          </cell>
        </row>
        <row r="7">
          <cell r="K7">
            <v>715000000</v>
          </cell>
          <cell r="L7" t="str">
            <v>Akadémia Policajného zboru</v>
          </cell>
          <cell r="M7" t="str">
            <v>APZ</v>
          </cell>
        </row>
        <row r="8">
          <cell r="K8">
            <v>718000000</v>
          </cell>
          <cell r="L8" t="str">
            <v>Akadémia umení v Banskej Bystrici</v>
          </cell>
          <cell r="M8" t="str">
            <v>AU</v>
          </cell>
        </row>
        <row r="9">
          <cell r="K9">
            <v>790000000</v>
          </cell>
          <cell r="L9" t="str">
            <v>Bankovní institut vysoká škola, a.s., Praha</v>
          </cell>
          <cell r="M9" t="str">
            <v>Ban-I-Praha</v>
          </cell>
        </row>
        <row r="10">
          <cell r="K10">
            <v>732000000</v>
          </cell>
          <cell r="L10" t="str">
            <v>Bratislavská medzinárodná škola liberálnych štúdií</v>
          </cell>
          <cell r="M10" t="str">
            <v>B-MšLš</v>
          </cell>
        </row>
        <row r="11">
          <cell r="K11">
            <v>727000000</v>
          </cell>
          <cell r="L11" t="str">
            <v>Bratislavská vysoká škola práva v Bratislave</v>
          </cell>
          <cell r="M11" t="str">
            <v>B-VšP</v>
          </cell>
        </row>
        <row r="12">
          <cell r="K12">
            <v>731000000</v>
          </cell>
          <cell r="L12" t="str">
            <v>Dubnický technologický inštitút v Dubnici nad Váhom</v>
          </cell>
          <cell r="M12" t="str">
            <v>DTI</v>
          </cell>
        </row>
        <row r="13">
          <cell r="K13">
            <v>703000000</v>
          </cell>
          <cell r="L13" t="str">
            <v>Ekonomická univerzita v Bratislave</v>
          </cell>
          <cell r="M13" t="str">
            <v>EU</v>
          </cell>
        </row>
        <row r="14">
          <cell r="K14">
            <v>794000000</v>
          </cell>
          <cell r="L14" t="str">
            <v>Hochschule Fresenius gGmbH</v>
          </cell>
          <cell r="M14"/>
        </row>
        <row r="15">
          <cell r="K15">
            <v>734000000</v>
          </cell>
          <cell r="L15" t="str">
            <v>Hudobná a umelecká akadémia Jána Albrechta - Banská Štiavnica, s.r.o, odborná vysoká škola</v>
          </cell>
          <cell r="M15" t="str">
            <v>HuaJA</v>
          </cell>
        </row>
        <row r="16">
          <cell r="K16">
            <v>795000000</v>
          </cell>
          <cell r="L16" t="str">
            <v>INSTITUT SUPÉRIEUR SPÉCIALISÉ DE LA MODE (MOD´SPÉ Paris)</v>
          </cell>
          <cell r="M16" t="str">
            <v>I-SUP</v>
          </cell>
        </row>
        <row r="17">
          <cell r="K17">
            <v>722000000</v>
          </cell>
          <cell r="L17" t="str">
            <v>Katolícka univerzita v Ružomberku</v>
          </cell>
          <cell r="M17" t="str">
            <v>KU</v>
          </cell>
        </row>
        <row r="18">
          <cell r="K18">
            <v>727000000</v>
          </cell>
          <cell r="L18" t="str">
            <v>Paneurópska vysoká škola</v>
          </cell>
          <cell r="M18" t="str">
            <v>Panvš</v>
          </cell>
        </row>
        <row r="19">
          <cell r="K19">
            <v>717000000</v>
          </cell>
          <cell r="L19" t="str">
            <v>Prešovská univerzita v Prešove</v>
          </cell>
          <cell r="M19" t="str">
            <v>PU</v>
          </cell>
        </row>
        <row r="20">
          <cell r="K20">
            <v>704000000</v>
          </cell>
          <cell r="L20" t="str">
            <v>Slovenská poľnohospodárska univerzita v Nitre</v>
          </cell>
          <cell r="M20" t="str">
            <v>SPU</v>
          </cell>
        </row>
        <row r="21">
          <cell r="K21">
            <v>702000000</v>
          </cell>
          <cell r="L21" t="str">
            <v>Slovenská technická univerzita v Bratislave</v>
          </cell>
          <cell r="M21" t="str">
            <v>STU</v>
          </cell>
        </row>
        <row r="22">
          <cell r="K22">
            <v>723000000</v>
          </cell>
          <cell r="L22" t="str">
            <v>Slovenská zdravotnícka univerzita v Bratislave</v>
          </cell>
          <cell r="M22" t="str">
            <v>SZU</v>
          </cell>
        </row>
        <row r="23">
          <cell r="K23">
            <v>796000000</v>
          </cell>
          <cell r="L23" t="str">
            <v>Staropolska Szkoła Wyższa w Kielcach</v>
          </cell>
          <cell r="M23"/>
        </row>
        <row r="24">
          <cell r="K24">
            <v>730000000</v>
          </cell>
          <cell r="L24" t="str">
            <v>Stredoeurópska vysoká škola v Skalici</v>
          </cell>
          <cell r="M24" t="str">
            <v>Svš-Skal</v>
          </cell>
        </row>
        <row r="25">
          <cell r="K25">
            <v>709000000</v>
          </cell>
          <cell r="L25" t="str">
            <v>Technická univerzita v Košiciach</v>
          </cell>
          <cell r="M25" t="str">
            <v>TUKE</v>
          </cell>
        </row>
        <row r="26">
          <cell r="K26">
            <v>705000000</v>
          </cell>
          <cell r="L26" t="str">
            <v>Technická univerzita vo Zvolene</v>
          </cell>
          <cell r="M26" t="str">
            <v>TUZVO</v>
          </cell>
        </row>
        <row r="27">
          <cell r="K27">
            <v>719000000</v>
          </cell>
          <cell r="L27" t="str">
            <v>Trenčianska univerzita Alexandra Dubčeka v Trenčíne</v>
          </cell>
          <cell r="M27" t="str">
            <v>TUAD</v>
          </cell>
        </row>
        <row r="28">
          <cell r="K28">
            <v>713000000</v>
          </cell>
          <cell r="L28" t="str">
            <v>Trnavská univerzita v Trnave</v>
          </cell>
          <cell r="M28" t="str">
            <v>TVU</v>
          </cell>
        </row>
        <row r="29">
          <cell r="K29">
            <v>725000000</v>
          </cell>
          <cell r="L29" t="str">
            <v>Univerzita J. Selyeho</v>
          </cell>
          <cell r="M29" t="str">
            <v>UJS</v>
          </cell>
        </row>
        <row r="30">
          <cell r="K30">
            <v>701000000</v>
          </cell>
          <cell r="L30" t="str">
            <v>Univerzita Komenského v Bratislave</v>
          </cell>
          <cell r="M30" t="str">
            <v>UK</v>
          </cell>
        </row>
        <row r="31">
          <cell r="K31">
            <v>716000000</v>
          </cell>
          <cell r="L31" t="str">
            <v>Univerzita Konštantína Filozofa v Nitre</v>
          </cell>
          <cell r="M31" t="str">
            <v>UKF</v>
          </cell>
        </row>
        <row r="32">
          <cell r="K32">
            <v>714000000</v>
          </cell>
          <cell r="L32" t="str">
            <v>Univerzita Mateja Bela v Banskej Bystrici</v>
          </cell>
          <cell r="M32" t="str">
            <v>UMB</v>
          </cell>
        </row>
        <row r="33">
          <cell r="K33">
            <v>792000000</v>
          </cell>
          <cell r="L33" t="str">
            <v>Univerzita Palackého v Olomouci</v>
          </cell>
          <cell r="M33" t="str">
            <v>UP-Olom</v>
          </cell>
        </row>
        <row r="34">
          <cell r="K34">
            <v>711000000</v>
          </cell>
          <cell r="L34" t="str">
            <v>Univerzita Pavla Jozefa Šafárika v Košiciach</v>
          </cell>
          <cell r="M34" t="str">
            <v>UPJŠ</v>
          </cell>
        </row>
        <row r="35">
          <cell r="K35">
            <v>720000000</v>
          </cell>
          <cell r="L35" t="str">
            <v>Univerzita sv. Cyrila a Metoda v Trnave</v>
          </cell>
          <cell r="M35" t="str">
            <v>UCM</v>
          </cell>
        </row>
        <row r="36">
          <cell r="K36">
            <v>708000000</v>
          </cell>
          <cell r="L36" t="str">
            <v>Univerzita veterinárskeho lekárstva a farmácie v Košiciach</v>
          </cell>
          <cell r="M36" t="str">
            <v>UVLF</v>
          </cell>
        </row>
        <row r="37">
          <cell r="K37">
            <v>733000000</v>
          </cell>
          <cell r="L37" t="str">
            <v>Vysoká škola bezpečnostného manažérstva v Košiciach</v>
          </cell>
          <cell r="M37" t="str">
            <v>VSBM</v>
          </cell>
        </row>
        <row r="38">
          <cell r="K38">
            <v>728000000</v>
          </cell>
          <cell r="L38" t="str">
            <v>Vysoká škola Danubius</v>
          </cell>
          <cell r="M38" t="str">
            <v>Danubius</v>
          </cell>
        </row>
        <row r="39">
          <cell r="K39">
            <v>731000000</v>
          </cell>
          <cell r="L39" t="str">
            <v>Vysoká škola DTI</v>
          </cell>
          <cell r="M39" t="str">
            <v>DTI</v>
          </cell>
        </row>
        <row r="40">
          <cell r="K40">
            <v>726000000</v>
          </cell>
          <cell r="L40" t="str">
            <v>Vysoká škola ekonómie a manažmentu verejnej správy v Bratislave</v>
          </cell>
          <cell r="M40" t="str">
            <v>VšEaM</v>
          </cell>
        </row>
        <row r="41">
          <cell r="K41">
            <v>936000000</v>
          </cell>
          <cell r="L41" t="str">
            <v>Vysoká škola filmovej tvorby a multimédií</v>
          </cell>
          <cell r="M41" t="str">
            <v>VSFTM</v>
          </cell>
        </row>
        <row r="42">
          <cell r="K42">
            <v>736000000</v>
          </cell>
          <cell r="L42" t="str">
            <v>Vysoká škola Goethe Uni Bratislava</v>
          </cell>
          <cell r="M42" t="str">
            <v>Gothe</v>
          </cell>
        </row>
        <row r="43">
          <cell r="K43">
            <v>793000000</v>
          </cell>
          <cell r="L43" t="str">
            <v>Vysoká škola hotelová v Praze 8, s. r. o.</v>
          </cell>
          <cell r="M43"/>
        </row>
        <row r="44">
          <cell r="K44">
            <v>721000000</v>
          </cell>
          <cell r="L44" t="str">
            <v>Vysoká škola manažmentu v Trenčíne</v>
          </cell>
          <cell r="M44" t="str">
            <v>VSM-Trenčin</v>
          </cell>
        </row>
        <row r="45">
          <cell r="K45">
            <v>729000000</v>
          </cell>
          <cell r="L45" t="str">
            <v>Vysoká škola medzinárodného podnikania ISM Slovakia v Prešove</v>
          </cell>
          <cell r="M45" t="str">
            <v>ISM</v>
          </cell>
        </row>
        <row r="46">
          <cell r="K46">
            <v>791000000</v>
          </cell>
          <cell r="L46" t="str">
            <v>Vysoká škola medzinárodných a veřejných vztahů Praha, o. p. s.</v>
          </cell>
          <cell r="M46"/>
        </row>
        <row r="47">
          <cell r="K47">
            <v>707000000</v>
          </cell>
          <cell r="L47" t="str">
            <v>Vysoká škola múzických umení v Bratislave</v>
          </cell>
          <cell r="M47" t="str">
            <v>VŠMU</v>
          </cell>
        </row>
        <row r="48">
          <cell r="K48">
            <v>728000000</v>
          </cell>
          <cell r="L48" t="str">
            <v>Vysoká škola v Sládkovičove</v>
          </cell>
          <cell r="M48" t="str">
            <v>VS-Sladk</v>
          </cell>
        </row>
        <row r="49">
          <cell r="K49">
            <v>706000000</v>
          </cell>
          <cell r="L49" t="str">
            <v>Vysoká škola výtvarných umení v Bratislave</v>
          </cell>
          <cell r="M49" t="str">
            <v>VŠVU</v>
          </cell>
        </row>
        <row r="50">
          <cell r="K50">
            <v>724000000</v>
          </cell>
          <cell r="L50" t="str">
            <v>Vysoká škola zdravotníctva a sociálnej práce sv. Alžbety v Bratislave</v>
          </cell>
          <cell r="M50" t="str">
            <v>VSZSP-Alžbety</v>
          </cell>
        </row>
        <row r="51">
          <cell r="K51">
            <v>710000000</v>
          </cell>
          <cell r="L51" t="str">
            <v>Žilinská univerzita v Žiline</v>
          </cell>
          <cell r="M51" t="str">
            <v>ŽU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-vstupy"/>
      <sheetName val="T16-KKŠ_2021"/>
      <sheetName val="T16-KKŠ_2020"/>
    </sheetNames>
    <sheetDataSet>
      <sheetData sheetId="0">
        <row r="39">
          <cell r="C39">
            <v>2</v>
          </cell>
        </row>
        <row r="40">
          <cell r="C40">
            <v>1.66</v>
          </cell>
        </row>
        <row r="41">
          <cell r="C41">
            <v>1.33</v>
          </cell>
        </row>
        <row r="42">
          <cell r="C42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  <sheetName val="Evidenč.počty zam. STU"/>
    </sheetNames>
    <sheetDataSet>
      <sheetData sheetId="0"/>
      <sheetData sheetId="1"/>
      <sheetData sheetId="2"/>
      <sheetData sheetId="3">
        <row r="5">
          <cell r="B5">
            <v>1</v>
          </cell>
        </row>
      </sheetData>
      <sheetData sheetId="4"/>
      <sheetData sheetId="5"/>
      <sheetData sheetId="6">
        <row r="4">
          <cell r="C4">
            <v>580046052</v>
          </cell>
        </row>
        <row r="69">
          <cell r="C69">
            <v>159428271</v>
          </cell>
        </row>
        <row r="80">
          <cell r="C80">
            <v>0.43</v>
          </cell>
        </row>
      </sheetData>
      <sheetData sheetId="7"/>
      <sheetData sheetId="8"/>
      <sheetData sheetId="9"/>
      <sheetData sheetId="10">
        <row r="1">
          <cell r="E1" t="str">
            <v>stupeň</v>
          </cell>
        </row>
      </sheetData>
      <sheetData sheetId="11"/>
      <sheetData sheetId="12">
        <row r="1">
          <cell r="L1" t="str">
            <v>den,ext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4">
          <cell r="E4">
            <v>22.205261288144847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K3">
            <v>13387.319125</v>
          </cell>
        </row>
      </sheetData>
      <sheetData sheetId="31">
        <row r="14">
          <cell r="I14">
            <v>0.88288704465140244</v>
          </cell>
        </row>
      </sheetData>
      <sheetData sheetId="32">
        <row r="5">
          <cell r="I5">
            <v>24.056810313773912</v>
          </cell>
        </row>
      </sheetData>
      <sheetData sheetId="33"/>
      <sheetData sheetId="34"/>
      <sheetData sheetId="35">
        <row r="5">
          <cell r="E5">
            <v>21120969.530000001</v>
          </cell>
        </row>
      </sheetData>
      <sheetData sheetId="36"/>
      <sheetData sheetId="37">
        <row r="1">
          <cell r="A1" t="str">
            <v>17,12,2020</v>
          </cell>
        </row>
      </sheetData>
      <sheetData sheetId="38">
        <row r="1">
          <cell r="A1" t="str">
            <v>10,11,2020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C4">
            <v>25.018949026609555</v>
          </cell>
        </row>
      </sheetData>
      <sheetData sheetId="48">
        <row r="29">
          <cell r="G29">
            <v>6.2153807180309245E-2</v>
          </cell>
        </row>
      </sheetData>
      <sheetData sheetId="49"/>
      <sheetData sheetId="50"/>
      <sheetData sheetId="51">
        <row r="3">
          <cell r="K3">
            <v>735000000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kulas Bittera" id="{AC394CFA-8E8E-44FF-8CD4-189DC4092868}" userId="S::mikulas.bittera@stuba.sk::6442e7fb-b727-48a9-a4ac-d6bda5011508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5" dT="2021-03-19T17:28:40.31" personId="{AC394CFA-8E8E-44FF-8CD4-189DC4092868}" id="{092E89CC-4E85-4707-9025-D7468C26452A}">
    <text>Aj s valorizáciou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" dT="2021-02-12T20:56:28.15" personId="{AC394CFA-8E8E-44FF-8CD4-189DC4092868}" id="{1C51FB37-4E15-4F87-9E88-DF644CC0F23F}">
    <text>Stlpec L "Vyk. dot 2020" v zosite "Mzdy_2020_50,30,20" subor "Priloha_1_RD_2020_V6 (AS) - je to bez odvodov</text>
  </threadedComment>
  <threadedComment ref="D3" dT="2021-02-12T20:30:02.40" personId="{AC394CFA-8E8E-44FF-8CD4-189DC4092868}" id="{D1A7577B-FCBD-4D09-9460-71358FFF35D4}">
    <text>Stlpec L "Dot 2019bez ucel" v zosite "Mzdy_2019_50,30,20" subor "Priloha_1_RD_2019_V4 (AS) - je to bez odvodov</text>
  </threadedComment>
  <threadedComment ref="G3" dT="2021-02-12T20:59:07.45" personId="{AC394CFA-8E8E-44FF-8CD4-189DC4092868}" id="{05A48440-F436-4BC7-BE04-65B93C5A6930}">
    <text>Stlpec K "Vysled.SD20" v zosite "TaS_2020_50,30,20" subor "Priloha_1_RD_2020_V6 (AS)</text>
  </threadedComment>
  <threadedComment ref="H3" dT="2021-02-12T20:37:01.74" personId="{AC394CFA-8E8E-44FF-8CD4-189DC4092868}" id="{FD0C6DA7-D9E0-4875-AAEE-BF86C795318A}">
    <text>Stlpec K "Vysled.SD19" v zosite "TaS_2019_50,30,20" subor "Priloha_1_RD_2019_V4 (AS)</text>
  </threadedComment>
  <threadedComment ref="K3" dT="2021-02-12T21:02:13.38" personId="{AC394CFA-8E8E-44FF-8CD4-189DC4092868}" id="{448FA67C-50DA-40E6-A893-AB935C215EC8}">
    <text>Stlpec L "Vysledna dotacia 2019 dla" v zosite "077 12 rozpis" subor "Priloha_1_RD_2020_V6 (AS)</text>
  </threadedComment>
  <threadedComment ref="L3" dT="2021-02-12T20:43:04.21" personId="{AC394CFA-8E8E-44FF-8CD4-189DC4092868}" id="{A932612E-405C-461A-8607-0C7AC9F71681}">
    <text>Stlpec L "Vysledna dotacia 2019" v zosite "077 12 rozpis" subor "Priloha_1_RD_2019_V4 (AS)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5" dT="2021-04-12T21:11:47.47" personId="{AC394CFA-8E8E-44FF-8CD4-189DC4092868}" id="{BDC27FFA-1ED8-40D2-A120-16BAB35A0901}">
    <text>Suma bez akceptovaných špecifík 92.755,- a základného príspevku na dotáciu 100.000,-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7" dT="2021-03-04T06:28:00.18" personId="{AC394CFA-8E8E-44FF-8CD4-189DC4092868}" id="{D3C8557A-3356-4D2A-AB22-11A21FB93295}">
    <text>Zatial nevieme, ale da sa kedykolvek dosadit</text>
  </threadedComment>
  <threadedComment ref="H28" dT="2021-03-04T06:15:40.57" personId="{AC394CFA-8E8E-44FF-8CD4-189DC4092868}" id="{DF35DEB7-6526-4E0A-AE10-013848B18932}">
    <text>Podľa koeficientu pre STU z RD2021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B3" dT="2021-02-18T15:42:43.68" personId="{AC394CFA-8E8E-44FF-8CD4-189DC4092868}" id="{5575919A-E0FB-4918-A258-F39E13002D10}">
    <text>Podla realnych podielov</text>
  </threadedComment>
  <threadedComment ref="AL40" dT="2021-02-13T13:36:34.45" personId="{AC394CFA-8E8E-44FF-8CD4-189DC4092868}" id="{9CB3AF9A-B59A-45B2-91A7-2A1867BB8713}">
    <text>+ Valorizacia 1,797,568,-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49" dT="2021-02-13T20:20:24.57" personId="{AC394CFA-8E8E-44FF-8CD4-189DC4092868}" id="{1F705885-83D1-4BA2-80BC-89F39EFA044A}">
    <text>Za 2017 este nebolo oddelene UVP a UM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Relationship Id="rId4" Type="http://schemas.microsoft.com/office/2017/10/relationships/threadedComment" Target="../threadedComments/threadedComment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Y2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M17" sqref="M17"/>
    </sheetView>
  </sheetViews>
  <sheetFormatPr defaultColWidth="9.28515625" defaultRowHeight="12.75"/>
  <cols>
    <col min="1" max="1" width="3.28515625" style="355" customWidth="1"/>
    <col min="2" max="2" width="39.42578125" style="355" customWidth="1"/>
    <col min="3" max="3" width="11.5703125" style="374" customWidth="1"/>
    <col min="4" max="12" width="10.5703125" style="355" customWidth="1"/>
    <col min="13" max="13" width="11.5703125" style="360" customWidth="1"/>
    <col min="14" max="15" width="11.5703125" style="355" customWidth="1"/>
    <col min="16" max="17" width="11.5703125" style="360" customWidth="1"/>
    <col min="18" max="18" width="12.28515625" style="360" customWidth="1"/>
    <col min="19" max="19" width="12" style="355" customWidth="1"/>
    <col min="20" max="20" width="14.7109375" style="355" hidden="1" customWidth="1"/>
    <col min="21" max="21" width="13.5703125" style="355" hidden="1" customWidth="1"/>
    <col min="22" max="22" width="14.42578125" style="355" hidden="1" customWidth="1"/>
    <col min="23" max="23" width="8.42578125" style="355" customWidth="1"/>
    <col min="24" max="24" width="7.5703125" style="355" customWidth="1"/>
    <col min="25" max="16384" width="9.28515625" style="355"/>
  </cols>
  <sheetData>
    <row r="1" spans="1:25" ht="47.65" customHeight="1">
      <c r="B1" s="1346" t="s">
        <v>430</v>
      </c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46"/>
      <c r="Q1" s="1346"/>
      <c r="R1" s="1346"/>
      <c r="S1" s="1346"/>
    </row>
    <row r="2" spans="1:25" s="361" customFormat="1" ht="13.5" thickBot="1">
      <c r="B2" s="362"/>
      <c r="C2" s="363"/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364"/>
      <c r="O2" s="364"/>
      <c r="P2" s="366"/>
      <c r="Q2" s="366"/>
      <c r="R2" s="366"/>
      <c r="S2" s="367"/>
    </row>
    <row r="3" spans="1:25" ht="38.25" customHeight="1" thickBot="1">
      <c r="B3" s="375" t="s">
        <v>206</v>
      </c>
      <c r="C3" s="444" t="s">
        <v>207</v>
      </c>
      <c r="D3" s="376" t="s">
        <v>56</v>
      </c>
      <c r="E3" s="376" t="s">
        <v>57</v>
      </c>
      <c r="F3" s="376" t="s">
        <v>387</v>
      </c>
      <c r="G3" s="376" t="s">
        <v>59</v>
      </c>
      <c r="H3" s="377" t="s">
        <v>62</v>
      </c>
      <c r="I3" s="376" t="s">
        <v>60</v>
      </c>
      <c r="J3" s="376" t="s">
        <v>61</v>
      </c>
      <c r="K3" s="378" t="s">
        <v>208</v>
      </c>
      <c r="L3" s="376" t="s">
        <v>205</v>
      </c>
      <c r="M3" s="1019" t="s">
        <v>246</v>
      </c>
      <c r="N3" s="378" t="s">
        <v>360</v>
      </c>
      <c r="O3" s="379" t="s">
        <v>209</v>
      </c>
      <c r="P3" s="380" t="s">
        <v>411</v>
      </c>
      <c r="Q3" s="380" t="s">
        <v>439</v>
      </c>
      <c r="R3" s="380" t="s">
        <v>16</v>
      </c>
      <c r="S3" s="432" t="s">
        <v>229</v>
      </c>
      <c r="T3" s="368"/>
      <c r="U3" s="368"/>
      <c r="V3" s="368"/>
    </row>
    <row r="4" spans="1:25" ht="11.65" customHeight="1" thickBot="1">
      <c r="B4" s="369"/>
      <c r="C4" s="445"/>
      <c r="D4" s="370"/>
      <c r="E4" s="371"/>
      <c r="F4" s="371"/>
      <c r="G4" s="371"/>
      <c r="H4" s="371"/>
      <c r="I4" s="371"/>
      <c r="J4" s="371"/>
      <c r="K4" s="371"/>
      <c r="L4" s="371"/>
      <c r="M4" s="372"/>
      <c r="N4" s="371"/>
      <c r="O4" s="371"/>
      <c r="P4" s="373"/>
      <c r="Q4" s="373"/>
      <c r="R4" s="373"/>
      <c r="S4" s="433"/>
    </row>
    <row r="5" spans="1:25" ht="29.65" customHeight="1" thickBot="1">
      <c r="B5" s="381" t="s">
        <v>214</v>
      </c>
      <c r="C5" s="446">
        <f>C6+C14+C19</f>
        <v>69123752.502000004</v>
      </c>
      <c r="D5" s="383">
        <f t="shared" ref="D5:R5" si="0">D6+D14+D18+D19</f>
        <v>4211043.7691388261</v>
      </c>
      <c r="E5" s="382">
        <f t="shared" si="0"/>
        <v>12297573.558104785</v>
      </c>
      <c r="F5" s="383">
        <f t="shared" si="0"/>
        <v>12054413.282506274</v>
      </c>
      <c r="G5" s="382">
        <f t="shared" si="0"/>
        <v>4111886.0371986912</v>
      </c>
      <c r="H5" s="383">
        <f t="shared" si="0"/>
        <v>8691429.664533332</v>
      </c>
      <c r="I5" s="382">
        <f t="shared" si="0"/>
        <v>11917324.297987526</v>
      </c>
      <c r="J5" s="383">
        <f t="shared" si="0"/>
        <v>4669428.3745686803</v>
      </c>
      <c r="K5" s="382">
        <f t="shared" si="0"/>
        <v>1006336.6539835637</v>
      </c>
      <c r="L5" s="383">
        <f t="shared" si="0"/>
        <v>243618.97446018099</v>
      </c>
      <c r="M5" s="382">
        <f t="shared" si="0"/>
        <v>59203054.612481862</v>
      </c>
      <c r="N5" s="383">
        <f t="shared" si="0"/>
        <v>3895061.1110737082</v>
      </c>
      <c r="O5" s="382">
        <f t="shared" si="0"/>
        <v>2976577.15</v>
      </c>
      <c r="P5" s="383">
        <f t="shared" si="0"/>
        <v>1595359.9264444443</v>
      </c>
      <c r="Q5" s="382">
        <f t="shared" si="0"/>
        <v>1453700.03</v>
      </c>
      <c r="R5" s="382">
        <f t="shared" si="0"/>
        <v>69123752.830000013</v>
      </c>
      <c r="S5" s="434">
        <v>68916709</v>
      </c>
    </row>
    <row r="6" spans="1:25" ht="30" customHeight="1" thickBot="1">
      <c r="B6" s="865" t="s">
        <v>215</v>
      </c>
      <c r="C6" s="866">
        <f>C7+C10+C11+C12</f>
        <v>37922800.502000004</v>
      </c>
      <c r="D6" s="867">
        <f>SUM(D8:D13)</f>
        <v>2942217.6573903742</v>
      </c>
      <c r="E6" s="868">
        <f t="shared" ref="E6:L6" si="1">SUM(E8:E13)</f>
        <v>6320370.213039279</v>
      </c>
      <c r="F6" s="867">
        <f t="shared" si="1"/>
        <v>6401371.0253684223</v>
      </c>
      <c r="G6" s="868">
        <f t="shared" si="1"/>
        <v>3092349.0765392375</v>
      </c>
      <c r="H6" s="867">
        <f t="shared" si="1"/>
        <v>5291367.3137226282</v>
      </c>
      <c r="I6" s="868">
        <f t="shared" si="1"/>
        <v>6916088.4579336513</v>
      </c>
      <c r="J6" s="867">
        <f t="shared" si="1"/>
        <v>2673333.0182453468</v>
      </c>
      <c r="K6" s="868">
        <f t="shared" si="1"/>
        <v>504553.00212568167</v>
      </c>
      <c r="L6" s="867">
        <f t="shared" si="1"/>
        <v>91263.804057275032</v>
      </c>
      <c r="M6" s="868">
        <f>SUM(M8:M13)</f>
        <v>34232913.568421893</v>
      </c>
      <c r="N6" s="867">
        <f t="shared" ref="N6:R6" si="2">SUM(N8:N13)</f>
        <v>2691122.2515781135</v>
      </c>
      <c r="O6" s="868">
        <f t="shared" si="2"/>
        <v>0.03</v>
      </c>
      <c r="P6" s="867">
        <f t="shared" si="2"/>
        <v>948764.98199999996</v>
      </c>
      <c r="Q6" s="868">
        <f t="shared" si="2"/>
        <v>50000.03</v>
      </c>
      <c r="R6" s="868">
        <f t="shared" si="2"/>
        <v>37922800.862000011</v>
      </c>
      <c r="S6" s="869">
        <v>37953044</v>
      </c>
    </row>
    <row r="7" spans="1:25" ht="20.100000000000001" customHeight="1" thickTop="1">
      <c r="B7" s="860" t="s">
        <v>216</v>
      </c>
      <c r="C7" s="861">
        <f>C8</f>
        <v>23429936</v>
      </c>
      <c r="D7" s="862">
        <f>SUM(D8:D9)</f>
        <v>1884922.0203300016</v>
      </c>
      <c r="E7" s="863">
        <f t="shared" ref="E7:L7" si="3">SUM(E8:E9)</f>
        <v>4048904.9870570586</v>
      </c>
      <c r="F7" s="862">
        <f t="shared" si="3"/>
        <v>4216096.0275750067</v>
      </c>
      <c r="G7" s="863">
        <f t="shared" si="3"/>
        <v>1910931.4408966582</v>
      </c>
      <c r="H7" s="862">
        <f t="shared" si="3"/>
        <v>3373039.7853988861</v>
      </c>
      <c r="I7" s="863">
        <f t="shared" si="3"/>
        <v>4450944.1583685484</v>
      </c>
      <c r="J7" s="862">
        <f t="shared" si="3"/>
        <v>1667289.2598369024</v>
      </c>
      <c r="K7" s="863">
        <f t="shared" si="3"/>
        <v>325543.45433650247</v>
      </c>
      <c r="L7" s="862">
        <f t="shared" si="3"/>
        <v>67088.866200441087</v>
      </c>
      <c r="M7" s="863">
        <f>SUM(D7:L7)</f>
        <v>21944760.000000004</v>
      </c>
      <c r="N7" s="862">
        <f t="shared" ref="N7:Q7" si="4">SUM(N8:N9)</f>
        <v>1350000</v>
      </c>
      <c r="O7" s="863">
        <f t="shared" si="4"/>
        <v>0</v>
      </c>
      <c r="P7" s="862">
        <f t="shared" si="4"/>
        <v>135176</v>
      </c>
      <c r="Q7" s="863">
        <f t="shared" si="4"/>
        <v>0</v>
      </c>
      <c r="R7" s="863">
        <f>SUM(M7:Q7)</f>
        <v>23429936.000000004</v>
      </c>
      <c r="S7" s="864">
        <v>23571233</v>
      </c>
    </row>
    <row r="8" spans="1:25" ht="20.100000000000001" customHeight="1">
      <c r="B8" s="854" t="s">
        <v>354</v>
      </c>
      <c r="C8" s="853">
        <v>23429936</v>
      </c>
      <c r="D8" s="851">
        <f>'5. TM_%'!E5*'3. R-STU'!$F$19</f>
        <v>1884922.0203300016</v>
      </c>
      <c r="E8" s="389">
        <f>'5. TM_%'!E6*'3. R-STU'!$F$19</f>
        <v>4028624.9870570586</v>
      </c>
      <c r="F8" s="851">
        <f>'5. TM_%'!E7*'3. R-STU'!$F$19</f>
        <v>4216096.0275750067</v>
      </c>
      <c r="G8" s="389">
        <f>'5. TM_%'!E8*'3. R-STU'!$F$19</f>
        <v>1890651.4408966582</v>
      </c>
      <c r="H8" s="851">
        <f>'5. TM_%'!E11*'3. R-STU'!$F$19</f>
        <v>3352759.7853988861</v>
      </c>
      <c r="I8" s="389">
        <f>'5. TM_%'!E9*'3. R-STU'!$F$19</f>
        <v>4430664.1583685484</v>
      </c>
      <c r="J8" s="851">
        <f>'5. TM_%'!E10*'3. R-STU'!$F$19</f>
        <v>1667289.2598369024</v>
      </c>
      <c r="K8" s="389">
        <f>'5. TM_%'!E12*'3. R-STU'!$F$19</f>
        <v>325543.45433650247</v>
      </c>
      <c r="L8" s="851">
        <f>'5. TM_%'!E13*'3. R-STU'!$F$19</f>
        <v>67088.866200441087</v>
      </c>
      <c r="M8" s="389">
        <f t="shared" ref="M8:M9" si="5">SUM(D8:L8)</f>
        <v>21863640.000000004</v>
      </c>
      <c r="N8" s="851">
        <f>'5. TM_%'!E14*'3. R-STU'!$F$19</f>
        <v>0</v>
      </c>
      <c r="O8" s="389">
        <v>0</v>
      </c>
      <c r="P8" s="851">
        <v>0</v>
      </c>
      <c r="Q8" s="1096"/>
      <c r="R8" s="389">
        <f>SUM(M8:Q8)</f>
        <v>21863640.000000004</v>
      </c>
      <c r="S8" s="435">
        <v>23571233</v>
      </c>
    </row>
    <row r="9" spans="1:25" ht="20.100000000000001" customHeight="1">
      <c r="B9" s="855" t="s">
        <v>210</v>
      </c>
      <c r="C9" s="857" t="s">
        <v>355</v>
      </c>
      <c r="D9" s="851">
        <f>SUMIFS('4. Aktivity'!$B$4:$B$112,'4. Aktivity'!$D$4:$D$112,"fad",'4. Aktivity'!$C$4:$C$112,"M")</f>
        <v>0</v>
      </c>
      <c r="E9" s="389">
        <f>SUMIFS('4. Aktivity'!$B$4:$B$112,'4. Aktivity'!$D$4:$D$112,"fei",'4. Aktivity'!$C$4:$C$112,"M")</f>
        <v>20280</v>
      </c>
      <c r="F9" s="851">
        <f>SUMIFS('4. Aktivity'!$B$4:$B$112,'4. Aktivity'!$D$4:$D$112,"fchpt",'4. Aktivity'!$C$4:$C$112,"M")</f>
        <v>0</v>
      </c>
      <c r="G9" s="389">
        <f>SUMIFS('4. Aktivity'!$B$4:$B$112,'4. Aktivity'!$D$4:$D$112,"fiit",'4. Aktivity'!$C$4:$C$112,"M")</f>
        <v>20280</v>
      </c>
      <c r="H9" s="851">
        <f>SUMIFS('4. Aktivity'!$B$4:$B$112,'4. Aktivity'!$D$4:$D$112,"mtf",'4. Aktivity'!$C$4:$C$112,"M")</f>
        <v>20280</v>
      </c>
      <c r="I9" s="389">
        <f>SUMIFS('4. Aktivity'!$B$4:$B$112,'4. Aktivity'!$D$4:$D$112,"svf",'4. Aktivity'!$C$4:$C$112,"M")</f>
        <v>20280</v>
      </c>
      <c r="J9" s="851">
        <f>SUMIFS('4. Aktivity'!$B$4:$B$112,'4. Aktivity'!$D$4:$D$112,"sjf",'4. Aktivity'!$C$4:$C$112,"M")</f>
        <v>0</v>
      </c>
      <c r="K9" s="389">
        <f>SUMIFS('4. Aktivity'!$B$4:$B$112,'4. Aktivity'!$D$4:$D$112,"um",'4. Aktivity'!$C$4:$C$112,"M")</f>
        <v>0</v>
      </c>
      <c r="L9" s="851">
        <f>SUMIFS('4. Aktivity'!$B$4:$B$112,'4. Aktivity'!$D$4:$D$112,"nc",'4. Aktivity'!$C$4:$C$112,"M")</f>
        <v>0</v>
      </c>
      <c r="M9" s="389">
        <f t="shared" si="5"/>
        <v>81120</v>
      </c>
      <c r="N9" s="851">
        <f>SUMIFS('3. R-STU'!$C$5:$C$14,'3. R-STU'!$E$5:$E$14,"rek",'3. R-STU'!$D$5:$D$14,"M")</f>
        <v>1350000</v>
      </c>
      <c r="O9" s="389">
        <f>SUMIFS('3. R-STU'!$C$5:$C$10,'3. R-STU'!$E$5:$E$10,"sd",'3. R-STU'!$D$5:$D$10,"M")</f>
        <v>0</v>
      </c>
      <c r="P9" s="851">
        <f>SUMIFS('4. Aktivity'!$B$4:$B$112,'4. Aktivity'!$D$4:$D$112,"stu",'4. Aktivity'!$C$4:$C$112,"M")</f>
        <v>135176</v>
      </c>
      <c r="Q9" s="1096">
        <f>SUMIFS('4. Aktivity'!$B$4:$B$112,'4. Aktivity'!$D$4:$D$112,"f",'4. Aktivity'!$C$4:$C$112,"M")</f>
        <v>0</v>
      </c>
      <c r="R9" s="389">
        <f>SUM(M9:Q9)</f>
        <v>1566296</v>
      </c>
      <c r="S9" s="852">
        <v>1579223</v>
      </c>
    </row>
    <row r="10" spans="1:25" ht="20.100000000000001" customHeight="1" thickBot="1">
      <c r="B10" s="871" t="s">
        <v>232</v>
      </c>
      <c r="C10" s="872">
        <f>C8*0.352+0.03</f>
        <v>8247337.5019999994</v>
      </c>
      <c r="D10" s="873">
        <f>D7*0.352+$U10</f>
        <v>663492.58115616057</v>
      </c>
      <c r="E10" s="874">
        <f t="shared" ref="E10:Q10" si="6">E7*0.352+$U10</f>
        <v>1425214.5854440846</v>
      </c>
      <c r="F10" s="873">
        <f t="shared" si="6"/>
        <v>1484065.8317064024</v>
      </c>
      <c r="G10" s="874">
        <f t="shared" si="6"/>
        <v>672647.89719562372</v>
      </c>
      <c r="H10" s="873">
        <f t="shared" si="6"/>
        <v>1187310.0344604079</v>
      </c>
      <c r="I10" s="874">
        <f t="shared" si="6"/>
        <v>1566732.373745729</v>
      </c>
      <c r="J10" s="873">
        <f t="shared" si="6"/>
        <v>586885.8494625896</v>
      </c>
      <c r="K10" s="874">
        <f t="shared" si="6"/>
        <v>114591.32592644886</v>
      </c>
      <c r="L10" s="873">
        <f t="shared" si="6"/>
        <v>23615.310902555259</v>
      </c>
      <c r="M10" s="874">
        <f>SUM(D10:L10)</f>
        <v>7724555.7900000019</v>
      </c>
      <c r="N10" s="873">
        <f t="shared" si="6"/>
        <v>475200.03</v>
      </c>
      <c r="O10" s="874">
        <f t="shared" si="6"/>
        <v>0.03</v>
      </c>
      <c r="P10" s="873">
        <f t="shared" si="6"/>
        <v>47581.981999999996</v>
      </c>
      <c r="Q10" s="874">
        <f t="shared" si="6"/>
        <v>0.03</v>
      </c>
      <c r="R10" s="874">
        <f>SUM(M10:Q10)</f>
        <v>8247337.8620000025</v>
      </c>
      <c r="S10" s="875">
        <v>8297074</v>
      </c>
      <c r="U10" s="355">
        <v>0.03</v>
      </c>
    </row>
    <row r="11" spans="1:25" ht="19.350000000000001" customHeight="1" thickTop="1">
      <c r="B11" s="870" t="s">
        <v>231</v>
      </c>
      <c r="C11" s="861">
        <v>6152772</v>
      </c>
      <c r="D11" s="862">
        <f>'5. TM_%'!I5*'3. R-STU'!$F$20</f>
        <v>393803.05590421212</v>
      </c>
      <c r="E11" s="863">
        <f>'5. TM_%'!I6*'3. R-STU'!$F$20</f>
        <v>846250.64053813578</v>
      </c>
      <c r="F11" s="862">
        <f>'5. TM_%'!I7*'3. R-STU'!$F$20</f>
        <v>701209.16608701227</v>
      </c>
      <c r="G11" s="863">
        <f>'5. TM_%'!I8*'3. R-STU'!$F$20</f>
        <v>508769.73844695551</v>
      </c>
      <c r="H11" s="862">
        <f>'5. TM_%'!I11*'3. R-STU'!$F$20</f>
        <v>731017.4938633343</v>
      </c>
      <c r="I11" s="863">
        <f>'5. TM_%'!I9*'3. R-STU'!$F$20</f>
        <v>898411.92581937346</v>
      </c>
      <c r="J11" s="862">
        <f>'5. TM_%'!I10*'3. R-STU'!$F$20</f>
        <v>360157.9089458547</v>
      </c>
      <c r="K11" s="863">
        <f>'5. TM_%'!I12*'3. R-STU'!$F$20</f>
        <v>64418.221862730352</v>
      </c>
      <c r="L11" s="862">
        <f>'5. TM_%'!I13*'3. R-STU'!$F$20</f>
        <v>559.62695427868425</v>
      </c>
      <c r="M11" s="863">
        <f t="shared" ref="M11:M13" si="7">SUM(D11:L11)</f>
        <v>4504597.7784218881</v>
      </c>
      <c r="N11" s="862">
        <f>'5. TM_%'!I14*'3. R-STU'!$F$20</f>
        <v>85922.221578113589</v>
      </c>
      <c r="O11" s="863"/>
      <c r="P11" s="862"/>
      <c r="Q11" s="863"/>
      <c r="R11" s="863">
        <f t="shared" ref="R11:R17" si="8">SUM(M11:Q11)</f>
        <v>4590520.0000000019</v>
      </c>
      <c r="S11" s="864">
        <v>6084737</v>
      </c>
    </row>
    <row r="12" spans="1:25" ht="19.350000000000001" customHeight="1">
      <c r="B12" s="855" t="s">
        <v>230</v>
      </c>
      <c r="C12" s="853">
        <v>92755</v>
      </c>
      <c r="D12" s="388">
        <v>0</v>
      </c>
      <c r="E12" s="389">
        <v>0</v>
      </c>
      <c r="F12" s="388">
        <v>0</v>
      </c>
      <c r="G12" s="389">
        <v>0</v>
      </c>
      <c r="H12" s="388">
        <v>0</v>
      </c>
      <c r="I12" s="389">
        <v>0</v>
      </c>
      <c r="J12" s="388">
        <v>59000</v>
      </c>
      <c r="K12" s="389">
        <v>0</v>
      </c>
      <c r="L12" s="388">
        <v>0</v>
      </c>
      <c r="M12" s="389">
        <f t="shared" si="7"/>
        <v>59000</v>
      </c>
      <c r="N12" s="388">
        <v>0</v>
      </c>
      <c r="O12" s="389">
        <v>0</v>
      </c>
      <c r="P12" s="388">
        <v>33755</v>
      </c>
      <c r="Q12" s="1096"/>
      <c r="R12" s="389">
        <f t="shared" si="8"/>
        <v>92755</v>
      </c>
      <c r="S12" s="435">
        <v>193566</v>
      </c>
    </row>
    <row r="13" spans="1:25" ht="19.350000000000001" customHeight="1" thickBot="1">
      <c r="B13" s="856" t="s">
        <v>210</v>
      </c>
      <c r="C13" s="858" t="s">
        <v>355</v>
      </c>
      <c r="D13" s="393">
        <f>SUMIFS('4. Aktivity'!$B$4:$B$112,'4. Aktivity'!$D$4:$D$112,"fad",'4. Aktivity'!$C$4:$C$112,"T")</f>
        <v>0</v>
      </c>
      <c r="E13" s="394">
        <f>SUMIFS('4. Aktivity'!$B$4:$B$112,'4. Aktivity'!$D$4:$D$112,"fei",'4. Aktivity'!$C$4:$C$112,"T")</f>
        <v>0</v>
      </c>
      <c r="F13" s="393">
        <f>SUMIFS('4. Aktivity'!$B$4:$B$112,'4. Aktivity'!$D$4:$D$112,"fchpt",'4. Aktivity'!$C$4:$C$112,"T")</f>
        <v>0</v>
      </c>
      <c r="G13" s="394">
        <f>SUMIFS('4. Aktivity'!$B$4:$B$112,'4. Aktivity'!$D$4:$D$112,"fiit",'4. Aktivity'!$C$4:$C$112,"T")</f>
        <v>0</v>
      </c>
      <c r="H13" s="393">
        <f>SUMIFS('4. Aktivity'!$B$4:$B$112,'4. Aktivity'!$D$4:$D$112,"mtf",'4. Aktivity'!$C$4:$C$112,"T")</f>
        <v>0</v>
      </c>
      <c r="I13" s="394">
        <f>SUMIFS('4. Aktivity'!$B$4:$B$112,'4. Aktivity'!$D$4:$D$112,"svf",'4. Aktivity'!$C$4:$C$112,"T")</f>
        <v>0</v>
      </c>
      <c r="J13" s="393">
        <f>SUMIFS('4. Aktivity'!$B$4:$B$112,'4. Aktivity'!$D$4:$D$112,"sjf",'4. Aktivity'!$C$4:$C$112,"T")</f>
        <v>0</v>
      </c>
      <c r="K13" s="394">
        <f>SUMIFS('4. Aktivity'!$B$4:$B$112,'4. Aktivity'!$D$4:$D$112,"um",'4. Aktivity'!$C$4:$C$112,"T")</f>
        <v>0</v>
      </c>
      <c r="L13" s="393">
        <f>SUMIFS('4. Aktivity'!$B$4:$B$112,'4. Aktivity'!$D$4:$D$112,"nc",'4. Aktivity'!$C$4:$C$112,"T")</f>
        <v>0</v>
      </c>
      <c r="M13" s="394">
        <f t="shared" si="7"/>
        <v>0</v>
      </c>
      <c r="N13" s="393">
        <f>SUMIFS('3. R-STU'!$C$5:$C$14,'3. R-STU'!$E$5:$E$14,"rek",'3. R-STU'!$D$5:$D$14,"T")</f>
        <v>780000</v>
      </c>
      <c r="O13" s="394">
        <f>SUMIFS('3. R-STU'!$C$5:$C$10,'3. R-STU'!$E$5:$E$10,"sd",'3. R-STU'!$D$5:$D$10,"T")</f>
        <v>0</v>
      </c>
      <c r="P13" s="393">
        <f>SUMIFS('4. Aktivity'!$B$4:$B$112,'4. Aktivity'!$D$4:$D$112,"stu",'4. Aktivity'!$C$4:$C$112,"T")</f>
        <v>732252</v>
      </c>
      <c r="Q13" s="394">
        <f>SUMIFS('4. Aktivity'!$B$4:$B$112,'4. Aktivity'!$D$4:$D$112,"f",'4. Aktivity'!$C$4:$C$112,"T")</f>
        <v>50000</v>
      </c>
      <c r="R13" s="394">
        <f t="shared" si="8"/>
        <v>1562252</v>
      </c>
      <c r="S13" s="436">
        <v>971250</v>
      </c>
    </row>
    <row r="14" spans="1:25" ht="30" customHeight="1" thickBot="1">
      <c r="B14" s="881" t="s">
        <v>217</v>
      </c>
      <c r="C14" s="882">
        <f>C15+C16</f>
        <v>25292395</v>
      </c>
      <c r="D14" s="883">
        <f>SUM(D15:D17)</f>
        <v>1199629.7311329946</v>
      </c>
      <c r="E14" s="884">
        <f t="shared" ref="E14:Q14" si="9">SUM(E15:E17)</f>
        <v>5448193.6088108616</v>
      </c>
      <c r="F14" s="883">
        <f t="shared" si="9"/>
        <v>5393689.5601198701</v>
      </c>
      <c r="G14" s="884">
        <f t="shared" si="9"/>
        <v>763159.29934684536</v>
      </c>
      <c r="H14" s="883">
        <f t="shared" si="9"/>
        <v>2345600.7427613894</v>
      </c>
      <c r="I14" s="884">
        <f t="shared" si="9"/>
        <v>4542831.4620878762</v>
      </c>
      <c r="J14" s="883">
        <f t="shared" si="9"/>
        <v>1836371.6216589601</v>
      </c>
      <c r="K14" s="884">
        <f t="shared" si="9"/>
        <v>494624.94418270356</v>
      </c>
      <c r="L14" s="883">
        <f t="shared" si="9"/>
        <v>152355.17040290596</v>
      </c>
      <c r="M14" s="884">
        <f t="shared" si="9"/>
        <v>22176456.140504409</v>
      </c>
      <c r="N14" s="883">
        <f t="shared" si="9"/>
        <v>1203938.8594955944</v>
      </c>
      <c r="O14" s="884">
        <f t="shared" si="9"/>
        <v>0</v>
      </c>
      <c r="P14" s="883">
        <f t="shared" si="9"/>
        <v>528300</v>
      </c>
      <c r="Q14" s="884">
        <f t="shared" si="9"/>
        <v>1383700</v>
      </c>
      <c r="R14" s="884">
        <f t="shared" si="8"/>
        <v>25292395.000000004</v>
      </c>
      <c r="S14" s="885">
        <v>24327966</v>
      </c>
    </row>
    <row r="15" spans="1:25" ht="18" customHeight="1" thickTop="1">
      <c r="B15" s="876" t="s">
        <v>218</v>
      </c>
      <c r="C15" s="877">
        <v>25131702</v>
      </c>
      <c r="D15" s="878">
        <f>'5. TM_%'!M5*'3. R-STU'!$F$21</f>
        <v>1199629.7311329946</v>
      </c>
      <c r="E15" s="879">
        <f>'5. TM_%'!M6*'3. R-STU'!$F$21</f>
        <v>5423085.6088108616</v>
      </c>
      <c r="F15" s="878">
        <f>'5. TM_%'!M7*'3. R-STU'!$F$21</f>
        <v>5318364.5601198701</v>
      </c>
      <c r="G15" s="879">
        <f>'5. TM_%'!M8*'3. R-STU'!$F$21</f>
        <v>763159.29934684536</v>
      </c>
      <c r="H15" s="878">
        <f>'5. TM_%'!M11*'3. R-STU'!$F$21</f>
        <v>2345600.7427613894</v>
      </c>
      <c r="I15" s="879">
        <f>'5. TM_%'!M9*'3. R-STU'!$F$21</f>
        <v>4482571.4620878762</v>
      </c>
      <c r="J15" s="878">
        <f>'5. TM_%'!M10*'3. R-STU'!$F$21</f>
        <v>1836371.6216589601</v>
      </c>
      <c r="K15" s="879">
        <f>'5. TM_%'!M12*'3. R-STU'!$F$21</f>
        <v>494624.94418270356</v>
      </c>
      <c r="L15" s="878">
        <f>'5. TM_%'!M13*'3. R-STU'!$F$21</f>
        <v>152355.17040290596</v>
      </c>
      <c r="M15" s="879">
        <f t="shared" ref="M15:M17" si="10">SUM(D15:L15)</f>
        <v>22015763.140504409</v>
      </c>
      <c r="N15" s="878">
        <f>'5. TM_%'!M14*'3. R-STU'!$F$21</f>
        <v>54738.859495594384</v>
      </c>
      <c r="O15" s="879">
        <v>0</v>
      </c>
      <c r="P15" s="878">
        <v>0</v>
      </c>
      <c r="Q15" s="879"/>
      <c r="R15" s="879">
        <f t="shared" si="8"/>
        <v>22070502.000000004</v>
      </c>
      <c r="S15" s="880">
        <v>24175966</v>
      </c>
    </row>
    <row r="16" spans="1:25" s="360" customFormat="1" ht="17.100000000000001" customHeight="1">
      <c r="A16" s="355"/>
      <c r="B16" s="398" t="s">
        <v>230</v>
      </c>
      <c r="C16" s="452">
        <v>160693</v>
      </c>
      <c r="D16" s="400">
        <v>0</v>
      </c>
      <c r="E16" s="399">
        <v>25108</v>
      </c>
      <c r="F16" s="400">
        <v>75325</v>
      </c>
      <c r="G16" s="399">
        <v>0</v>
      </c>
      <c r="H16" s="400">
        <v>0</v>
      </c>
      <c r="I16" s="399">
        <v>60260</v>
      </c>
      <c r="J16" s="400">
        <v>0</v>
      </c>
      <c r="K16" s="399">
        <v>0</v>
      </c>
      <c r="L16" s="400">
        <v>0</v>
      </c>
      <c r="M16" s="399">
        <f t="shared" si="10"/>
        <v>160693</v>
      </c>
      <c r="N16" s="400">
        <v>0</v>
      </c>
      <c r="O16" s="399">
        <v>0</v>
      </c>
      <c r="P16" s="400">
        <v>0</v>
      </c>
      <c r="Q16" s="1097"/>
      <c r="R16" s="399">
        <f t="shared" si="8"/>
        <v>160693</v>
      </c>
      <c r="S16" s="437">
        <v>152000</v>
      </c>
      <c r="Y16" s="355"/>
    </row>
    <row r="17" spans="2:25" s="360" customFormat="1" ht="17.100000000000001" customHeight="1" thickBot="1">
      <c r="B17" s="401" t="s">
        <v>210</v>
      </c>
      <c r="C17" s="859" t="s">
        <v>355</v>
      </c>
      <c r="D17" s="402">
        <f>SUMIFS('4. Aktivity'!$B$4:$B$112,'4. Aktivity'!$D$4:$D$112,"fad",'4. Aktivity'!$C$4:$C$112,"V")</f>
        <v>0</v>
      </c>
      <c r="E17" s="403">
        <f>SUMIFS('4. Aktivity'!$B$4:$B$112,'4. Aktivity'!$D$4:$D$112,"fei",'4. Aktivity'!$C$4:$C$112,"V")</f>
        <v>0</v>
      </c>
      <c r="F17" s="402">
        <f>SUMIFS('4. Aktivity'!$B$4:$B$112,'4. Aktivity'!$D$4:$D$112,"fchpt",'4. Aktivity'!$C$4:$C$112,"V")</f>
        <v>0</v>
      </c>
      <c r="G17" s="403">
        <f>SUMIFS('4. Aktivity'!$B$4:$B$112,'4. Aktivity'!$D$4:$D$112,"fiit",'4. Aktivity'!$C$4:$C$112,"V")</f>
        <v>0</v>
      </c>
      <c r="H17" s="402">
        <f>SUMIFS('4. Aktivity'!$B$4:$B$112,'4. Aktivity'!$D$4:$D$112,"mtf",'4. Aktivity'!$C$4:$C$112,"V")</f>
        <v>0</v>
      </c>
      <c r="I17" s="403">
        <f>SUMIFS('4. Aktivity'!$B$4:$B$112,'4. Aktivity'!$D$4:$D$112,"svf",'4. Aktivity'!$C$4:$C$112,"V")</f>
        <v>0</v>
      </c>
      <c r="J17" s="402">
        <f>SUMIFS('4. Aktivity'!$B$4:$B$112,'4. Aktivity'!$D$4:$D$112,"sjf",'4. Aktivity'!$C$4:$C$112,"V")</f>
        <v>0</v>
      </c>
      <c r="K17" s="403">
        <f>SUMIFS('4. Aktivity'!$B$4:$B$112,'4. Aktivity'!$D$4:$D$112,"um",'4. Aktivity'!$C$4:$C$112,"V")</f>
        <v>0</v>
      </c>
      <c r="L17" s="402">
        <f>SUMIFS('4. Aktivity'!$B$4:$B$112,'4. Aktivity'!$D$4:$D$112,"nc",'4. Aktivity'!$C$4:$C$112,"V")</f>
        <v>0</v>
      </c>
      <c r="M17" s="457">
        <f t="shared" si="10"/>
        <v>0</v>
      </c>
      <c r="N17" s="402">
        <f>SUMIFS('3. R-STU'!$C$5:$C$14,'3. R-STU'!$E$5:$E$14,"rek",'3. R-STU'!$D$5:$D$14,"V")</f>
        <v>1149200</v>
      </c>
      <c r="O17" s="403">
        <f>SUMIFS('3. R-STU'!$C$5:$C$10,'3. R-STU'!$E$5:$E$10,"sd",'3. R-STU'!$D$5:$D$10,"V")</f>
        <v>0</v>
      </c>
      <c r="P17" s="402">
        <f>SUMIFS('4. Aktivity'!$B$4:$B$112,'4. Aktivity'!$D$4:$D$112,"stu",'4. Aktivity'!$C$4:$C$112,"V")</f>
        <v>528300</v>
      </c>
      <c r="Q17" s="403">
        <f>SUMIFS('4. Aktivity'!$B$4:$B$112,'4. Aktivity'!$D$4:$D$112,"f",'4. Aktivity'!$C$4:$C$112,"V")</f>
        <v>1383700</v>
      </c>
      <c r="R17" s="403">
        <f t="shared" si="8"/>
        <v>3061200</v>
      </c>
      <c r="S17" s="438">
        <v>831603</v>
      </c>
      <c r="Y17" s="355"/>
    </row>
    <row r="18" spans="2:25" ht="30" customHeight="1" thickBot="1">
      <c r="B18" s="404" t="s">
        <v>219</v>
      </c>
      <c r="C18" s="491">
        <v>0</v>
      </c>
      <c r="D18" s="405"/>
      <c r="E18" s="406"/>
      <c r="F18" s="405"/>
      <c r="G18" s="406"/>
      <c r="H18" s="405"/>
      <c r="I18" s="406"/>
      <c r="J18" s="405"/>
      <c r="K18" s="406"/>
      <c r="L18" s="405"/>
      <c r="M18" s="406"/>
      <c r="N18" s="405"/>
      <c r="O18" s="406"/>
      <c r="P18" s="405"/>
      <c r="Q18" s="406"/>
      <c r="R18" s="407"/>
      <c r="S18" s="439">
        <v>0</v>
      </c>
    </row>
    <row r="19" spans="2:25" ht="30" customHeight="1" thickBot="1">
      <c r="B19" s="890" t="s">
        <v>220</v>
      </c>
      <c r="C19" s="891">
        <v>5908557</v>
      </c>
      <c r="D19" s="892">
        <f>SUM(D20:D23)</f>
        <v>69196.380615456554</v>
      </c>
      <c r="E19" s="893">
        <f t="shared" ref="E19:R19" si="11">SUM(E20:E23)</f>
        <v>529009.73625464574</v>
      </c>
      <c r="F19" s="892">
        <f t="shared" si="11"/>
        <v>259352.69701798039</v>
      </c>
      <c r="G19" s="893">
        <f t="shared" si="11"/>
        <v>256377.66131260869</v>
      </c>
      <c r="H19" s="892">
        <f t="shared" si="11"/>
        <v>1054461.6080493135</v>
      </c>
      <c r="I19" s="893">
        <f t="shared" si="11"/>
        <v>458404.37796599924</v>
      </c>
      <c r="J19" s="892">
        <f t="shared" si="11"/>
        <v>159723.73466437281</v>
      </c>
      <c r="K19" s="893">
        <f t="shared" si="11"/>
        <v>7158.7076751784562</v>
      </c>
      <c r="L19" s="892">
        <f t="shared" si="11"/>
        <v>0</v>
      </c>
      <c r="M19" s="893">
        <f t="shared" si="11"/>
        <v>2793684.9035555553</v>
      </c>
      <c r="N19" s="892">
        <f t="shared" si="11"/>
        <v>0</v>
      </c>
      <c r="O19" s="893">
        <f t="shared" si="11"/>
        <v>2976577.12</v>
      </c>
      <c r="P19" s="892">
        <f t="shared" si="11"/>
        <v>118294.94444444444</v>
      </c>
      <c r="Q19" s="893">
        <f t="shared" si="11"/>
        <v>20000</v>
      </c>
      <c r="R19" s="893">
        <f t="shared" si="11"/>
        <v>5908556.9680000003</v>
      </c>
      <c r="S19" s="894">
        <v>6635699</v>
      </c>
    </row>
    <row r="20" spans="2:25" ht="20.100000000000001" customHeight="1" thickTop="1">
      <c r="B20" s="886" t="s">
        <v>221</v>
      </c>
      <c r="C20" s="453">
        <v>212669</v>
      </c>
      <c r="D20" s="887">
        <f>'T15-Soc_stip'!L4</f>
        <v>25360.917383681983</v>
      </c>
      <c r="E20" s="888">
        <f>'T15-Soc_stip'!L5</f>
        <v>56526.027619537024</v>
      </c>
      <c r="F20" s="887">
        <f>'T15-Soc_stip'!L6</f>
        <v>0</v>
      </c>
      <c r="G20" s="888">
        <f>'T15-Soc_stip'!L7</f>
        <v>34381.091697068106</v>
      </c>
      <c r="H20" s="887">
        <f>'T15-Soc_stip'!L10</f>
        <v>8186.4084777872231</v>
      </c>
      <c r="I20" s="888">
        <f>'T15-Soc_stip'!L8</f>
        <v>79471.835075746974</v>
      </c>
      <c r="J20" s="887">
        <f>'T15-Soc_stip'!L9</f>
        <v>8742.7197461786891</v>
      </c>
      <c r="K20" s="888">
        <f>'T15-Soc_stip'!L11</f>
        <v>0</v>
      </c>
      <c r="L20" s="887">
        <f>'T15-Soc_stip'!L12</f>
        <v>0</v>
      </c>
      <c r="M20" s="888">
        <f t="shared" ref="M20:M22" si="12">SUM(D20:L20)</f>
        <v>212668.99999999997</v>
      </c>
      <c r="N20" s="887"/>
      <c r="O20" s="888"/>
      <c r="P20" s="887"/>
      <c r="Q20" s="888"/>
      <c r="R20" s="888">
        <f>SUM(M20:Q20)</f>
        <v>212668.99999999997</v>
      </c>
      <c r="S20" s="889">
        <v>550770</v>
      </c>
    </row>
    <row r="21" spans="2:25" ht="20.100000000000001" customHeight="1">
      <c r="B21" s="411" t="s">
        <v>222</v>
      </c>
      <c r="C21" s="454">
        <v>1366020</v>
      </c>
      <c r="D21" s="412">
        <f>'T18-Mot_stip'!E4</f>
        <v>0</v>
      </c>
      <c r="E21" s="413">
        <f>'T18-Mot_stip'!E5</f>
        <v>359385.42439024389</v>
      </c>
      <c r="F21" s="412">
        <f>'T18-Mot_stip'!E6</f>
        <v>197388.03902439025</v>
      </c>
      <c r="G21" s="413">
        <f>'T18-Mot_stip'!E7</f>
        <v>168957.05365853658</v>
      </c>
      <c r="H21" s="412">
        <f>'T18-Mot_stip'!E10</f>
        <v>244624.93658536585</v>
      </c>
      <c r="I21" s="413">
        <f>'T18-Mot_stip'!E8</f>
        <v>280755.98048780486</v>
      </c>
      <c r="J21" s="412">
        <f>'T18-Mot_stip'!E9</f>
        <v>114908.56585365854</v>
      </c>
      <c r="K21" s="413">
        <f>'T18-Mot_stip'!E11</f>
        <v>0</v>
      </c>
      <c r="L21" s="412">
        <f>'T18-Mot_stip'!E12</f>
        <v>0</v>
      </c>
      <c r="M21" s="413">
        <f t="shared" si="12"/>
        <v>1366020</v>
      </c>
      <c r="N21" s="412"/>
      <c r="O21" s="413"/>
      <c r="P21" s="412"/>
      <c r="Q21" s="1098"/>
      <c r="R21" s="413">
        <f t="shared" ref="R21:R28" si="13">SUM(M21:Q21)</f>
        <v>1366020</v>
      </c>
      <c r="S21" s="440">
        <v>1621980</v>
      </c>
    </row>
    <row r="22" spans="2:25" ht="20.100000000000001" customHeight="1" thickBot="1">
      <c r="B22" s="896" t="s">
        <v>223</v>
      </c>
      <c r="C22" s="897">
        <v>510550</v>
      </c>
      <c r="D22" s="898">
        <f>'T18-Mot_stip'!C4</f>
        <v>43835.463231774571</v>
      </c>
      <c r="E22" s="899">
        <f>'T18-Mot_stip'!C5</f>
        <v>113098.28424486483</v>
      </c>
      <c r="F22" s="898">
        <f>'T18-Mot_stip'!C6</f>
        <v>61964.657993590146</v>
      </c>
      <c r="G22" s="899">
        <f>'T18-Mot_stip'!C7</f>
        <v>53039.51595700402</v>
      </c>
      <c r="H22" s="898">
        <f>'T18-Mot_stip'!C10</f>
        <v>83022.41498616054</v>
      </c>
      <c r="I22" s="899">
        <f>'T18-Mot_stip'!C8</f>
        <v>98176.562402447395</v>
      </c>
      <c r="J22" s="898">
        <f>'T18-Mot_stip'!C9</f>
        <v>36072.449064535598</v>
      </c>
      <c r="K22" s="899">
        <f>'T18-Mot_stip'!C11</f>
        <v>7158.7076751784562</v>
      </c>
      <c r="L22" s="898">
        <f>'T18-Mot_stip'!C12</f>
        <v>0</v>
      </c>
      <c r="M22" s="899">
        <f t="shared" si="12"/>
        <v>496368.05555555556</v>
      </c>
      <c r="N22" s="898"/>
      <c r="O22" s="899"/>
      <c r="P22" s="898">
        <f>'T18-Mot_stip'!C13</f>
        <v>14181.944444444443</v>
      </c>
      <c r="Q22" s="899"/>
      <c r="R22" s="899">
        <f t="shared" si="13"/>
        <v>510550</v>
      </c>
      <c r="S22" s="900">
        <v>517400</v>
      </c>
    </row>
    <row r="23" spans="2:25" ht="20.25" customHeight="1" thickTop="1">
      <c r="B23" s="895" t="s">
        <v>224</v>
      </c>
      <c r="C23" s="453">
        <v>3819318</v>
      </c>
      <c r="D23" s="887">
        <f t="shared" ref="D23:Q23" si="14">SUM(D24:D28)</f>
        <v>0</v>
      </c>
      <c r="E23" s="888">
        <f t="shared" si="14"/>
        <v>0</v>
      </c>
      <c r="F23" s="887">
        <f t="shared" si="14"/>
        <v>0</v>
      </c>
      <c r="G23" s="888">
        <f t="shared" si="14"/>
        <v>0</v>
      </c>
      <c r="H23" s="887">
        <f t="shared" si="14"/>
        <v>718627.848</v>
      </c>
      <c r="I23" s="888">
        <f t="shared" si="14"/>
        <v>0</v>
      </c>
      <c r="J23" s="887">
        <f t="shared" si="14"/>
        <v>0</v>
      </c>
      <c r="K23" s="888">
        <f t="shared" si="14"/>
        <v>0</v>
      </c>
      <c r="L23" s="887">
        <f t="shared" si="14"/>
        <v>0</v>
      </c>
      <c r="M23" s="888">
        <f t="shared" si="14"/>
        <v>718627.848</v>
      </c>
      <c r="N23" s="887">
        <f t="shared" si="14"/>
        <v>0</v>
      </c>
      <c r="O23" s="888">
        <f t="shared" si="14"/>
        <v>2976577.12</v>
      </c>
      <c r="P23" s="887">
        <f t="shared" si="14"/>
        <v>104113</v>
      </c>
      <c r="Q23" s="888">
        <f t="shared" si="14"/>
        <v>20000</v>
      </c>
      <c r="R23" s="888">
        <f t="shared" si="13"/>
        <v>3819317.9680000003</v>
      </c>
      <c r="S23" s="889">
        <v>3945549</v>
      </c>
    </row>
    <row r="24" spans="2:25" ht="20.100000000000001" customHeight="1">
      <c r="B24" s="411" t="s">
        <v>225</v>
      </c>
      <c r="C24" s="454">
        <v>1956034</v>
      </c>
      <c r="D24" s="412"/>
      <c r="E24" s="413"/>
      <c r="F24" s="412"/>
      <c r="G24" s="413"/>
      <c r="H24" s="412">
        <f>'T11-Sumar_SD'!F15</f>
        <v>380349</v>
      </c>
      <c r="I24" s="413"/>
      <c r="J24" s="412"/>
      <c r="K24" s="413"/>
      <c r="L24" s="412"/>
      <c r="M24" s="413">
        <f t="shared" ref="M24:M28" si="15">SUM(D24:L24)</f>
        <v>380349</v>
      </c>
      <c r="N24" s="412"/>
      <c r="O24" s="413">
        <f>'T11-Sumar_SD'!F14</f>
        <v>1575685</v>
      </c>
      <c r="P24" s="412"/>
      <c r="Q24" s="1098"/>
      <c r="R24" s="413">
        <f t="shared" si="13"/>
        <v>1956034</v>
      </c>
      <c r="S24" s="442">
        <v>1743692</v>
      </c>
    </row>
    <row r="25" spans="2:25" ht="20.100000000000001" customHeight="1">
      <c r="B25" s="411" t="s">
        <v>226</v>
      </c>
      <c r="C25" s="454">
        <v>688524</v>
      </c>
      <c r="D25" s="412"/>
      <c r="E25" s="413"/>
      <c r="F25" s="412"/>
      <c r="G25" s="413"/>
      <c r="H25" s="412">
        <f>H24*0.352</f>
        <v>133882.848</v>
      </c>
      <c r="I25" s="413"/>
      <c r="J25" s="412"/>
      <c r="K25" s="413"/>
      <c r="L25" s="412"/>
      <c r="M25" s="413">
        <f t="shared" si="15"/>
        <v>133882.848</v>
      </c>
      <c r="N25" s="412"/>
      <c r="O25" s="413">
        <f>O24*0.352</f>
        <v>554641.12</v>
      </c>
      <c r="P25" s="412"/>
      <c r="Q25" s="1098"/>
      <c r="R25" s="413">
        <f t="shared" si="13"/>
        <v>688523.96799999999</v>
      </c>
      <c r="S25" s="442">
        <v>613779.58400000003</v>
      </c>
    </row>
    <row r="26" spans="2:25" ht="20.100000000000001" customHeight="1">
      <c r="B26" s="411" t="s">
        <v>268</v>
      </c>
      <c r="C26" s="454">
        <v>968976</v>
      </c>
      <c r="D26" s="412"/>
      <c r="E26" s="413"/>
      <c r="F26" s="412"/>
      <c r="G26" s="413"/>
      <c r="H26" s="412">
        <f>'T11-Sumar_SD'!G26</f>
        <v>188558</v>
      </c>
      <c r="I26" s="413"/>
      <c r="J26" s="412"/>
      <c r="K26" s="413"/>
      <c r="L26" s="412"/>
      <c r="M26" s="413">
        <f t="shared" si="15"/>
        <v>188558</v>
      </c>
      <c r="N26" s="412"/>
      <c r="O26" s="413">
        <f>'T11-Sumar_SD'!G25</f>
        <v>780418</v>
      </c>
      <c r="P26" s="412"/>
      <c r="Q26" s="1098"/>
      <c r="R26" s="413">
        <f t="shared" si="13"/>
        <v>968976</v>
      </c>
      <c r="S26" s="442">
        <v>961462</v>
      </c>
    </row>
    <row r="27" spans="2:25" ht="20.100000000000001" customHeight="1">
      <c r="B27" s="411" t="s">
        <v>227</v>
      </c>
      <c r="C27" s="454">
        <v>81671</v>
      </c>
      <c r="D27" s="412"/>
      <c r="E27" s="413"/>
      <c r="F27" s="412"/>
      <c r="G27" s="413"/>
      <c r="H27" s="412">
        <f>'T11-Sumar_SD'!L26</f>
        <v>15838</v>
      </c>
      <c r="I27" s="413"/>
      <c r="J27" s="412"/>
      <c r="K27" s="413"/>
      <c r="L27" s="412"/>
      <c r="M27" s="413">
        <f t="shared" si="15"/>
        <v>15838</v>
      </c>
      <c r="N27" s="412"/>
      <c r="O27" s="413">
        <f>'T11-Sumar_SD'!L25</f>
        <v>65833</v>
      </c>
      <c r="P27" s="412"/>
      <c r="Q27" s="1098"/>
      <c r="R27" s="413">
        <f t="shared" si="13"/>
        <v>81671</v>
      </c>
      <c r="S27" s="441">
        <v>271648</v>
      </c>
      <c r="Y27" s="947"/>
    </row>
    <row r="28" spans="2:25" ht="20.100000000000001" customHeight="1" thickBot="1">
      <c r="B28" s="415" t="s">
        <v>228</v>
      </c>
      <c r="C28" s="455">
        <v>124113</v>
      </c>
      <c r="D28" s="416">
        <f>SUMIFS('4. Aktivity'!$B$4:$B$112,'4. Aktivity'!$D$4:$D$112,"fad",'4. Aktivity'!$C$4:$C$112,"S")</f>
        <v>0</v>
      </c>
      <c r="E28" s="417">
        <f>SUMIFS('4. Aktivity'!$B$4:$B$112,'4. Aktivity'!$D$4:$D$112,"fei",'4. Aktivity'!$C$4:$C$112,"S")</f>
        <v>0</v>
      </c>
      <c r="F28" s="416">
        <f>SUMIFS('4. Aktivity'!$B$4:$B$112,'4. Aktivity'!$D$4:$D$112,"fchpt",'4. Aktivity'!$C$4:$C$112,"S")</f>
        <v>0</v>
      </c>
      <c r="G28" s="417">
        <f>SUMIFS('4. Aktivity'!$B$4:$B$112,'4. Aktivity'!$D$4:$D$112,"fiit",'4. Aktivity'!$C$4:$C$112,"S")</f>
        <v>0</v>
      </c>
      <c r="H28" s="416">
        <f>SUMIFS('4. Aktivity'!$B$4:$B$112,'4. Aktivity'!$D$4:$D$112,"mtf",'4. Aktivity'!$C$4:$C$112,"S")</f>
        <v>0</v>
      </c>
      <c r="I28" s="417">
        <f>SUMIFS('4. Aktivity'!$B$4:$B$112,'4. Aktivity'!$D$4:$D$112,"svf",'4. Aktivity'!$C$4:$C$112,"S")</f>
        <v>0</v>
      </c>
      <c r="J28" s="418">
        <f>SUMIFS('4. Aktivity'!$B$4:$B$112,'4. Aktivity'!$D$4:$D$112,"sjf",'4. Aktivity'!$C$4:$C$112,"S")</f>
        <v>0</v>
      </c>
      <c r="K28" s="417">
        <f>SUMIFS('4. Aktivity'!$B$4:$B$112,'4. Aktivity'!$D$4:$D$112,"um",'4. Aktivity'!$C$4:$C$112,"S")</f>
        <v>0</v>
      </c>
      <c r="L28" s="416">
        <f>SUMIFS('4. Aktivity'!$B$4:$B$112,'4. Aktivity'!$D$4:$D$112,"nc",'4. Aktivity'!$C$4:$C$112,"S")</f>
        <v>0</v>
      </c>
      <c r="M28" s="417">
        <f t="shared" si="15"/>
        <v>0</v>
      </c>
      <c r="N28" s="416">
        <f>SUMIFS('3. R-STU'!$C$5:$C$10,'3. R-STU'!$E$5:$E$10,"rek",'3. R-STU'!$D$5:$D$10,"S")</f>
        <v>0</v>
      </c>
      <c r="O28" s="417"/>
      <c r="P28" s="416">
        <f>SUMIFS('4. Aktivity'!$B$4:$B$112,'4. Aktivity'!$D$4:$D$112,"stu",'4. Aktivity'!$C$4:$C$112,"S")</f>
        <v>104113</v>
      </c>
      <c r="Q28" s="417">
        <f>SUMIFS('4. Aktivity'!$B$4:$B$112,'4. Aktivity'!$D$4:$D$112,"f",'4. Aktivity'!$C$4:$C$112,"S")</f>
        <v>20000</v>
      </c>
      <c r="R28" s="417">
        <f t="shared" si="13"/>
        <v>124113</v>
      </c>
      <c r="S28" s="443">
        <v>114254</v>
      </c>
      <c r="Y28" s="947"/>
    </row>
  </sheetData>
  <sheetProtection algorithmName="SHA-512" hashValue="9AIjEBcAIPUx4+yNao7J1oPmuWgu4RYg83wiFrufyWedKNZUlxMurKG7JSnQ9F5Wt+tLVJQh7lG8YdGupibKHw==" saltValue="IEbM3fkDOGXCZ3XR0wMu5g==" spinCount="100000" sheet="1" objects="1" scenarios="1"/>
  <mergeCells count="1">
    <mergeCell ref="B1:S1"/>
  </mergeCells>
  <conditionalFormatting sqref="D5:R28">
    <cfRule type="cellIs" dxfId="33" priority="1" operator="lessThan">
      <formula>0</formula>
    </cfRule>
  </conditionalFormatting>
  <pageMargins left="0.7" right="0.7" top="0.75" bottom="0.75" header="0.3" footer="0.3"/>
  <pageSetup paperSize="9" scale="56" orientation="landscape" r:id="rId1"/>
  <ignoredErrors>
    <ignoredError sqref="M14 M23 M7 M10" formula="1"/>
    <ignoredError sqref="M12 M16 M20 M25:M28 M2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0"/>
  <dimension ref="A1:L28"/>
  <sheetViews>
    <sheetView topLeftCell="A21" workbookViewId="0">
      <selection activeCell="I25" sqref="I25"/>
    </sheetView>
  </sheetViews>
  <sheetFormatPr defaultColWidth="8.7109375" defaultRowHeight="15"/>
  <cols>
    <col min="1" max="1" width="14.28515625" style="2" customWidth="1"/>
    <col min="2" max="2" width="10.7109375" style="2" customWidth="1"/>
    <col min="3" max="3" width="15.7109375" style="2" bestFit="1" customWidth="1"/>
    <col min="4" max="4" width="17.140625" style="2" customWidth="1"/>
    <col min="5" max="5" width="15.7109375" style="2" bestFit="1" customWidth="1"/>
    <col min="6" max="6" width="17.28515625" style="2" bestFit="1" customWidth="1"/>
    <col min="7" max="9" width="13.42578125" style="2" bestFit="1" customWidth="1"/>
    <col min="10" max="11" width="11.85546875" style="2" customWidth="1"/>
    <col min="12" max="12" width="10.7109375" style="2" bestFit="1" customWidth="1"/>
    <col min="13" max="16384" width="8.7109375" style="2"/>
  </cols>
  <sheetData>
    <row r="1" spans="1:9" ht="15.75" thickBot="1"/>
    <row r="2" spans="1:9" ht="120.75" thickBot="1">
      <c r="A2" s="917"/>
      <c r="B2" s="829" t="s">
        <v>346</v>
      </c>
      <c r="C2" s="830" t="s">
        <v>347</v>
      </c>
      <c r="D2" s="831" t="s">
        <v>348</v>
      </c>
      <c r="E2" s="830" t="s">
        <v>349</v>
      </c>
      <c r="F2" s="830" t="s">
        <v>350</v>
      </c>
      <c r="G2" s="830" t="s">
        <v>351</v>
      </c>
      <c r="H2" s="832" t="s">
        <v>352</v>
      </c>
      <c r="I2" s="833" t="s">
        <v>353</v>
      </c>
    </row>
    <row r="3" spans="1:9">
      <c r="A3" s="827" t="s">
        <v>16</v>
      </c>
      <c r="B3" s="834">
        <v>6639</v>
      </c>
      <c r="C3" s="835">
        <v>6451</v>
      </c>
      <c r="D3" s="835">
        <v>6216</v>
      </c>
      <c r="E3" s="835">
        <v>232</v>
      </c>
      <c r="F3" s="835">
        <v>188</v>
      </c>
      <c r="G3" s="835">
        <v>6448</v>
      </c>
      <c r="H3" s="835">
        <v>514368</v>
      </c>
      <c r="I3" s="836">
        <v>6494.4</v>
      </c>
    </row>
    <row r="4" spans="1:9">
      <c r="A4" s="537" t="s">
        <v>209</v>
      </c>
      <c r="B4" s="824">
        <v>5379</v>
      </c>
      <c r="C4" s="825">
        <v>5193</v>
      </c>
      <c r="D4" s="825">
        <v>4983</v>
      </c>
      <c r="E4" s="825">
        <v>210</v>
      </c>
      <c r="F4" s="825">
        <v>186</v>
      </c>
      <c r="G4" s="825">
        <f>D4+E4</f>
        <v>5193</v>
      </c>
      <c r="H4" s="825">
        <v>413968</v>
      </c>
      <c r="I4" s="826">
        <v>5235</v>
      </c>
    </row>
    <row r="5" spans="1:9">
      <c r="A5" s="537" t="s">
        <v>62</v>
      </c>
      <c r="B5" s="824">
        <v>1260</v>
      </c>
      <c r="C5" s="825">
        <v>1258</v>
      </c>
      <c r="D5" s="825">
        <v>1233</v>
      </c>
      <c r="E5" s="825">
        <v>22</v>
      </c>
      <c r="F5" s="825">
        <v>2</v>
      </c>
      <c r="G5" s="825">
        <f>D5+E5</f>
        <v>1255</v>
      </c>
      <c r="H5" s="825">
        <v>100400</v>
      </c>
      <c r="I5" s="826">
        <v>1259.4000000000001</v>
      </c>
    </row>
    <row r="6" spans="1:9" ht="15.75" thickBot="1">
      <c r="A6" s="828" t="s">
        <v>16</v>
      </c>
      <c r="B6" s="837">
        <f>SUM(B4:B5)</f>
        <v>6639</v>
      </c>
      <c r="C6" s="838">
        <f t="shared" ref="C6:G6" si="0">SUM(C4:C5)</f>
        <v>6451</v>
      </c>
      <c r="D6" s="838">
        <f t="shared" si="0"/>
        <v>6216</v>
      </c>
      <c r="E6" s="838">
        <f t="shared" si="0"/>
        <v>232</v>
      </c>
      <c r="F6" s="838">
        <f t="shared" si="0"/>
        <v>188</v>
      </c>
      <c r="G6" s="838">
        <f t="shared" si="0"/>
        <v>6448</v>
      </c>
      <c r="H6" s="838">
        <f>SUM(H4:H5)</f>
        <v>514368</v>
      </c>
      <c r="I6" s="839">
        <v>6494.4</v>
      </c>
    </row>
    <row r="7" spans="1:9" ht="15" customHeight="1"/>
    <row r="8" spans="1:9" ht="15" customHeight="1"/>
    <row r="9" spans="1:9" ht="15" customHeight="1"/>
    <row r="10" spans="1:9" ht="15.75" thickBot="1"/>
    <row r="11" spans="1:9" ht="15.75" thickBot="1">
      <c r="B11" s="1441" t="s">
        <v>325</v>
      </c>
      <c r="C11" s="1442"/>
      <c r="D11" s="1442"/>
      <c r="E11" s="1442"/>
      <c r="F11" s="1443"/>
    </row>
    <row r="12" spans="1:9" ht="75.75" thickBot="1">
      <c r="B12" s="796" t="s">
        <v>326</v>
      </c>
      <c r="C12" s="797" t="s">
        <v>327</v>
      </c>
      <c r="D12" s="798" t="s">
        <v>328</v>
      </c>
      <c r="E12" s="799" t="s">
        <v>329</v>
      </c>
      <c r="F12" s="800" t="s">
        <v>342</v>
      </c>
    </row>
    <row r="13" spans="1:9">
      <c r="A13" s="529" t="s">
        <v>16</v>
      </c>
      <c r="B13" s="840">
        <v>1921734</v>
      </c>
      <c r="C13" s="593">
        <v>960867</v>
      </c>
      <c r="D13" s="793">
        <v>6448</v>
      </c>
      <c r="E13" s="593">
        <v>995166.58709710278</v>
      </c>
      <c r="F13" s="841">
        <v>1956034</v>
      </c>
    </row>
    <row r="14" spans="1:9">
      <c r="A14" s="531" t="s">
        <v>209</v>
      </c>
      <c r="B14" s="842" t="s">
        <v>330</v>
      </c>
      <c r="C14" s="583">
        <v>774211</v>
      </c>
      <c r="D14" s="792">
        <f>G4</f>
        <v>5193</v>
      </c>
      <c r="E14" s="794">
        <f>D14/D$17*E$17</f>
        <v>801473.33852283726</v>
      </c>
      <c r="F14" s="843">
        <f>INT(0.7+E14+C14)</f>
        <v>1575685</v>
      </c>
    </row>
    <row r="15" spans="1:9">
      <c r="A15" s="531" t="s">
        <v>62</v>
      </c>
      <c r="B15" s="842" t="s">
        <v>331</v>
      </c>
      <c r="C15" s="583">
        <v>186656</v>
      </c>
      <c r="D15" s="792">
        <f>G5</f>
        <v>1255</v>
      </c>
      <c r="E15" s="794">
        <f>D15/D$17*E$17</f>
        <v>193693.24857426548</v>
      </c>
      <c r="F15" s="843">
        <f>INT(0.7+E15+C15)</f>
        <v>380349</v>
      </c>
    </row>
    <row r="16" spans="1:9" ht="15.75" thickBot="1">
      <c r="A16" s="795" t="s">
        <v>16</v>
      </c>
      <c r="B16" s="844"/>
      <c r="C16" s="636">
        <f>SUM(C14:C15)</f>
        <v>960867</v>
      </c>
      <c r="D16" s="637">
        <f t="shared" ref="D16:F16" si="1">SUM(D14:D15)</f>
        <v>6448</v>
      </c>
      <c r="E16" s="636">
        <f t="shared" si="1"/>
        <v>995166.58709710278</v>
      </c>
      <c r="F16" s="845">
        <f t="shared" si="1"/>
        <v>1956034</v>
      </c>
    </row>
    <row r="17" spans="1:12">
      <c r="C17" s="2">
        <v>6062058.5</v>
      </c>
      <c r="D17" s="2">
        <v>39278</v>
      </c>
      <c r="E17" s="2">
        <v>6062058.5</v>
      </c>
    </row>
    <row r="21" spans="1:12" ht="15.75" thickBot="1"/>
    <row r="22" spans="1:12" ht="75.75" thickBot="1">
      <c r="B22" s="1444" t="s">
        <v>332</v>
      </c>
      <c r="C22" s="1445"/>
      <c r="D22" s="1445"/>
      <c r="E22" s="1445"/>
      <c r="F22" s="1445"/>
      <c r="G22" s="1445"/>
      <c r="H22" s="801" t="s">
        <v>333</v>
      </c>
      <c r="I22" s="802"/>
      <c r="J22" s="802"/>
      <c r="K22" s="802"/>
      <c r="L22" s="803"/>
    </row>
    <row r="23" spans="1:12" ht="135.75" thickBot="1">
      <c r="B23" s="804" t="s">
        <v>400</v>
      </c>
      <c r="C23" s="805" t="s">
        <v>334</v>
      </c>
      <c r="D23" s="806" t="s">
        <v>335</v>
      </c>
      <c r="E23" s="806" t="s">
        <v>336</v>
      </c>
      <c r="F23" s="807" t="s">
        <v>337</v>
      </c>
      <c r="G23" s="179" t="s">
        <v>399</v>
      </c>
      <c r="H23" s="808" t="s">
        <v>338</v>
      </c>
      <c r="I23" s="809" t="s">
        <v>343</v>
      </c>
      <c r="J23" s="810" t="s">
        <v>339</v>
      </c>
      <c r="K23" s="811" t="s">
        <v>340</v>
      </c>
      <c r="L23" s="179" t="s">
        <v>341</v>
      </c>
    </row>
    <row r="24" spans="1:12" ht="15.75" thickBot="1">
      <c r="A24" s="529" t="s">
        <v>16</v>
      </c>
      <c r="B24" s="818">
        <v>961462</v>
      </c>
      <c r="C24" s="558">
        <v>6494.4</v>
      </c>
      <c r="D24" s="565">
        <v>0</v>
      </c>
      <c r="E24" s="565">
        <v>454607.99999999994</v>
      </c>
      <c r="F24" s="566">
        <v>514368</v>
      </c>
      <c r="G24" s="618">
        <v>968976</v>
      </c>
      <c r="H24" s="642">
        <v>288944.61538461538</v>
      </c>
      <c r="I24" s="819">
        <v>404522</v>
      </c>
      <c r="J24" s="846">
        <v>241180.84000000003</v>
      </c>
      <c r="K24" s="850">
        <v>163341.15999999997</v>
      </c>
      <c r="L24" s="1014">
        <v>81671</v>
      </c>
    </row>
    <row r="25" spans="1:12">
      <c r="A25" s="531" t="s">
        <v>209</v>
      </c>
      <c r="B25" s="815"/>
      <c r="C25" s="812">
        <f>I4</f>
        <v>5235</v>
      </c>
      <c r="D25" s="813"/>
      <c r="E25" s="814">
        <f>70*C25</f>
        <v>366450</v>
      </c>
      <c r="F25" s="195">
        <f>H4</f>
        <v>413968</v>
      </c>
      <c r="G25" s="816">
        <f t="shared" ref="G25:G26" si="2">INT(0.5+E25+F25)</f>
        <v>780418</v>
      </c>
      <c r="H25" s="901">
        <f>C25*H$28</f>
        <v>232912.21075672298</v>
      </c>
      <c r="I25" s="817">
        <f>H25*1.4</f>
        <v>326077.09505941218</v>
      </c>
      <c r="J25" s="847"/>
      <c r="K25" s="848">
        <f>(I25-J25)/(I$27-J$27)*K$24</f>
        <v>131665.89255358459</v>
      </c>
      <c r="L25" s="1013">
        <f>IF(K25&lt;0,0,INT(0.5+0.5*K25))</f>
        <v>65833</v>
      </c>
    </row>
    <row r="26" spans="1:12">
      <c r="A26" s="531" t="s">
        <v>62</v>
      </c>
      <c r="B26" s="815"/>
      <c r="C26" s="812">
        <f>I5</f>
        <v>1259.4000000000001</v>
      </c>
      <c r="D26" s="813"/>
      <c r="E26" s="814">
        <f>70*C26</f>
        <v>88158</v>
      </c>
      <c r="F26" s="195">
        <f>H5</f>
        <v>100400</v>
      </c>
      <c r="G26" s="816">
        <f t="shared" si="2"/>
        <v>188558</v>
      </c>
      <c r="H26" s="901">
        <f>C26*H$28</f>
        <v>56032.404627892443</v>
      </c>
      <c r="I26" s="817">
        <f>H26*1.4</f>
        <v>78445.366479049422</v>
      </c>
      <c r="J26" s="847"/>
      <c r="K26" s="848">
        <f>(I26-J26)/(I$27-J$27)*K$24</f>
        <v>31675.267446415368</v>
      </c>
      <c r="L26" s="1013">
        <f>IF(K26&lt;0,0,INT(0.5+0.5*K26))</f>
        <v>15838</v>
      </c>
    </row>
    <row r="27" spans="1:12" ht="15.75" thickBot="1">
      <c r="A27" s="795" t="s">
        <v>16</v>
      </c>
      <c r="B27" s="820"/>
      <c r="C27" s="576">
        <f>SUM(C25:C26)</f>
        <v>6494.4</v>
      </c>
      <c r="D27" s="637"/>
      <c r="E27" s="821">
        <v>454607.99999999994</v>
      </c>
      <c r="F27" s="822">
        <f>SUM(F25:F26)</f>
        <v>514368</v>
      </c>
      <c r="G27" s="642">
        <f>SUM(G25:G26)</f>
        <v>968976</v>
      </c>
      <c r="H27" s="642">
        <f>SUM(H25:H26)</f>
        <v>288944.61538461543</v>
      </c>
      <c r="I27" s="642">
        <f t="shared" ref="I27:L27" si="3">SUM(I25:I26)</f>
        <v>404522.46153846162</v>
      </c>
      <c r="J27" s="849">
        <f t="shared" si="3"/>
        <v>0</v>
      </c>
      <c r="K27" s="850">
        <f t="shared" si="3"/>
        <v>163341.15999999997</v>
      </c>
      <c r="L27" s="1014">
        <f t="shared" si="3"/>
        <v>81671</v>
      </c>
    </row>
    <row r="28" spans="1:12" hidden="1">
      <c r="H28" s="2">
        <v>44.491348759641447</v>
      </c>
    </row>
  </sheetData>
  <sheetProtection algorithmName="SHA-512" hashValue="rgjCE3hwXfnDrQw9HBGYQgcSFa64Xr94DRQDVstMvZ5O541NOtTiqwgEvHhbr9azzb86X9COrp2BaKmZ+OnLpg==" saltValue="cMLs5WM7P0Z6EuL+KPbpTA==" spinCount="100000" sheet="1" objects="1" scenarios="1"/>
  <mergeCells count="2">
    <mergeCell ref="B11:F11"/>
    <mergeCell ref="B22:G2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1"/>
  <dimension ref="A1:AX53"/>
  <sheetViews>
    <sheetView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J14" sqref="J14"/>
    </sheetView>
  </sheetViews>
  <sheetFormatPr defaultColWidth="9.42578125" defaultRowHeight="15"/>
  <cols>
    <col min="1" max="1" width="48.28515625" style="109" customWidth="1"/>
    <col min="2" max="2" width="13.28515625" style="109" bestFit="1" customWidth="1"/>
    <col min="3" max="3" width="12.42578125" style="109" bestFit="1" customWidth="1"/>
    <col min="4" max="4" width="13.28515625" style="109" bestFit="1" customWidth="1"/>
    <col min="5" max="5" width="13.42578125" style="109" customWidth="1"/>
    <col min="6" max="6" width="13.5703125" style="109" customWidth="1"/>
    <col min="7" max="7" width="12.5703125" style="109" customWidth="1"/>
    <col min="8" max="8" width="13.5703125" style="109" customWidth="1"/>
    <col min="9" max="9" width="12.7109375" style="109" customWidth="1"/>
    <col min="10" max="10" width="11.28515625" style="109" bestFit="1" customWidth="1"/>
    <col min="11" max="11" width="12.5703125" style="109" customWidth="1"/>
    <col min="12" max="12" width="11.42578125" style="109" customWidth="1"/>
    <col min="13" max="13" width="13.28515625" style="109" customWidth="1"/>
    <col min="14" max="14" width="13" style="109" customWidth="1"/>
    <col min="15" max="15" width="12.42578125" style="109" bestFit="1" customWidth="1"/>
    <col min="16" max="16" width="14.28515625" style="109" bestFit="1" customWidth="1"/>
    <col min="17" max="17" width="11.5703125" style="109" customWidth="1"/>
    <col min="18" max="18" width="12.5703125" style="109" customWidth="1"/>
    <col min="19" max="19" width="13.5703125" style="109" customWidth="1"/>
    <col min="20" max="21" width="12.5703125" style="109" customWidth="1"/>
    <col min="22" max="22" width="12.5703125" style="109" bestFit="1" customWidth="1"/>
    <col min="23" max="23" width="12.28515625" style="109" customWidth="1"/>
    <col min="24" max="25" width="12.42578125" style="109" bestFit="1" customWidth="1"/>
    <col min="26" max="26" width="10" style="109" customWidth="1"/>
    <col min="27" max="27" width="12.42578125" style="109" bestFit="1" customWidth="1"/>
    <col min="28" max="28" width="11.42578125" style="109" bestFit="1" customWidth="1"/>
    <col min="29" max="29" width="12.42578125" style="109" bestFit="1" customWidth="1"/>
    <col min="30" max="30" width="10.5703125" style="109" customWidth="1"/>
    <col min="31" max="32" width="11.42578125" style="109" customWidth="1"/>
    <col min="33" max="33" width="12.42578125" style="109" hidden="1" customWidth="1"/>
    <col min="34" max="34" width="7.5703125" style="109" hidden="1" customWidth="1"/>
    <col min="35" max="35" width="11.5703125" style="109" bestFit="1" customWidth="1"/>
    <col min="36" max="36" width="16.7109375" style="109" customWidth="1"/>
    <col min="37" max="37" width="12.5703125" style="109" customWidth="1"/>
    <col min="38" max="38" width="16.5703125" style="109" customWidth="1"/>
    <col min="39" max="39" width="15.28515625" style="109" customWidth="1"/>
    <col min="40" max="40" width="12.28515625" style="109" customWidth="1"/>
    <col min="41" max="41" width="9" style="109" customWidth="1"/>
    <col min="42" max="42" width="10.42578125" style="109" bestFit="1" customWidth="1"/>
    <col min="43" max="44" width="9.5703125" style="109" customWidth="1"/>
    <col min="45" max="46" width="9.42578125" style="109"/>
    <col min="47" max="50" width="14.28515625" style="109" customWidth="1"/>
    <col min="51" max="16384" width="9.42578125" style="109"/>
  </cols>
  <sheetData>
    <row r="1" spans="1:50" ht="15.75" thickBot="1">
      <c r="B1" s="1453" t="s">
        <v>144</v>
      </c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61" t="s">
        <v>145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269"/>
      <c r="AB1" s="269"/>
      <c r="AC1" s="269"/>
      <c r="AD1" s="270"/>
      <c r="AN1" s="270"/>
    </row>
    <row r="2" spans="1:50" s="138" customFormat="1" ht="47.1" customHeight="1" thickBot="1">
      <c r="A2" s="1454"/>
      <c r="B2" s="1450" t="s">
        <v>322</v>
      </c>
      <c r="C2" s="1451"/>
      <c r="D2" s="1451"/>
      <c r="E2" s="1456" t="s">
        <v>317</v>
      </c>
      <c r="F2" s="1457"/>
      <c r="G2" s="1450" t="s">
        <v>146</v>
      </c>
      <c r="H2" s="1451"/>
      <c r="I2" s="1451"/>
      <c r="J2" s="1451"/>
      <c r="K2" s="1451"/>
      <c r="L2" s="1451"/>
      <c r="M2" s="1451"/>
      <c r="N2" s="1452"/>
      <c r="O2" s="309"/>
      <c r="P2" s="1450" t="s">
        <v>297</v>
      </c>
      <c r="Q2" s="1451"/>
      <c r="R2" s="1451"/>
      <c r="S2" s="1450" t="s">
        <v>298</v>
      </c>
      <c r="T2" s="1451"/>
      <c r="U2" s="1451"/>
      <c r="V2" s="1450" t="s">
        <v>323</v>
      </c>
      <c r="W2" s="1451"/>
      <c r="X2" s="1451"/>
      <c r="Y2" s="1450" t="s">
        <v>309</v>
      </c>
      <c r="Z2" s="1451"/>
      <c r="AA2" s="1452"/>
      <c r="AB2" s="1450" t="s">
        <v>147</v>
      </c>
      <c r="AC2" s="1451"/>
      <c r="AD2" s="1451"/>
      <c r="AE2" s="1451"/>
      <c r="AF2" s="1452"/>
      <c r="AG2" s="1450" t="s">
        <v>148</v>
      </c>
      <c r="AH2" s="1451"/>
      <c r="AI2" s="1446" t="s">
        <v>198</v>
      </c>
      <c r="AJ2" s="1437" t="s">
        <v>149</v>
      </c>
      <c r="AK2" s="1439"/>
      <c r="AL2" s="1448"/>
      <c r="AM2" s="1449"/>
      <c r="AN2" s="1448" t="s">
        <v>150</v>
      </c>
      <c r="AO2" s="1448"/>
      <c r="AP2" s="1448"/>
      <c r="AQ2" s="1448"/>
      <c r="AR2" s="1449"/>
    </row>
    <row r="3" spans="1:50" ht="124.35" customHeight="1" thickBot="1">
      <c r="A3" s="1455"/>
      <c r="B3" s="310" t="s">
        <v>151</v>
      </c>
      <c r="C3" s="311" t="s">
        <v>152</v>
      </c>
      <c r="D3" s="312" t="s">
        <v>153</v>
      </c>
      <c r="E3" s="176" t="s">
        <v>154</v>
      </c>
      <c r="F3" s="313" t="s">
        <v>155</v>
      </c>
      <c r="G3" s="315" t="s">
        <v>156</v>
      </c>
      <c r="H3" s="314" t="s">
        <v>157</v>
      </c>
      <c r="I3" s="314" t="s">
        <v>158</v>
      </c>
      <c r="J3" s="314" t="s">
        <v>159</v>
      </c>
      <c r="K3" s="314" t="s">
        <v>160</v>
      </c>
      <c r="L3" s="314" t="s">
        <v>161</v>
      </c>
      <c r="M3" s="314" t="s">
        <v>162</v>
      </c>
      <c r="N3" s="314" t="s">
        <v>163</v>
      </c>
      <c r="O3" s="177" t="s">
        <v>164</v>
      </c>
      <c r="P3" s="213" t="s">
        <v>300</v>
      </c>
      <c r="Q3" s="314" t="s">
        <v>131</v>
      </c>
      <c r="R3" s="312" t="s">
        <v>165</v>
      </c>
      <c r="S3" s="213" t="s">
        <v>301</v>
      </c>
      <c r="T3" s="314" t="s">
        <v>166</v>
      </c>
      <c r="U3" s="312" t="s">
        <v>167</v>
      </c>
      <c r="V3" s="218" t="s">
        <v>302</v>
      </c>
      <c r="W3" s="311" t="s">
        <v>168</v>
      </c>
      <c r="X3" s="312" t="s">
        <v>169</v>
      </c>
      <c r="Y3" s="315" t="s">
        <v>196</v>
      </c>
      <c r="Z3" s="311" t="s">
        <v>170</v>
      </c>
      <c r="AA3" s="215" t="s">
        <v>171</v>
      </c>
      <c r="AB3" s="316" t="s">
        <v>316</v>
      </c>
      <c r="AC3" s="215" t="s">
        <v>172</v>
      </c>
      <c r="AD3" s="317" t="s">
        <v>318</v>
      </c>
      <c r="AE3" s="215" t="s">
        <v>173</v>
      </c>
      <c r="AF3" s="215" t="s">
        <v>174</v>
      </c>
      <c r="AG3" s="318" t="s">
        <v>315</v>
      </c>
      <c r="AH3" s="312" t="s">
        <v>175</v>
      </c>
      <c r="AI3" s="1447"/>
      <c r="AJ3" s="319" t="s">
        <v>197</v>
      </c>
      <c r="AK3" s="320" t="s">
        <v>176</v>
      </c>
      <c r="AL3" s="214" t="s">
        <v>199</v>
      </c>
      <c r="AM3" s="214" t="s">
        <v>201</v>
      </c>
      <c r="AN3" s="321" t="s">
        <v>177</v>
      </c>
      <c r="AO3" s="322" t="s">
        <v>178</v>
      </c>
      <c r="AP3" s="323" t="s">
        <v>179</v>
      </c>
      <c r="AQ3" s="324" t="s">
        <v>180</v>
      </c>
      <c r="AR3" s="325" t="s">
        <v>200</v>
      </c>
    </row>
    <row r="4" spans="1:50" s="112" customFormat="1" ht="15.75" thickBot="1">
      <c r="A4" s="342" t="s">
        <v>2</v>
      </c>
      <c r="B4" s="560">
        <v>8058.2821250000015</v>
      </c>
      <c r="C4" s="601">
        <v>14.464352860486354</v>
      </c>
      <c r="D4" s="559">
        <v>3966366.0404117391</v>
      </c>
      <c r="E4" s="773">
        <v>16.387185830930942</v>
      </c>
      <c r="F4" s="566">
        <v>6740458.2152390275</v>
      </c>
      <c r="G4" s="606">
        <v>8924323.5909264125</v>
      </c>
      <c r="H4" s="565">
        <v>9915915.1010293476</v>
      </c>
      <c r="I4" s="565">
        <v>0</v>
      </c>
      <c r="J4" s="565">
        <v>790909.15462141903</v>
      </c>
      <c r="K4" s="565">
        <v>8924323.5909264125</v>
      </c>
      <c r="L4" s="565">
        <v>790909.15462141903</v>
      </c>
      <c r="M4" s="1007">
        <v>18.810199209841329</v>
      </c>
      <c r="N4" s="565">
        <v>-373619.63703519024</v>
      </c>
      <c r="O4" s="559">
        <v>10333204.618615575</v>
      </c>
      <c r="P4" s="606">
        <v>14854641.280000001</v>
      </c>
      <c r="Q4" s="601">
        <v>18.512825864686896</v>
      </c>
      <c r="R4" s="559">
        <v>2656321.0370380003</v>
      </c>
      <c r="S4" s="561">
        <v>3499728.04</v>
      </c>
      <c r="T4" s="601">
        <v>27.327633990890945</v>
      </c>
      <c r="U4" s="561">
        <v>1307039.2313065717</v>
      </c>
      <c r="V4" s="606">
        <v>3721141.9400000004</v>
      </c>
      <c r="W4" s="601">
        <v>21.389934238776295</v>
      </c>
      <c r="X4" s="559">
        <v>3410160.2324918061</v>
      </c>
      <c r="Y4" s="627">
        <v>312.5</v>
      </c>
      <c r="Z4" s="601">
        <v>17.161685964029108</v>
      </c>
      <c r="AA4" s="561">
        <v>2736057.9206901286</v>
      </c>
      <c r="AB4" s="227">
        <v>12.030314167325002</v>
      </c>
      <c r="AC4" s="559">
        <v>4315437.4213877171</v>
      </c>
      <c r="AD4" s="627">
        <v>8.0598080722868648</v>
      </c>
      <c r="AE4" s="561">
        <v>321240.31638913578</v>
      </c>
      <c r="AF4" s="618">
        <v>52241</v>
      </c>
      <c r="AG4" s="628">
        <v>22.160664819944596</v>
      </c>
      <c r="AH4" s="561">
        <v>0</v>
      </c>
      <c r="AI4" s="629">
        <v>15.730874356656605</v>
      </c>
      <c r="AJ4" s="618">
        <v>25079461</v>
      </c>
      <c r="AK4" s="561">
        <v>160693</v>
      </c>
      <c r="AL4" s="618">
        <v>25292395</v>
      </c>
      <c r="AM4" s="630">
        <v>1</v>
      </c>
      <c r="AN4" s="629">
        <v>10.855061657976481</v>
      </c>
      <c r="AO4" s="1159">
        <v>8.0598080722868648</v>
      </c>
      <c r="AP4" s="1159">
        <v>9.9866567253383636</v>
      </c>
      <c r="AQ4" s="1159">
        <v>0.64478464578294925</v>
      </c>
      <c r="AR4" s="625">
        <v>10.631441371121312</v>
      </c>
    </row>
    <row r="5" spans="1:50">
      <c r="A5" s="500" t="s">
        <v>6</v>
      </c>
      <c r="B5" s="271">
        <v>342.13057499999996</v>
      </c>
      <c r="C5" s="602">
        <f>100*B5/$B$16</f>
        <v>0.61411319241457973</v>
      </c>
      <c r="D5" s="274">
        <f>C5/C$4*D$4</f>
        <v>168400.04767970846</v>
      </c>
      <c r="E5" s="760">
        <f>'T14aa-VVZ-6r'!H6</f>
        <v>0.899522460966096</v>
      </c>
      <c r="F5" s="603">
        <f t="shared" ref="F5:F14" si="0">E5/E$4*F$4</f>
        <v>369996.02154792339</v>
      </c>
      <c r="G5" s="273">
        <f>0.9*H5</f>
        <v>378900.107279344</v>
      </c>
      <c r="H5" s="608">
        <f>C5/C$4*H$4</f>
        <v>421000.11919927108</v>
      </c>
      <c r="I5" s="609">
        <f>IF(G5&gt;H5,G5-H5,0)</f>
        <v>0</v>
      </c>
      <c r="J5" s="608">
        <f t="shared" ref="J5:J14" si="1">+IF(I5=0,-H5+F5+D5,0)</f>
        <v>117395.95002836076</v>
      </c>
      <c r="K5" s="608">
        <f>+G5</f>
        <v>378900.107279344</v>
      </c>
      <c r="L5" s="609">
        <f>+IF(J5&gt;0,J5*L$4/J$16,0)</f>
        <v>91430.398267280834</v>
      </c>
      <c r="M5" s="1003">
        <f>+L5/$L$16*100</f>
        <v>2.1744899464033951</v>
      </c>
      <c r="N5" s="609">
        <f>+M5*$I$16/100</f>
        <v>-43191.04414837082</v>
      </c>
      <c r="O5" s="274">
        <f t="shared" ref="O5:O14" si="2">+D5+F5-I5+N5</f>
        <v>495205.0250792611</v>
      </c>
      <c r="P5" s="275">
        <f>'T14c-vstup_DG-ZG'!D4</f>
        <v>274341</v>
      </c>
      <c r="Q5" s="276">
        <f>100*P5/$P$16</f>
        <v>0.34190170363670119</v>
      </c>
      <c r="R5" s="274">
        <f>Q5/Q$4*R$4</f>
        <v>49057.91771647831</v>
      </c>
      <c r="S5" s="604">
        <f>'T14c-vstup_DG-ZG'!I4</f>
        <v>133409</v>
      </c>
      <c r="T5" s="276">
        <f>100*S5/$S$16</f>
        <v>1.0417244658504294</v>
      </c>
      <c r="U5" s="272">
        <f t="shared" ref="U5:U14" si="3">T5/T$4*U$4</f>
        <v>49824.099134679745</v>
      </c>
      <c r="V5" s="275">
        <f>'T14c-vstup_DG-ZG'!N4</f>
        <v>131901</v>
      </c>
      <c r="W5" s="276">
        <f>100*V5/$V$16</f>
        <v>0.75819567259743692</v>
      </c>
      <c r="X5" s="274">
        <f t="shared" ref="X5:X14" si="4">W5/W$4*X$4</f>
        <v>120877.82516189147</v>
      </c>
      <c r="Y5" s="611">
        <v>40</v>
      </c>
      <c r="Z5" s="277">
        <f>Y5/$Y$16*100</f>
        <v>2.196695803395726</v>
      </c>
      <c r="AA5" s="272">
        <f t="shared" ref="AA5:AA14" si="5">Z5/Z$4*AA$4</f>
        <v>350215.41384833644</v>
      </c>
      <c r="AB5" s="278">
        <f>'T20-Publik'!I6</f>
        <v>0.24091627775985314</v>
      </c>
      <c r="AC5" s="274">
        <f>AB5*$AC$17/100</f>
        <v>86420.948951049999</v>
      </c>
      <c r="AD5" s="612">
        <f>'T20-Publik'!L6</f>
        <v>6.2154685810368999</v>
      </c>
      <c r="AE5" s="272">
        <f>ROUND(AD5*$AE$17/100,0)</f>
        <v>247730</v>
      </c>
      <c r="AF5" s="619">
        <f>AF$4*AE5/AE$15</f>
        <v>40286.586134976962</v>
      </c>
      <c r="AG5" s="616"/>
      <c r="AH5" s="272"/>
      <c r="AI5" s="620">
        <f>AJ5/$AJ$16*100</f>
        <v>0.87771823104071667</v>
      </c>
      <c r="AJ5" s="906">
        <f>INT(0.7+AE5+AC5+AA5+X5+U5+R5+O5+AH5)</f>
        <v>1399331</v>
      </c>
      <c r="AK5" s="189"/>
      <c r="AL5" s="913">
        <f t="shared" ref="AL5:AL14" si="6">SUM(AJ5:AK5)+AF5</f>
        <v>1439617.5861349769</v>
      </c>
      <c r="AM5" s="776">
        <f>AJ5/AJ$4</f>
        <v>5.579589609202526E-2</v>
      </c>
      <c r="AN5" s="626">
        <f>'T20-Publik'!F6</f>
        <v>0.37589042574084264</v>
      </c>
      <c r="AO5" s="280">
        <f>'T20-Publik'!L6</f>
        <v>6.2154685810368999</v>
      </c>
      <c r="AP5" s="279">
        <f>AN5*13.8/15</f>
        <v>0.34581919168157527</v>
      </c>
      <c r="AQ5" s="281">
        <f>AO5*1.2/15</f>
        <v>0.49723748648295196</v>
      </c>
      <c r="AR5" s="282">
        <f>AP5+AQ5</f>
        <v>0.84305667816452723</v>
      </c>
      <c r="AU5" s="329">
        <v>160588271</v>
      </c>
      <c r="AV5" s="305" t="s">
        <v>191</v>
      </c>
      <c r="AW5" s="330">
        <v>163537938</v>
      </c>
      <c r="AX5" s="296">
        <f t="shared" ref="AX5:AX13" si="7">AU5-AW5</f>
        <v>-2949667</v>
      </c>
    </row>
    <row r="6" spans="1:50">
      <c r="A6" s="500" t="s">
        <v>3</v>
      </c>
      <c r="B6" s="271">
        <v>1853.30115</v>
      </c>
      <c r="C6" s="602">
        <f t="shared" ref="C6:C14" si="8">100*B6/$B$16</f>
        <v>3.326614950248489</v>
      </c>
      <c r="D6" s="274">
        <f t="shared" ref="D6:D14" si="9">C6/C$4*D$4</f>
        <v>912213.12805749231</v>
      </c>
      <c r="E6" s="760">
        <f>'T14aa-VVZ-6r'!H7</f>
        <v>3.9361289235236954</v>
      </c>
      <c r="F6" s="603">
        <f t="shared" si="0"/>
        <v>1619027.9900730229</v>
      </c>
      <c r="G6" s="273">
        <f t="shared" ref="G6:G14" si="10">0.9*H6</f>
        <v>2052479.5381293579</v>
      </c>
      <c r="H6" s="608">
        <f t="shared" ref="H6:H14" si="11">C6/C$4*H$4</f>
        <v>2280532.8201437308</v>
      </c>
      <c r="I6" s="609">
        <v>0</v>
      </c>
      <c r="J6" s="608">
        <f t="shared" si="1"/>
        <v>250708.29798678437</v>
      </c>
      <c r="K6" s="608">
        <f t="shared" ref="K6:K14" si="12">+G6</f>
        <v>2052479.5381293579</v>
      </c>
      <c r="L6" s="609">
        <f t="shared" ref="L6:L14" si="13">+IF(J6&gt;0,J6*L$4/J$16,0)</f>
        <v>195256.81702227535</v>
      </c>
      <c r="M6" s="1003">
        <f t="shared" ref="M6:M14" si="14">+L6/$L$16*100</f>
        <v>4.6437945544157841</v>
      </c>
      <c r="N6" s="609">
        <f t="shared" ref="N6:N14" si="15">+M6*$I$16/100</f>
        <v>-92237.876724828893</v>
      </c>
      <c r="O6" s="274">
        <f t="shared" si="2"/>
        <v>2439003.2414056864</v>
      </c>
      <c r="P6" s="275">
        <f>'T14c-vstup_DG-ZG'!D5</f>
        <v>3412291.81</v>
      </c>
      <c r="Q6" s="276">
        <f t="shared" ref="Q6:Q14" si="16">100*P6/$P$16</f>
        <v>4.2526213112315068</v>
      </c>
      <c r="R6" s="274">
        <f t="shared" ref="R6:R14" si="17">Q6/Q$4*R$4</f>
        <v>610189.25658065279</v>
      </c>
      <c r="S6" s="604">
        <f>'T14c-vstup_DG-ZG'!I5</f>
        <v>294005</v>
      </c>
      <c r="T6" s="276">
        <f t="shared" ref="T6:T14" si="18">100*S6/$S$16</f>
        <v>2.2957386801666715</v>
      </c>
      <c r="U6" s="272">
        <f t="shared" si="3"/>
        <v>109801.69453403832</v>
      </c>
      <c r="V6" s="275">
        <f>'T14c-vstup_DG-ZG'!N5</f>
        <v>2379088.98</v>
      </c>
      <c r="W6" s="276">
        <f t="shared" ref="W6:W14" si="19">100*V6/$V$16</f>
        <v>13.67552156056626</v>
      </c>
      <c r="X6" s="274">
        <f t="shared" si="4"/>
        <v>2180264.757424301</v>
      </c>
      <c r="Y6" s="611">
        <v>38.75</v>
      </c>
      <c r="Z6" s="277">
        <f t="shared" ref="Z6:Z14" si="20">Y6/$Y$16*100</f>
        <v>2.1280490595396091</v>
      </c>
      <c r="AA6" s="272">
        <f t="shared" si="5"/>
        <v>339271.18216557591</v>
      </c>
      <c r="AB6" s="278">
        <f>'T20-Publik'!I7</f>
        <v>2.125266738445073</v>
      </c>
      <c r="AC6" s="274">
        <f t="shared" ref="AC6:AC14" si="21">AB6*$AC$17/100</f>
        <v>762370.93656912295</v>
      </c>
      <c r="AD6" s="612">
        <f>'T20-Publik'!L7</f>
        <v>0</v>
      </c>
      <c r="AE6" s="272"/>
      <c r="AF6" s="619">
        <f t="shared" ref="AF6:AF14" si="22">AF$4*AE6/AE$15</f>
        <v>0</v>
      </c>
      <c r="AG6" s="616"/>
      <c r="AH6" s="272"/>
      <c r="AI6" s="620">
        <f t="shared" ref="AI6:AI14" si="23">AJ6/$AJ$16*100</f>
        <v>4.0399992796760618</v>
      </c>
      <c r="AJ6" s="906">
        <f t="shared" ref="AJ6:AJ14" si="24">INT(0.7+AE6+AC6+AA6+X6+U6+R6+O6+AH6)</f>
        <v>6440901</v>
      </c>
      <c r="AK6" s="189">
        <v>25108</v>
      </c>
      <c r="AL6" s="913">
        <f t="shared" si="6"/>
        <v>6466009</v>
      </c>
      <c r="AM6" s="776">
        <f t="shared" ref="AM6:AM14" si="25">AJ6/AJ$4</f>
        <v>0.25681975382166305</v>
      </c>
      <c r="AN6" s="626">
        <f>'T20-Publik'!F7</f>
        <v>1.8656492509402876</v>
      </c>
      <c r="AO6" s="280">
        <f>'T20-Publik'!L7</f>
        <v>0</v>
      </c>
      <c r="AP6" s="279">
        <f t="shared" ref="AP6:AP14" si="26">AN6*13.8/15</f>
        <v>1.7163973108650648</v>
      </c>
      <c r="AQ6" s="281">
        <f t="shared" ref="AQ6:AQ14" si="27">AO6*1.2/15</f>
        <v>0</v>
      </c>
      <c r="AR6" s="282">
        <f t="shared" ref="AR6:AR14" si="28">AP6+AQ6</f>
        <v>1.7163973108650648</v>
      </c>
      <c r="AU6" s="298">
        <f>AU7+AU9+AU10</f>
        <v>160588271</v>
      </c>
      <c r="AV6" s="306"/>
      <c r="AW6" s="299">
        <v>154088099</v>
      </c>
      <c r="AX6" s="297">
        <f t="shared" si="7"/>
        <v>6500172</v>
      </c>
    </row>
    <row r="7" spans="1:50">
      <c r="A7" s="500" t="s">
        <v>5</v>
      </c>
      <c r="B7" s="271">
        <v>1771.8999999999999</v>
      </c>
      <c r="C7" s="602">
        <f t="shared" si="8"/>
        <v>3.1805025483016065</v>
      </c>
      <c r="D7" s="274">
        <f t="shared" si="9"/>
        <v>872146.67816132889</v>
      </c>
      <c r="E7" s="760">
        <f>'T14aa-VVZ-6r'!H8</f>
        <v>4.2765552862349496</v>
      </c>
      <c r="F7" s="603">
        <f t="shared" si="0"/>
        <v>1759053.8430104982</v>
      </c>
      <c r="G7" s="273">
        <f t="shared" si="10"/>
        <v>1962330.0258629899</v>
      </c>
      <c r="H7" s="608">
        <f t="shared" si="11"/>
        <v>2180366.6954033221</v>
      </c>
      <c r="I7" s="609">
        <v>0</v>
      </c>
      <c r="J7" s="608">
        <f t="shared" si="1"/>
        <v>450833.82576850499</v>
      </c>
      <c r="K7" s="608">
        <f t="shared" si="12"/>
        <v>1962330.0258629899</v>
      </c>
      <c r="L7" s="609">
        <f t="shared" si="13"/>
        <v>351118.72455922299</v>
      </c>
      <c r="M7" s="1003">
        <f t="shared" si="14"/>
        <v>8.3506596385596179</v>
      </c>
      <c r="N7" s="609">
        <f t="shared" si="15"/>
        <v>-165865.8894761049</v>
      </c>
      <c r="O7" s="274">
        <f t="shared" si="2"/>
        <v>2465334.6316957218</v>
      </c>
      <c r="P7" s="275">
        <f>'T14c-vstup_DG-ZG'!D6</f>
        <v>4552727.8</v>
      </c>
      <c r="Q7" s="276">
        <f t="shared" si="16"/>
        <v>5.673907257807512</v>
      </c>
      <c r="R7" s="274">
        <f t="shared" si="17"/>
        <v>814123.10153394251</v>
      </c>
      <c r="S7" s="604">
        <f>'T14c-vstup_DG-ZG'!I6</f>
        <v>384105.81000000006</v>
      </c>
      <c r="T7" s="276">
        <f t="shared" si="18"/>
        <v>2.9992910504710819</v>
      </c>
      <c r="U7" s="272">
        <f t="shared" si="3"/>
        <v>143451.53592071348</v>
      </c>
      <c r="V7" s="275">
        <f>'T14c-vstup_DG-ZG'!N6</f>
        <v>473245.45999999996</v>
      </c>
      <c r="W7" s="276">
        <f t="shared" si="19"/>
        <v>2.720317964597565</v>
      </c>
      <c r="X7" s="274">
        <f t="shared" si="4"/>
        <v>433695.58966602903</v>
      </c>
      <c r="Y7" s="611">
        <v>76.583333333333329</v>
      </c>
      <c r="Z7" s="277">
        <f t="shared" si="20"/>
        <v>4.2057571735847326</v>
      </c>
      <c r="AA7" s="272">
        <f t="shared" si="5"/>
        <v>670516.59443046071</v>
      </c>
      <c r="AB7" s="278">
        <f>'T20-Publik'!I8</f>
        <v>4.3540902252109088</v>
      </c>
      <c r="AC7" s="274">
        <f t="shared" si="21"/>
        <v>1561889.518550094</v>
      </c>
      <c r="AD7" s="612">
        <f>'T20-Publik'!L8</f>
        <v>0</v>
      </c>
      <c r="AE7" s="272"/>
      <c r="AF7" s="619">
        <f t="shared" si="22"/>
        <v>0</v>
      </c>
      <c r="AG7" s="616"/>
      <c r="AH7" s="272"/>
      <c r="AI7" s="620">
        <f t="shared" si="23"/>
        <v>3.8192793296993108</v>
      </c>
      <c r="AJ7" s="906">
        <f t="shared" si="24"/>
        <v>6089011</v>
      </c>
      <c r="AK7" s="189">
        <v>75325</v>
      </c>
      <c r="AL7" s="913">
        <f t="shared" si="6"/>
        <v>6164336</v>
      </c>
      <c r="AM7" s="776">
        <f t="shared" si="25"/>
        <v>0.24278875052378518</v>
      </c>
      <c r="AN7" s="626">
        <f>'T20-Publik'!F8</f>
        <v>3.5912250839895115</v>
      </c>
      <c r="AO7" s="280">
        <f>'T20-Publik'!L8</f>
        <v>0</v>
      </c>
      <c r="AP7" s="279">
        <f t="shared" si="26"/>
        <v>3.3039270772703508</v>
      </c>
      <c r="AQ7" s="281">
        <f t="shared" si="27"/>
        <v>0</v>
      </c>
      <c r="AR7" s="282">
        <f t="shared" si="28"/>
        <v>3.3039270772703508</v>
      </c>
      <c r="AU7" s="298">
        <v>159428271</v>
      </c>
      <c r="AV7" s="306" t="s">
        <v>192</v>
      </c>
      <c r="AW7" s="299">
        <v>152928099</v>
      </c>
      <c r="AX7" s="297">
        <f t="shared" si="7"/>
        <v>6500172</v>
      </c>
    </row>
    <row r="8" spans="1:50">
      <c r="A8" s="500" t="s">
        <v>7</v>
      </c>
      <c r="B8" s="271">
        <v>250.87999999999997</v>
      </c>
      <c r="C8" s="602">
        <f t="shared" si="8"/>
        <v>0.45032139472764088</v>
      </c>
      <c r="D8" s="274">
        <f t="shared" si="9"/>
        <v>123485.61353186645</v>
      </c>
      <c r="E8" s="760">
        <f>'T14aa-VVZ-6r'!H9</f>
        <v>0.50118153994895376</v>
      </c>
      <c r="F8" s="603">
        <f t="shared" si="0"/>
        <v>206148.46643764214</v>
      </c>
      <c r="G8" s="273">
        <f t="shared" si="10"/>
        <v>277842.63044669951</v>
      </c>
      <c r="H8" s="608">
        <f t="shared" si="11"/>
        <v>308714.03382966609</v>
      </c>
      <c r="I8" s="609">
        <v>0</v>
      </c>
      <c r="J8" s="608">
        <f t="shared" si="1"/>
        <v>20920.046139842496</v>
      </c>
      <c r="K8" s="608">
        <f t="shared" si="12"/>
        <v>277842.63044669951</v>
      </c>
      <c r="L8" s="609">
        <f t="shared" si="13"/>
        <v>16292.965386570913</v>
      </c>
      <c r="M8" s="1003">
        <f t="shared" si="14"/>
        <v>0.38749573557173816</v>
      </c>
      <c r="N8" s="609">
        <f t="shared" si="15"/>
        <v>-7696.6763861411609</v>
      </c>
      <c r="O8" s="274">
        <f t="shared" si="2"/>
        <v>321937.40358336741</v>
      </c>
      <c r="P8" s="275">
        <f>'T14c-vstup_DG-ZG'!D7</f>
        <v>661562.67000000004</v>
      </c>
      <c r="Q8" s="276">
        <f t="shared" si="16"/>
        <v>0.82448268372370437</v>
      </c>
      <c r="R8" s="274">
        <f t="shared" si="17"/>
        <v>118301.26386195901</v>
      </c>
      <c r="S8" s="604">
        <f>'T14c-vstup_DG-ZG'!I7</f>
        <v>380227.5</v>
      </c>
      <c r="T8" s="276">
        <f t="shared" si="18"/>
        <v>2.9690072584244249</v>
      </c>
      <c r="U8" s="272">
        <f t="shared" si="3"/>
        <v>142003.10813911684</v>
      </c>
      <c r="V8" s="275">
        <f>'T14c-vstup_DG-ZG'!N7</f>
        <v>15126.82</v>
      </c>
      <c r="W8" s="276">
        <f t="shared" si="19"/>
        <v>8.6952255586844385E-2</v>
      </c>
      <c r="X8" s="274">
        <f t="shared" si="4"/>
        <v>13862.647767760693</v>
      </c>
      <c r="Y8" s="611">
        <v>25.083333333333332</v>
      </c>
      <c r="Z8" s="277">
        <f t="shared" si="20"/>
        <v>1.3775113267127364</v>
      </c>
      <c r="AA8" s="272">
        <f t="shared" si="5"/>
        <v>219614.24910072764</v>
      </c>
      <c r="AB8" s="278">
        <f>'T20-Publik'!I9</f>
        <v>0.32374571946931363</v>
      </c>
      <c r="AC8" s="274">
        <f t="shared" si="21"/>
        <v>116133.3412400949</v>
      </c>
      <c r="AD8" s="612">
        <f>'T20-Publik'!L9</f>
        <v>0</v>
      </c>
      <c r="AE8" s="272"/>
      <c r="AF8" s="619">
        <f t="shared" si="22"/>
        <v>0</v>
      </c>
      <c r="AG8" s="616"/>
      <c r="AH8" s="272"/>
      <c r="AI8" s="620">
        <f t="shared" si="23"/>
        <v>0.58449608350830073</v>
      </c>
      <c r="AJ8" s="906">
        <f t="shared" si="24"/>
        <v>931852</v>
      </c>
      <c r="AK8" s="189"/>
      <c r="AL8" s="913">
        <f t="shared" si="6"/>
        <v>931852</v>
      </c>
      <c r="AM8" s="776">
        <f t="shared" si="25"/>
        <v>3.715598194076021E-2</v>
      </c>
      <c r="AN8" s="626">
        <f>'T20-Publik'!F9</f>
        <v>0.27479187975290087</v>
      </c>
      <c r="AO8" s="280">
        <f>'T20-Publik'!L9</f>
        <v>0</v>
      </c>
      <c r="AP8" s="279">
        <f t="shared" si="26"/>
        <v>0.25280852937266884</v>
      </c>
      <c r="AQ8" s="281">
        <f t="shared" si="27"/>
        <v>0</v>
      </c>
      <c r="AR8" s="282">
        <f t="shared" si="28"/>
        <v>0.25280852937266884</v>
      </c>
      <c r="AU8" s="298">
        <v>0</v>
      </c>
      <c r="AV8" s="307" t="s">
        <v>193</v>
      </c>
      <c r="AW8" s="299">
        <v>9449839</v>
      </c>
      <c r="AX8" s="297">
        <f t="shared" si="7"/>
        <v>-9449839</v>
      </c>
    </row>
    <row r="9" spans="1:50">
      <c r="A9" s="500" t="s">
        <v>0</v>
      </c>
      <c r="B9" s="271">
        <v>1825.8925750000001</v>
      </c>
      <c r="C9" s="602">
        <f t="shared" si="8"/>
        <v>3.2774174545473684</v>
      </c>
      <c r="D9" s="274">
        <f t="shared" si="9"/>
        <v>898722.35677277786</v>
      </c>
      <c r="E9" s="760">
        <f>'T14aa-VVZ-6r'!H10</f>
        <v>3.3813880156054297</v>
      </c>
      <c r="F9" s="603">
        <f t="shared" si="0"/>
        <v>1390849.2198628844</v>
      </c>
      <c r="G9" s="273">
        <f t="shared" si="10"/>
        <v>2022125.3027387501</v>
      </c>
      <c r="H9" s="608">
        <f t="shared" si="11"/>
        <v>2246805.8919319445</v>
      </c>
      <c r="I9" s="609">
        <v>0</v>
      </c>
      <c r="J9" s="608">
        <f t="shared" si="1"/>
        <v>42765.684703717707</v>
      </c>
      <c r="K9" s="608">
        <f t="shared" si="12"/>
        <v>2022125.3027387501</v>
      </c>
      <c r="L9" s="609">
        <f t="shared" si="13"/>
        <v>33306.801330789211</v>
      </c>
      <c r="M9" s="1003">
        <f t="shared" si="14"/>
        <v>0.79213594180059899</v>
      </c>
      <c r="N9" s="609">
        <f t="shared" si="15"/>
        <v>-15733.886693939212</v>
      </c>
      <c r="O9" s="274">
        <f t="shared" si="2"/>
        <v>2273837.6899417234</v>
      </c>
      <c r="P9" s="275">
        <f>'T14c-vstup_DG-ZG'!D8</f>
        <v>2629539</v>
      </c>
      <c r="Q9" s="276">
        <f t="shared" si="16"/>
        <v>3.277103545875927</v>
      </c>
      <c r="R9" s="274">
        <f t="shared" si="17"/>
        <v>470216.65698627138</v>
      </c>
      <c r="S9" s="604">
        <f>'T14c-vstup_DG-ZG'!I8</f>
        <v>1242729</v>
      </c>
      <c r="T9" s="276">
        <f t="shared" si="18"/>
        <v>9.70385209185166</v>
      </c>
      <c r="U9" s="272">
        <f t="shared" si="3"/>
        <v>464120.50831309299</v>
      </c>
      <c r="V9" s="275">
        <f>'T14c-vstup_DG-ZG'!N8</f>
        <v>154314</v>
      </c>
      <c r="W9" s="276">
        <f t="shared" si="19"/>
        <v>0.88703047756424047</v>
      </c>
      <c r="X9" s="274">
        <f t="shared" si="4"/>
        <v>141417.73536237117</v>
      </c>
      <c r="Y9" s="611">
        <v>77.166666666666671</v>
      </c>
      <c r="Z9" s="277">
        <f t="shared" si="20"/>
        <v>4.2377923207175883</v>
      </c>
      <c r="AA9" s="272">
        <f t="shared" si="5"/>
        <v>675623.90254908253</v>
      </c>
      <c r="AB9" s="278">
        <f>'T20-Publik'!I10</f>
        <v>2.1799978473128916</v>
      </c>
      <c r="AC9" s="274">
        <f t="shared" si="21"/>
        <v>782003.95767288969</v>
      </c>
      <c r="AD9" s="612">
        <f>'T20-Publik'!L10</f>
        <v>1.8443394912499647</v>
      </c>
      <c r="AE9" s="272">
        <f>ROUND(AD9*$AE$17/100,0)</f>
        <v>73510</v>
      </c>
      <c r="AF9" s="619">
        <f t="shared" si="22"/>
        <v>11954.413865023036</v>
      </c>
      <c r="AG9" s="616"/>
      <c r="AH9" s="272"/>
      <c r="AI9" s="620">
        <f t="shared" si="23"/>
        <v>3.061396181107678</v>
      </c>
      <c r="AJ9" s="906">
        <f t="shared" si="24"/>
        <v>4880731</v>
      </c>
      <c r="AK9" s="189">
        <v>60260</v>
      </c>
      <c r="AL9" s="913">
        <f t="shared" si="6"/>
        <v>4952945.4138650233</v>
      </c>
      <c r="AM9" s="776">
        <f t="shared" si="25"/>
        <v>0.19461068162509554</v>
      </c>
      <c r="AN9" s="626">
        <f>'T20-Publik'!F10</f>
        <v>2.1676702742495855</v>
      </c>
      <c r="AO9" s="280">
        <f>'T20-Publik'!L10</f>
        <v>1.8443394912499647</v>
      </c>
      <c r="AP9" s="279">
        <f t="shared" si="26"/>
        <v>1.9942566523096188</v>
      </c>
      <c r="AQ9" s="281">
        <f t="shared" si="27"/>
        <v>0.14754715929999715</v>
      </c>
      <c r="AR9" s="282">
        <f t="shared" si="28"/>
        <v>2.1418038116096159</v>
      </c>
      <c r="AU9" s="298">
        <v>1160000</v>
      </c>
      <c r="AV9" s="283" t="s">
        <v>194</v>
      </c>
      <c r="AW9" s="299">
        <v>1160000</v>
      </c>
      <c r="AX9" s="297">
        <f t="shared" si="7"/>
        <v>0</v>
      </c>
    </row>
    <row r="10" spans="1:50">
      <c r="A10" s="500" t="s">
        <v>1</v>
      </c>
      <c r="B10" s="271">
        <v>857.36922500000014</v>
      </c>
      <c r="C10" s="602">
        <f t="shared" si="8"/>
        <v>1.5389497177876144</v>
      </c>
      <c r="D10" s="274">
        <f t="shared" si="9"/>
        <v>422005.59938004578</v>
      </c>
      <c r="E10" s="760">
        <f>'T14aa-VVZ-6r'!H11</f>
        <v>1.3908492460096611</v>
      </c>
      <c r="F10" s="603">
        <f t="shared" si="0"/>
        <v>572090.9815234727</v>
      </c>
      <c r="G10" s="273">
        <f t="shared" si="10"/>
        <v>949512.59860510298</v>
      </c>
      <c r="H10" s="608">
        <f t="shared" si="11"/>
        <v>1055013.9984501144</v>
      </c>
      <c r="I10" s="609">
        <v>0</v>
      </c>
      <c r="J10" s="608">
        <f t="shared" si="1"/>
        <v>-60917.417546595912</v>
      </c>
      <c r="K10" s="608">
        <f t="shared" si="12"/>
        <v>949512.59860510298</v>
      </c>
      <c r="L10" s="609">
        <f t="shared" si="13"/>
        <v>0</v>
      </c>
      <c r="M10" s="1003">
        <f t="shared" si="14"/>
        <v>0</v>
      </c>
      <c r="N10" s="609">
        <f t="shared" si="15"/>
        <v>0</v>
      </c>
      <c r="O10" s="274">
        <f t="shared" si="2"/>
        <v>994096.58090351848</v>
      </c>
      <c r="P10" s="275">
        <f>'T14c-vstup_DG-ZG'!D9</f>
        <v>1946978</v>
      </c>
      <c r="Q10" s="276">
        <f t="shared" si="16"/>
        <v>2.4264513694386811</v>
      </c>
      <c r="R10" s="274">
        <f t="shared" si="17"/>
        <v>348160.45184567198</v>
      </c>
      <c r="S10" s="604">
        <f>'T14c-vstup_DG-ZG'!I9</f>
        <v>551588.54</v>
      </c>
      <c r="T10" s="276">
        <f t="shared" si="18"/>
        <v>4.3070803109289342</v>
      </c>
      <c r="U10" s="272">
        <f t="shared" si="3"/>
        <v>206001.11010886269</v>
      </c>
      <c r="V10" s="275">
        <f>'T14c-vstup_DG-ZG'!N9</f>
        <v>28589.74</v>
      </c>
      <c r="W10" s="276">
        <f t="shared" si="19"/>
        <v>0.16434005161966814</v>
      </c>
      <c r="X10" s="274">
        <f t="shared" si="4"/>
        <v>26200.450285774441</v>
      </c>
      <c r="Y10" s="611">
        <v>19.25</v>
      </c>
      <c r="Z10" s="277">
        <f t="shared" si="20"/>
        <v>1.057159855384193</v>
      </c>
      <c r="AA10" s="272">
        <f t="shared" si="5"/>
        <v>168541.1679145119</v>
      </c>
      <c r="AB10" s="278">
        <f>'T20-Publik'!I11</f>
        <v>0.55385931359797913</v>
      </c>
      <c r="AC10" s="274">
        <f t="shared" si="21"/>
        <v>198679.17565216048</v>
      </c>
      <c r="AD10" s="612">
        <f>'T20-Publik'!L11</f>
        <v>0</v>
      </c>
      <c r="AE10" s="272"/>
      <c r="AF10" s="619">
        <f t="shared" si="22"/>
        <v>0</v>
      </c>
      <c r="AG10" s="616"/>
      <c r="AH10" s="272"/>
      <c r="AI10" s="620">
        <f t="shared" si="23"/>
        <v>1.2179013093606215</v>
      </c>
      <c r="AJ10" s="906">
        <f t="shared" si="24"/>
        <v>1941679</v>
      </c>
      <c r="AK10" s="189"/>
      <c r="AL10" s="913">
        <f t="shared" si="6"/>
        <v>1941679</v>
      </c>
      <c r="AM10" s="776">
        <f t="shared" si="25"/>
        <v>7.7421081736963965E-2</v>
      </c>
      <c r="AN10" s="626">
        <f>'T20-Publik'!F11</f>
        <v>0.58771688746699513</v>
      </c>
      <c r="AO10" s="280">
        <f>'T20-Publik'!L11</f>
        <v>0</v>
      </c>
      <c r="AP10" s="279">
        <f t="shared" si="26"/>
        <v>0.54069953646963553</v>
      </c>
      <c r="AQ10" s="281">
        <f t="shared" si="27"/>
        <v>0</v>
      </c>
      <c r="AR10" s="282">
        <f t="shared" si="28"/>
        <v>0.54069953646963553</v>
      </c>
      <c r="AU10" s="299">
        <v>0</v>
      </c>
      <c r="AV10" s="283"/>
      <c r="AW10" s="299"/>
      <c r="AX10" s="297">
        <f t="shared" si="7"/>
        <v>0</v>
      </c>
    </row>
    <row r="11" spans="1:50">
      <c r="A11" s="500" t="s">
        <v>4</v>
      </c>
      <c r="B11" s="271">
        <v>1043.605425</v>
      </c>
      <c r="C11" s="602">
        <f t="shared" si="8"/>
        <v>1.8732376057530791</v>
      </c>
      <c r="D11" s="274">
        <f t="shared" si="9"/>
        <v>513672.89617071609</v>
      </c>
      <c r="E11" s="760">
        <f>'T14aa-VVZ-6r'!H12</f>
        <v>1.4752678446168275</v>
      </c>
      <c r="F11" s="603">
        <f t="shared" si="0"/>
        <v>606814.45646122622</v>
      </c>
      <c r="G11" s="273">
        <f t="shared" si="10"/>
        <v>1155764.0163841113</v>
      </c>
      <c r="H11" s="608">
        <f t="shared" si="11"/>
        <v>1284182.2404267902</v>
      </c>
      <c r="I11" s="609">
        <v>0</v>
      </c>
      <c r="J11" s="608">
        <f t="shared" si="1"/>
        <v>-163694.88779484789</v>
      </c>
      <c r="K11" s="608">
        <f t="shared" si="12"/>
        <v>1155764.0163841113</v>
      </c>
      <c r="L11" s="609">
        <f t="shared" si="13"/>
        <v>0</v>
      </c>
      <c r="M11" s="1003">
        <f t="shared" si="14"/>
        <v>0</v>
      </c>
      <c r="N11" s="609">
        <f t="shared" si="15"/>
        <v>0</v>
      </c>
      <c r="O11" s="274">
        <f t="shared" si="2"/>
        <v>1120487.3526319424</v>
      </c>
      <c r="P11" s="275">
        <f>'T14c-vstup_DG-ZG'!D10</f>
        <v>1255900</v>
      </c>
      <c r="Q11" s="276">
        <f t="shared" si="16"/>
        <v>1.5651847503556999</v>
      </c>
      <c r="R11" s="274">
        <f t="shared" si="17"/>
        <v>224581.22869029827</v>
      </c>
      <c r="S11" s="604">
        <f>'T14c-vstup_DG-ZG'!I10</f>
        <v>482872.14</v>
      </c>
      <c r="T11" s="276">
        <f t="shared" si="18"/>
        <v>3.7705081524901147</v>
      </c>
      <c r="U11" s="272">
        <f t="shared" si="3"/>
        <v>180337.67866287095</v>
      </c>
      <c r="V11" s="275">
        <f>'T14c-vstup_DG-ZG'!N10</f>
        <v>52239.81</v>
      </c>
      <c r="W11" s="276">
        <f t="shared" si="19"/>
        <v>0.3002858043480513</v>
      </c>
      <c r="X11" s="274">
        <f t="shared" si="4"/>
        <v>47874.046593054103</v>
      </c>
      <c r="Y11" s="611">
        <v>29.25</v>
      </c>
      <c r="Z11" s="277">
        <f t="shared" si="20"/>
        <v>1.6063338062331245</v>
      </c>
      <c r="AA11" s="272">
        <f t="shared" si="5"/>
        <v>256095.02137659604</v>
      </c>
      <c r="AB11" s="278">
        <f>'T20-Publik'!I12</f>
        <v>1.8489951338642936</v>
      </c>
      <c r="AC11" s="274">
        <f t="shared" si="21"/>
        <v>663267.40376467037</v>
      </c>
      <c r="AD11" s="612">
        <f>'T20-Publik'!L12</f>
        <v>0</v>
      </c>
      <c r="AE11" s="272"/>
      <c r="AF11" s="619">
        <f t="shared" si="22"/>
        <v>0</v>
      </c>
      <c r="AG11" s="616"/>
      <c r="AH11" s="272"/>
      <c r="AI11" s="620">
        <f t="shared" si="23"/>
        <v>1.5634886989397256</v>
      </c>
      <c r="AJ11" s="906">
        <f t="shared" si="24"/>
        <v>2492643</v>
      </c>
      <c r="AK11" s="189"/>
      <c r="AL11" s="913">
        <f t="shared" si="6"/>
        <v>2492643</v>
      </c>
      <c r="AM11" s="776">
        <f t="shared" si="25"/>
        <v>9.9389815435028686E-2</v>
      </c>
      <c r="AN11" s="626">
        <f>'T20-Publik'!F12</f>
        <v>1.6389632282759712</v>
      </c>
      <c r="AO11" s="280">
        <f>'T20-Publik'!L12</f>
        <v>0</v>
      </c>
      <c r="AP11" s="279">
        <f t="shared" si="26"/>
        <v>1.5078461700138936</v>
      </c>
      <c r="AQ11" s="281">
        <f t="shared" si="27"/>
        <v>0</v>
      </c>
      <c r="AR11" s="282">
        <f t="shared" si="28"/>
        <v>1.5078461700138936</v>
      </c>
      <c r="AU11" s="300">
        <v>-2949667</v>
      </c>
      <c r="AV11" s="283"/>
      <c r="AW11" s="299"/>
      <c r="AX11" s="297">
        <f t="shared" si="7"/>
        <v>-2949667</v>
      </c>
    </row>
    <row r="12" spans="1:50">
      <c r="A12" s="500" t="s">
        <v>17</v>
      </c>
      <c r="B12" s="271">
        <v>113.203175</v>
      </c>
      <c r="C12" s="602">
        <f t="shared" si="8"/>
        <v>0.20319599670598382</v>
      </c>
      <c r="D12" s="274">
        <f t="shared" si="9"/>
        <v>55719.720657805512</v>
      </c>
      <c r="E12" s="760">
        <f>'T14aa-VVZ-6r'!H13</f>
        <v>0.29656281116519695</v>
      </c>
      <c r="F12" s="603">
        <f t="shared" si="0"/>
        <v>121983.68026557447</v>
      </c>
      <c r="G12" s="273">
        <f t="shared" si="10"/>
        <v>125369.37148006241</v>
      </c>
      <c r="H12" s="608">
        <f t="shared" si="11"/>
        <v>139299.30164451379</v>
      </c>
      <c r="I12" s="609">
        <v>0</v>
      </c>
      <c r="J12" s="608">
        <f t="shared" si="1"/>
        <v>38404.09927886619</v>
      </c>
      <c r="K12" s="608">
        <f t="shared" si="12"/>
        <v>125369.37148006241</v>
      </c>
      <c r="L12" s="609">
        <f t="shared" si="13"/>
        <v>29909.908232052818</v>
      </c>
      <c r="M12" s="1003">
        <f t="shared" si="14"/>
        <v>0.71134760409024378</v>
      </c>
      <c r="N12" s="609">
        <f t="shared" si="15"/>
        <v>-14129.219509116034</v>
      </c>
      <c r="O12" s="274">
        <f t="shared" si="2"/>
        <v>163574.18141426396</v>
      </c>
      <c r="P12" s="275">
        <f>'T14c-vstup_DG-ZG'!D11</f>
        <v>54969</v>
      </c>
      <c r="Q12" s="276">
        <f t="shared" si="16"/>
        <v>6.8505964282428902E-2</v>
      </c>
      <c r="R12" s="274">
        <f t="shared" si="17"/>
        <v>9829.6086948618558</v>
      </c>
      <c r="S12" s="604">
        <f>'T14c-vstup_DG-ZG'!I11</f>
        <v>30791</v>
      </c>
      <c r="T12" s="276">
        <f t="shared" si="18"/>
        <v>0.24043159028251895</v>
      </c>
      <c r="U12" s="272">
        <f t="shared" si="3"/>
        <v>11499.477819756719</v>
      </c>
      <c r="V12" s="275">
        <f>'T14c-vstup_DG-ZG'!N11</f>
        <v>486637</v>
      </c>
      <c r="W12" s="276">
        <f t="shared" si="19"/>
        <v>2.7972954528456868</v>
      </c>
      <c r="X12" s="274">
        <f t="shared" si="4"/>
        <v>445967.97752334992</v>
      </c>
      <c r="Y12" s="611">
        <v>6.416666666666667</v>
      </c>
      <c r="Z12" s="277">
        <f t="shared" si="20"/>
        <v>0.35238661846139768</v>
      </c>
      <c r="AA12" s="272">
        <f t="shared" si="5"/>
        <v>56180.389304837307</v>
      </c>
      <c r="AB12" s="278">
        <f>'T20-Publik'!I13</f>
        <v>0.12483292525111311</v>
      </c>
      <c r="AC12" s="274">
        <f t="shared" si="21"/>
        <v>44779.788069324291</v>
      </c>
      <c r="AD12" s="612">
        <f>'T20-Publik'!L13</f>
        <v>0</v>
      </c>
      <c r="AE12" s="272"/>
      <c r="AF12" s="619">
        <f t="shared" si="22"/>
        <v>0</v>
      </c>
      <c r="AG12" s="616"/>
      <c r="AH12" s="272"/>
      <c r="AI12" s="620">
        <f t="shared" si="23"/>
        <v>0.45903527361216884</v>
      </c>
      <c r="AJ12" s="906">
        <f t="shared" si="24"/>
        <v>731832</v>
      </c>
      <c r="AK12" s="189"/>
      <c r="AL12" s="913">
        <f t="shared" si="6"/>
        <v>731832</v>
      </c>
      <c r="AM12" s="776">
        <f t="shared" si="25"/>
        <v>2.9180531431676301E-2</v>
      </c>
      <c r="AN12" s="626">
        <f>'T20-Publik'!F13</f>
        <v>0.1390166904084025</v>
      </c>
      <c r="AO12" s="280">
        <f>'T20-Publik'!L13</f>
        <v>0</v>
      </c>
      <c r="AP12" s="279">
        <f t="shared" si="26"/>
        <v>0.12789535517573031</v>
      </c>
      <c r="AQ12" s="281">
        <f t="shared" si="27"/>
        <v>0</v>
      </c>
      <c r="AR12" s="282">
        <f t="shared" si="28"/>
        <v>0.12789535517573031</v>
      </c>
      <c r="AU12" s="331">
        <v>0</v>
      </c>
      <c r="AV12" s="283"/>
      <c r="AW12" s="299"/>
      <c r="AX12" s="297">
        <f t="shared" si="7"/>
        <v>0</v>
      </c>
    </row>
    <row r="13" spans="1:50">
      <c r="A13" s="500" t="s">
        <v>205</v>
      </c>
      <c r="B13" s="271">
        <v>0</v>
      </c>
      <c r="C13" s="602">
        <f t="shared" si="8"/>
        <v>0</v>
      </c>
      <c r="D13" s="274">
        <f t="shared" si="9"/>
        <v>0</v>
      </c>
      <c r="E13" s="760">
        <f>'T14aa-VVZ-6r'!H14</f>
        <v>7.0915033172586669E-2</v>
      </c>
      <c r="F13" s="603">
        <f t="shared" si="0"/>
        <v>29169.121706661892</v>
      </c>
      <c r="G13" s="273">
        <f t="shared" si="10"/>
        <v>0</v>
      </c>
      <c r="H13" s="608">
        <f t="shared" si="11"/>
        <v>0</v>
      </c>
      <c r="I13" s="609">
        <v>0</v>
      </c>
      <c r="J13" s="608">
        <f t="shared" si="1"/>
        <v>29169.121706661892</v>
      </c>
      <c r="K13" s="608">
        <f t="shared" si="12"/>
        <v>0</v>
      </c>
      <c r="L13" s="609">
        <f t="shared" si="13"/>
        <v>22717.516354717493</v>
      </c>
      <c r="M13" s="1003">
        <f t="shared" si="14"/>
        <v>0.5402908863655882</v>
      </c>
      <c r="N13" s="609">
        <f t="shared" si="15"/>
        <v>-10731.586763404357</v>
      </c>
      <c r="O13" s="274">
        <f t="shared" si="2"/>
        <v>18437.534943257535</v>
      </c>
      <c r="P13" s="275">
        <f>'T14c-vstup_DG-ZG'!D12</f>
        <v>66332</v>
      </c>
      <c r="Q13" s="276">
        <f t="shared" si="16"/>
        <v>8.2667278334735472E-2</v>
      </c>
      <c r="R13" s="274">
        <f t="shared" si="17"/>
        <v>11861.55112786437</v>
      </c>
      <c r="S13" s="604">
        <f>'T14c-vstup_DG-ZG'!I12</f>
        <v>0</v>
      </c>
      <c r="T13" s="276">
        <f t="shared" si="18"/>
        <v>0</v>
      </c>
      <c r="U13" s="272">
        <f t="shared" si="3"/>
        <v>0</v>
      </c>
      <c r="V13" s="275">
        <f>'T14c-vstup_DG-ZG'!N12</f>
        <v>0</v>
      </c>
      <c r="W13" s="276">
        <f t="shared" si="19"/>
        <v>0</v>
      </c>
      <c r="X13" s="274">
        <f t="shared" si="4"/>
        <v>0</v>
      </c>
      <c r="Y13" s="611">
        <v>0</v>
      </c>
      <c r="Z13" s="277">
        <f t="shared" si="20"/>
        <v>0</v>
      </c>
      <c r="AA13" s="272">
        <f t="shared" si="5"/>
        <v>0</v>
      </c>
      <c r="AB13" s="278">
        <f>'T20-Publik'!I14</f>
        <v>0.27846829889269781</v>
      </c>
      <c r="AC13" s="274">
        <f t="shared" si="21"/>
        <v>99891.526080608834</v>
      </c>
      <c r="AD13" s="612">
        <f>'T20-Publik'!L14</f>
        <v>0</v>
      </c>
      <c r="AE13" s="272"/>
      <c r="AF13" s="619">
        <f t="shared" si="22"/>
        <v>0</v>
      </c>
      <c r="AG13" s="616"/>
      <c r="AH13" s="272"/>
      <c r="AI13" s="620">
        <f t="shared" si="23"/>
        <v>8.1661175388397719E-2</v>
      </c>
      <c r="AJ13" s="906">
        <f t="shared" si="24"/>
        <v>130191</v>
      </c>
      <c r="AK13" s="189"/>
      <c r="AL13" s="913">
        <f t="shared" si="6"/>
        <v>130191</v>
      </c>
      <c r="AM13" s="776">
        <f t="shared" si="25"/>
        <v>5.1911402721135039E-3</v>
      </c>
      <c r="AN13" s="626">
        <f>'T20-Publik'!F14</f>
        <v>0.21413793715200302</v>
      </c>
      <c r="AO13" s="280">
        <f>'T20-Publik'!L14</f>
        <v>0</v>
      </c>
      <c r="AP13" s="279">
        <f t="shared" si="26"/>
        <v>0.19700690217984279</v>
      </c>
      <c r="AQ13" s="281">
        <f t="shared" si="27"/>
        <v>0</v>
      </c>
      <c r="AR13" s="282">
        <f t="shared" si="28"/>
        <v>0.19700690217984279</v>
      </c>
      <c r="AU13" s="283">
        <f>AU5</f>
        <v>160588271</v>
      </c>
      <c r="AV13" s="283"/>
      <c r="AW13" s="283">
        <f>SUM(AW7:AW9)</f>
        <v>163537938</v>
      </c>
      <c r="AX13" s="297">
        <f t="shared" si="7"/>
        <v>-2949667</v>
      </c>
    </row>
    <row r="14" spans="1:50" ht="15.75" thickBot="1">
      <c r="A14" s="598" t="s">
        <v>64</v>
      </c>
      <c r="B14" s="271">
        <v>0</v>
      </c>
      <c r="C14" s="602">
        <f t="shared" si="8"/>
        <v>0</v>
      </c>
      <c r="D14" s="274">
        <f t="shared" si="9"/>
        <v>0</v>
      </c>
      <c r="E14" s="760">
        <f>'T14aa-VVZ-6r'!H15</f>
        <v>0.15881467127058713</v>
      </c>
      <c r="F14" s="603">
        <f t="shared" si="0"/>
        <v>65324.435001265934</v>
      </c>
      <c r="G14" s="273">
        <f t="shared" si="10"/>
        <v>0</v>
      </c>
      <c r="H14" s="608">
        <f t="shared" si="11"/>
        <v>0</v>
      </c>
      <c r="I14" s="609">
        <v>0</v>
      </c>
      <c r="J14" s="608">
        <f t="shared" si="1"/>
        <v>65324.435001265934</v>
      </c>
      <c r="K14" s="608">
        <f t="shared" si="12"/>
        <v>0</v>
      </c>
      <c r="L14" s="609">
        <f t="shared" si="13"/>
        <v>50876.023468509447</v>
      </c>
      <c r="M14" s="1003">
        <f t="shared" si="14"/>
        <v>1.2099849026343648</v>
      </c>
      <c r="N14" s="609">
        <f t="shared" si="15"/>
        <v>-24033.457333284925</v>
      </c>
      <c r="O14" s="274">
        <f t="shared" si="2"/>
        <v>41290.977667981009</v>
      </c>
      <c r="P14" s="275">
        <f>'T14c-vstup_DG-ZG'!D13</f>
        <v>0</v>
      </c>
      <c r="Q14" s="276">
        <f t="shared" si="16"/>
        <v>0</v>
      </c>
      <c r="R14" s="274">
        <f t="shared" si="17"/>
        <v>0</v>
      </c>
      <c r="S14" s="604">
        <f>'T14c-vstup_DG-ZG'!I13</f>
        <v>0</v>
      </c>
      <c r="T14" s="276">
        <f t="shared" si="18"/>
        <v>0</v>
      </c>
      <c r="U14" s="272">
        <f t="shared" si="3"/>
        <v>0</v>
      </c>
      <c r="V14" s="275">
        <f>'T14c-vstup_DG-ZG'!N13</f>
        <v>0</v>
      </c>
      <c r="W14" s="276">
        <f t="shared" si="19"/>
        <v>0</v>
      </c>
      <c r="X14" s="274">
        <f t="shared" si="4"/>
        <v>0</v>
      </c>
      <c r="Y14" s="611">
        <v>0</v>
      </c>
      <c r="Z14" s="277">
        <f t="shared" si="20"/>
        <v>0</v>
      </c>
      <c r="AA14" s="272">
        <f t="shared" si="5"/>
        <v>0</v>
      </c>
      <c r="AB14" s="278">
        <f>'T20-Publik'!I15</f>
        <v>0</v>
      </c>
      <c r="AC14" s="274">
        <f t="shared" si="21"/>
        <v>0</v>
      </c>
      <c r="AD14" s="612">
        <f>'T20-Publik'!L15</f>
        <v>0</v>
      </c>
      <c r="AE14" s="272"/>
      <c r="AF14" s="619">
        <f t="shared" si="22"/>
        <v>0</v>
      </c>
      <c r="AG14" s="616"/>
      <c r="AH14" s="272"/>
      <c r="AI14" s="620">
        <f t="shared" si="23"/>
        <v>2.5899421564949416E-2</v>
      </c>
      <c r="AJ14" s="906">
        <f t="shared" si="24"/>
        <v>41291</v>
      </c>
      <c r="AK14" s="189"/>
      <c r="AL14" s="913">
        <f t="shared" si="6"/>
        <v>41291</v>
      </c>
      <c r="AM14" s="776">
        <f t="shared" si="25"/>
        <v>1.6464069941535028E-3</v>
      </c>
      <c r="AN14" s="626">
        <f>'T20-Publik'!F15</f>
        <v>0</v>
      </c>
      <c r="AO14" s="280">
        <f>'T20-Publik'!L15</f>
        <v>0</v>
      </c>
      <c r="AP14" s="279">
        <f t="shared" si="26"/>
        <v>0</v>
      </c>
      <c r="AQ14" s="281">
        <f t="shared" si="27"/>
        <v>0</v>
      </c>
      <c r="AR14" s="282">
        <f t="shared" si="28"/>
        <v>0</v>
      </c>
      <c r="AU14" s="301">
        <v>2021</v>
      </c>
      <c r="AV14" s="302"/>
      <c r="AW14" s="301">
        <v>2020</v>
      </c>
      <c r="AX14" s="308" t="s">
        <v>195</v>
      </c>
    </row>
    <row r="15" spans="1:50" s="112" customFormat="1" ht="15.75" thickBot="1">
      <c r="A15" s="631" t="s">
        <v>2</v>
      </c>
      <c r="B15" s="632">
        <f>SUM(B5:B14)</f>
        <v>8058.2821249999997</v>
      </c>
      <c r="C15" s="633">
        <f>SUM(C5:C14)</f>
        <v>14.464352860486363</v>
      </c>
      <c r="D15" s="634">
        <f>SUM(D5:D14)</f>
        <v>3966366.040411741</v>
      </c>
      <c r="E15" s="774">
        <f t="shared" ref="E15:AA15" si="29">SUM(E5:E14)</f>
        <v>16.387185832513982</v>
      </c>
      <c r="F15" s="636">
        <f t="shared" si="29"/>
        <v>6740458.2158901729</v>
      </c>
      <c r="G15" s="632">
        <f t="shared" si="29"/>
        <v>8924323.5909264181</v>
      </c>
      <c r="H15" s="637">
        <f t="shared" si="29"/>
        <v>9915915.1010293532</v>
      </c>
      <c r="I15" s="637">
        <f t="shared" si="29"/>
        <v>0</v>
      </c>
      <c r="J15" s="637">
        <f t="shared" si="29"/>
        <v>790909.15527256043</v>
      </c>
      <c r="K15" s="637">
        <f t="shared" si="29"/>
        <v>8924323.5909264181</v>
      </c>
      <c r="L15" s="637">
        <f t="shared" si="29"/>
        <v>790909.15462141915</v>
      </c>
      <c r="M15" s="633">
        <f t="shared" si="29"/>
        <v>18.810199209841333</v>
      </c>
      <c r="N15" s="637">
        <f t="shared" si="29"/>
        <v>-373619.63703519024</v>
      </c>
      <c r="O15" s="634">
        <f t="shared" si="29"/>
        <v>10333204.619266724</v>
      </c>
      <c r="P15" s="632">
        <f t="shared" si="29"/>
        <v>14854641.279999999</v>
      </c>
      <c r="Q15" s="633">
        <f t="shared" si="29"/>
        <v>18.512825864686899</v>
      </c>
      <c r="R15" s="634">
        <f t="shared" si="29"/>
        <v>2656321.0370380003</v>
      </c>
      <c r="S15" s="639">
        <f t="shared" si="29"/>
        <v>3499727.99</v>
      </c>
      <c r="T15" s="633">
        <f t="shared" si="29"/>
        <v>27.327633600465838</v>
      </c>
      <c r="U15" s="636">
        <f t="shared" si="29"/>
        <v>1307039.2126331315</v>
      </c>
      <c r="V15" s="632">
        <f t="shared" si="29"/>
        <v>3721142.81</v>
      </c>
      <c r="W15" s="633">
        <f t="shared" si="29"/>
        <v>21.389939239725752</v>
      </c>
      <c r="X15" s="634">
        <f t="shared" si="29"/>
        <v>3410161.0297845323</v>
      </c>
      <c r="Y15" s="1008">
        <f t="shared" si="29"/>
        <v>312.5</v>
      </c>
      <c r="Z15" s="633">
        <f t="shared" si="29"/>
        <v>17.161685964029108</v>
      </c>
      <c r="AA15" s="636">
        <f t="shared" si="29"/>
        <v>2736057.9206901286</v>
      </c>
      <c r="AB15" s="641">
        <f>SUM(AB5:AB14)</f>
        <v>12.030172479804124</v>
      </c>
      <c r="AC15" s="634">
        <f t="shared" ref="AC15" si="30">SUM(AC5:AC14)</f>
        <v>4315436.5965500157</v>
      </c>
      <c r="AD15" s="635">
        <f>SUM(AD5:AD14)</f>
        <v>8.0598080722868648</v>
      </c>
      <c r="AE15" s="636">
        <f>SUM(AE5:AE14)</f>
        <v>321240</v>
      </c>
      <c r="AF15" s="642">
        <f t="shared" ref="AF15:AI15" si="31">SUM(AF5:AF14)</f>
        <v>52241</v>
      </c>
      <c r="AG15" s="639">
        <f t="shared" si="31"/>
        <v>0</v>
      </c>
      <c r="AH15" s="637">
        <f t="shared" si="31"/>
        <v>0</v>
      </c>
      <c r="AI15" s="1009">
        <f t="shared" si="31"/>
        <v>15.730874983897932</v>
      </c>
      <c r="AJ15" s="642">
        <f>SUM(AJ5:AJ14)</f>
        <v>25079462</v>
      </c>
      <c r="AK15" s="644">
        <f t="shared" ref="AK15:AM15" si="32">SUM(AK5:AK14)</f>
        <v>160693</v>
      </c>
      <c r="AL15" s="642">
        <f t="shared" si="32"/>
        <v>25292396</v>
      </c>
      <c r="AM15" s="777">
        <f t="shared" si="32"/>
        <v>1.0000000398732651</v>
      </c>
      <c r="AN15" s="1010">
        <f>SUM(AN5:AN14)</f>
        <v>10.855061657976499</v>
      </c>
      <c r="AO15" s="1160">
        <f t="shared" ref="AO15" si="33">SUM(AO5:AO14)</f>
        <v>8.0598080722868648</v>
      </c>
      <c r="AP15" s="1160">
        <f>SUM(AP5:AP14)</f>
        <v>9.9866567253383813</v>
      </c>
      <c r="AQ15" s="1160">
        <f t="shared" ref="AQ15:AR15" si="34">SUM(AQ5:AQ14)</f>
        <v>0.64478464578294914</v>
      </c>
      <c r="AR15" s="646">
        <f t="shared" si="34"/>
        <v>10.63144137112133</v>
      </c>
    </row>
    <row r="16" spans="1:50" ht="15.75" hidden="1" thickBot="1">
      <c r="A16" s="303" t="s">
        <v>90</v>
      </c>
      <c r="B16" s="326">
        <v>55711.321499999976</v>
      </c>
      <c r="C16" s="594">
        <v>100.00000000000007</v>
      </c>
      <c r="D16" s="327">
        <v>27421662.612000015</v>
      </c>
      <c r="E16" s="600">
        <v>100.00000000000001</v>
      </c>
      <c r="F16" s="595">
        <v>41132493.918000005</v>
      </c>
      <c r="G16" s="328">
        <v>61698740.876999982</v>
      </c>
      <c r="H16" s="62">
        <v>68554156.529999971</v>
      </c>
      <c r="I16" s="62">
        <v>-1986260.9261454062</v>
      </c>
      <c r="J16" s="62">
        <f>SUM(J5:J9)+SUM(J12:J14)</f>
        <v>1015521.4606140043</v>
      </c>
      <c r="K16" s="62">
        <v>61755421.382856026</v>
      </c>
      <c r="L16" s="62">
        <v>4204682.5012231786</v>
      </c>
      <c r="M16" s="62">
        <v>100</v>
      </c>
      <c r="N16" s="614">
        <v>-1986260.9261454064</v>
      </c>
      <c r="O16" s="596">
        <v>68554156.530000001</v>
      </c>
      <c r="P16" s="597">
        <v>80239728.870000005</v>
      </c>
      <c r="Q16" s="594">
        <v>99.999999999999986</v>
      </c>
      <c r="R16" s="327">
        <v>14348544.389999997</v>
      </c>
      <c r="S16" s="605">
        <v>12806553.4</v>
      </c>
      <c r="T16" s="594">
        <v>100</v>
      </c>
      <c r="U16" s="595">
        <v>4782848.13</v>
      </c>
      <c r="V16" s="597">
        <v>17396696.495000001</v>
      </c>
      <c r="W16" s="594">
        <v>100.00000000000003</v>
      </c>
      <c r="X16" s="327">
        <v>15942827.100000001</v>
      </c>
      <c r="Y16" s="600">
        <v>1820.9166666666665</v>
      </c>
      <c r="Z16" s="594">
        <v>100</v>
      </c>
      <c r="AA16" s="595">
        <v>15942827.099999996</v>
      </c>
      <c r="AB16" s="326">
        <v>99.999999999999972</v>
      </c>
      <c r="AC16" s="596">
        <v>35871360.974999987</v>
      </c>
      <c r="AD16" s="613">
        <v>100</v>
      </c>
      <c r="AE16" s="62">
        <v>3985706.7750000167</v>
      </c>
      <c r="AF16" s="615">
        <v>0</v>
      </c>
      <c r="AG16" s="617"/>
      <c r="AH16" s="614">
        <v>0</v>
      </c>
      <c r="AI16" s="621">
        <v>99.999999999999986</v>
      </c>
      <c r="AJ16" s="914">
        <v>159428271</v>
      </c>
      <c r="AK16" s="915">
        <v>1160000</v>
      </c>
      <c r="AL16" s="916">
        <v>160588271</v>
      </c>
      <c r="AM16" s="622"/>
      <c r="AN16" s="326">
        <v>99.999999999999986</v>
      </c>
      <c r="AO16" s="594">
        <v>100</v>
      </c>
      <c r="AP16" s="595">
        <v>91.999999999999986</v>
      </c>
      <c r="AQ16" s="595">
        <v>8</v>
      </c>
      <c r="AR16" s="327">
        <v>99.999999999999972</v>
      </c>
    </row>
    <row r="17" spans="1:44" ht="15.75" hidden="1" thickBot="1">
      <c r="A17" s="284"/>
      <c r="B17" s="109" t="s">
        <v>181</v>
      </c>
      <c r="C17" s="285">
        <v>0.17200000000000001</v>
      </c>
      <c r="D17" s="284">
        <v>27421662.612000003</v>
      </c>
      <c r="E17" s="285">
        <v>0.25800000000000001</v>
      </c>
      <c r="F17" s="284"/>
      <c r="G17" s="284"/>
      <c r="H17" s="284"/>
      <c r="I17" s="284"/>
      <c r="J17" s="284"/>
      <c r="K17" s="284"/>
      <c r="L17" s="284"/>
      <c r="M17" s="284" t="s">
        <v>182</v>
      </c>
      <c r="N17" s="284">
        <v>64349474.028776824</v>
      </c>
      <c r="O17" s="284"/>
      <c r="P17" s="152" t="s">
        <v>183</v>
      </c>
      <c r="Q17" s="285">
        <v>0.09</v>
      </c>
      <c r="R17" s="284">
        <v>14348544.389999999</v>
      </c>
      <c r="S17" s="152" t="s">
        <v>184</v>
      </c>
      <c r="T17" s="286">
        <v>0.03</v>
      </c>
      <c r="U17" s="284">
        <v>4782848.13</v>
      </c>
      <c r="V17" s="160" t="s">
        <v>185</v>
      </c>
      <c r="W17" s="285">
        <v>0.1</v>
      </c>
      <c r="X17" s="284">
        <v>15942827.100000001</v>
      </c>
      <c r="Y17" s="160" t="s">
        <v>186</v>
      </c>
      <c r="Z17" s="285">
        <v>0.1</v>
      </c>
      <c r="AA17" s="284">
        <v>15942827.100000001</v>
      </c>
      <c r="AB17" s="285">
        <v>0.22500000000000001</v>
      </c>
      <c r="AC17" s="284">
        <v>35871776.600000001</v>
      </c>
      <c r="AD17" s="285">
        <v>2.5000000000000105E-2</v>
      </c>
      <c r="AE17" s="284">
        <v>3985706.7750000167</v>
      </c>
      <c r="AF17" s="284"/>
      <c r="AG17" s="285">
        <v>0</v>
      </c>
      <c r="AH17" s="284">
        <v>0</v>
      </c>
      <c r="AJ17" s="109">
        <v>6500172</v>
      </c>
      <c r="AK17" s="109">
        <v>7193073</v>
      </c>
      <c r="AL17" s="284">
        <v>160588271</v>
      </c>
      <c r="AN17" s="287">
        <v>0.92</v>
      </c>
      <c r="AO17" s="288">
        <v>0.08</v>
      </c>
      <c r="AP17" s="304"/>
      <c r="AQ17" s="304"/>
    </row>
    <row r="18" spans="1:44" hidden="1">
      <c r="B18" s="289" t="s">
        <v>94</v>
      </c>
      <c r="D18" s="290">
        <v>65759082.57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Q18" s="291"/>
      <c r="R18" s="290">
        <v>13763528.91</v>
      </c>
      <c r="U18" s="290">
        <v>4587842.97</v>
      </c>
      <c r="X18" s="290">
        <v>15292809.9</v>
      </c>
      <c r="AA18" s="290">
        <v>15292809.9</v>
      </c>
      <c r="AC18" s="290">
        <v>34408822.274999999</v>
      </c>
      <c r="AE18" s="290">
        <v>3823202.4750000159</v>
      </c>
      <c r="AF18" s="290"/>
      <c r="AG18" s="131"/>
      <c r="AH18" s="131"/>
      <c r="AJ18" s="290">
        <v>152928099</v>
      </c>
      <c r="AK18" s="290">
        <v>1160000</v>
      </c>
      <c r="AL18" s="292">
        <v>163537938</v>
      </c>
      <c r="AN18" s="304">
        <f>15*AN17</f>
        <v>13.8</v>
      </c>
      <c r="AO18" s="304">
        <f>15*AO17</f>
        <v>1.2</v>
      </c>
      <c r="AP18" s="304"/>
      <c r="AQ18" s="304"/>
    </row>
    <row r="19" spans="1:44" ht="19.5" hidden="1" customHeight="1">
      <c r="D19" s="293">
        <f>D16/D18</f>
        <v>0.41700190362007988</v>
      </c>
      <c r="E19" s="293"/>
      <c r="F19" s="293"/>
      <c r="G19" s="294"/>
      <c r="H19" s="293"/>
      <c r="I19" s="293"/>
      <c r="J19" s="293"/>
      <c r="K19" s="295"/>
      <c r="L19" s="295"/>
      <c r="M19" s="293"/>
      <c r="N19" s="293"/>
      <c r="O19" s="293"/>
      <c r="R19" s="293">
        <f>R16/R18</f>
        <v>1.0425047590501988</v>
      </c>
      <c r="U19" s="293">
        <f>U16/U18</f>
        <v>1.0425047590501992</v>
      </c>
      <c r="X19" s="293">
        <f>X16/X18</f>
        <v>1.0425047590501992</v>
      </c>
      <c r="AA19" s="293">
        <f>AA16/AA18</f>
        <v>1.0425047590501988</v>
      </c>
      <c r="AB19" s="131" t="s">
        <v>187</v>
      </c>
      <c r="AC19" s="293">
        <f>AC16/AC18</f>
        <v>1.0425047590501988</v>
      </c>
      <c r="AD19" s="131" t="s">
        <v>188</v>
      </c>
      <c r="AE19" s="293">
        <f>AE16/AE18</f>
        <v>1.0425047590501992</v>
      </c>
      <c r="AF19" s="293"/>
      <c r="AG19" s="293"/>
      <c r="AH19" s="131"/>
      <c r="AN19" s="131" t="s">
        <v>189</v>
      </c>
      <c r="AO19" s="131" t="s">
        <v>190</v>
      </c>
      <c r="AP19" s="131"/>
      <c r="AQ19" s="131"/>
    </row>
    <row r="20" spans="1:44" ht="15" customHeight="1">
      <c r="D20" s="293"/>
      <c r="E20" s="293"/>
      <c r="F20" s="293"/>
      <c r="G20" s="294"/>
      <c r="H20" s="293"/>
      <c r="I20" s="293"/>
      <c r="J20" s="293"/>
      <c r="K20" s="295"/>
      <c r="L20" s="295"/>
      <c r="M20" s="293"/>
      <c r="N20" s="293"/>
      <c r="O20" s="293"/>
      <c r="R20" s="293"/>
      <c r="U20" s="293"/>
      <c r="X20" s="293"/>
      <c r="AA20" s="293"/>
      <c r="AB20" s="131"/>
      <c r="AC20" s="293"/>
      <c r="AD20" s="131"/>
      <c r="AE20" s="293"/>
      <c r="AF20" s="293"/>
      <c r="AG20" s="293"/>
      <c r="AH20" s="131"/>
      <c r="AN20" s="131"/>
      <c r="AO20" s="131"/>
      <c r="AP20" s="131"/>
      <c r="AQ20" s="131"/>
    </row>
    <row r="21" spans="1:44" s="131" customFormat="1" ht="15" customHeight="1"/>
    <row r="22" spans="1:44" ht="15" customHeight="1">
      <c r="D22" s="293"/>
      <c r="E22" s="293"/>
      <c r="F22" s="293"/>
      <c r="G22" s="294"/>
      <c r="H22" s="293"/>
      <c r="I22" s="293"/>
      <c r="J22" s="293"/>
      <c r="K22" s="295"/>
      <c r="L22" s="295"/>
      <c r="M22" s="293"/>
      <c r="N22" s="293"/>
      <c r="O22" s="293"/>
      <c r="R22" s="293"/>
      <c r="U22" s="293"/>
      <c r="X22" s="293"/>
      <c r="AA22" s="293"/>
      <c r="AB22" s="131"/>
      <c r="AC22" s="293"/>
      <c r="AD22" s="131"/>
      <c r="AE22" s="293"/>
      <c r="AF22" s="293"/>
      <c r="AG22" s="293"/>
      <c r="AH22" s="131"/>
      <c r="AN22" s="131"/>
      <c r="AO22" s="131"/>
      <c r="AP22" s="131"/>
      <c r="AQ22" s="131"/>
    </row>
    <row r="23" spans="1:44" ht="15" customHeight="1" thickBot="1">
      <c r="A23" s="1" t="s">
        <v>270</v>
      </c>
      <c r="D23" s="293"/>
      <c r="E23" s="293"/>
      <c r="F23" s="293"/>
      <c r="G23" s="294"/>
      <c r="H23" s="293"/>
      <c r="I23" s="293"/>
      <c r="J23" s="293"/>
      <c r="K23" s="295"/>
      <c r="L23" s="295"/>
      <c r="M23" s="293"/>
      <c r="N23" s="293"/>
      <c r="O23" s="293"/>
      <c r="R23" s="293"/>
      <c r="U23" s="293"/>
      <c r="X23" s="293"/>
      <c r="AA23" s="293"/>
      <c r="AB23" s="131"/>
      <c r="AC23" s="293"/>
      <c r="AD23" s="131"/>
      <c r="AE23" s="293"/>
      <c r="AF23" s="293"/>
      <c r="AG23" s="293"/>
      <c r="AH23" s="131"/>
      <c r="AN23" s="131"/>
      <c r="AO23" s="131"/>
      <c r="AP23" s="131"/>
      <c r="AQ23" s="131"/>
    </row>
    <row r="24" spans="1:44" s="112" customFormat="1">
      <c r="A24" s="342" t="s">
        <v>2</v>
      </c>
      <c r="B24" s="560">
        <f>B4-B40</f>
        <v>0</v>
      </c>
      <c r="C24" s="601">
        <f t="shared" ref="C24:AM24" si="35">C4-C40</f>
        <v>0</v>
      </c>
      <c r="D24" s="559">
        <f t="shared" si="35"/>
        <v>-5545259.9595882613</v>
      </c>
      <c r="E24" s="627"/>
      <c r="F24" s="566"/>
      <c r="G24" s="606"/>
      <c r="H24" s="565"/>
      <c r="I24" s="565"/>
      <c r="J24" s="565"/>
      <c r="K24" s="565"/>
      <c r="L24" s="565"/>
      <c r="M24" s="607"/>
      <c r="N24" s="601"/>
      <c r="O24" s="559">
        <f t="shared" si="35"/>
        <v>821578.61861557513</v>
      </c>
      <c r="P24" s="606">
        <f t="shared" si="35"/>
        <v>1654340.6100000013</v>
      </c>
      <c r="Q24" s="601">
        <f t="shared" si="35"/>
        <v>0.12282586468689516</v>
      </c>
      <c r="R24" s="559">
        <f t="shared" si="35"/>
        <v>125302.0370380003</v>
      </c>
      <c r="S24" s="561">
        <f t="shared" si="35"/>
        <v>166765.37000000011</v>
      </c>
      <c r="T24" s="601">
        <f t="shared" si="35"/>
        <v>-1.2223660091090558</v>
      </c>
      <c r="U24" s="561">
        <f t="shared" si="35"/>
        <v>-2692.7686934282538</v>
      </c>
      <c r="V24" s="606">
        <f t="shared" si="35"/>
        <v>970712.21999999974</v>
      </c>
      <c r="W24" s="601">
        <f t="shared" si="35"/>
        <v>7.8399342387762943</v>
      </c>
      <c r="X24" s="559">
        <f t="shared" si="35"/>
        <v>1337765.2324918061</v>
      </c>
      <c r="Y24" s="627">
        <f t="shared" si="35"/>
        <v>-8.0833333333333144</v>
      </c>
      <c r="Z24" s="601">
        <f t="shared" si="35"/>
        <v>0.30168596402910808</v>
      </c>
      <c r="AA24" s="561">
        <f t="shared" si="35"/>
        <v>157427.92069012858</v>
      </c>
      <c r="AB24" s="227">
        <f t="shared" si="35"/>
        <v>-4.9685832674997599E-2</v>
      </c>
      <c r="AC24" s="559">
        <f t="shared" si="35"/>
        <v>160150.42138771713</v>
      </c>
      <c r="AD24" s="627">
        <f t="shared" si="35"/>
        <v>2.3098080722868648</v>
      </c>
      <c r="AE24" s="561">
        <f t="shared" si="35"/>
        <v>101530.31638913578</v>
      </c>
      <c r="AF24" s="618">
        <f t="shared" si="35"/>
        <v>52241</v>
      </c>
      <c r="AG24" s="628">
        <f t="shared" si="35"/>
        <v>22.160664819944596</v>
      </c>
      <c r="AH24" s="561">
        <f t="shared" si="35"/>
        <v>-14.635533034522558</v>
      </c>
      <c r="AI24" s="629">
        <f t="shared" si="35"/>
        <v>1.0953413221340469</v>
      </c>
      <c r="AJ24" s="618">
        <f t="shared" si="35"/>
        <v>2701062</v>
      </c>
      <c r="AK24" s="561">
        <f t="shared" si="35"/>
        <v>8693</v>
      </c>
      <c r="AL24" s="618">
        <f t="shared" si="35"/>
        <v>2761996</v>
      </c>
      <c r="AM24" s="630">
        <f t="shared" si="35"/>
        <v>0</v>
      </c>
      <c r="AN24" s="623"/>
      <c r="AO24" s="624"/>
      <c r="AP24" s="624"/>
      <c r="AQ24" s="624"/>
      <c r="AR24" s="625"/>
    </row>
    <row r="25" spans="1:44">
      <c r="A25" s="500" t="s">
        <v>6</v>
      </c>
      <c r="B25" s="271">
        <f t="shared" ref="B25:AM25" si="36">B5-B41</f>
        <v>0</v>
      </c>
      <c r="C25" s="602">
        <f t="shared" si="36"/>
        <v>0</v>
      </c>
      <c r="D25" s="274">
        <f t="shared" si="36"/>
        <v>-235435.16460071906</v>
      </c>
      <c r="E25" s="599"/>
      <c r="F25" s="603"/>
      <c r="G25" s="273"/>
      <c r="H25" s="608"/>
      <c r="I25" s="609"/>
      <c r="J25" s="608"/>
      <c r="K25" s="608"/>
      <c r="L25" s="609"/>
      <c r="M25" s="610"/>
      <c r="N25" s="602"/>
      <c r="O25" s="274">
        <f t="shared" si="36"/>
        <v>91369.812798833591</v>
      </c>
      <c r="P25" s="275">
        <f t="shared" si="36"/>
        <v>55946</v>
      </c>
      <c r="Q25" s="276">
        <f t="shared" si="36"/>
        <v>3.7644698436592461E-2</v>
      </c>
      <c r="R25" s="274">
        <f t="shared" si="36"/>
        <v>7182.9714932823408</v>
      </c>
      <c r="S25" s="604">
        <f t="shared" si="36"/>
        <v>21600</v>
      </c>
      <c r="T25" s="276">
        <f t="shared" si="36"/>
        <v>8.3973974770870541E-2</v>
      </c>
      <c r="U25" s="272">
        <f t="shared" si="36"/>
        <v>5887.2701965847227</v>
      </c>
      <c r="V25" s="275">
        <f t="shared" si="36"/>
        <v>27284</v>
      </c>
      <c r="W25" s="276">
        <f t="shared" si="36"/>
        <v>0.2427997708657077</v>
      </c>
      <c r="X25" s="274">
        <f t="shared" si="36"/>
        <v>42050.969828361805</v>
      </c>
      <c r="Y25" s="611">
        <f t="shared" si="36"/>
        <v>-1.25</v>
      </c>
      <c r="Z25" s="277">
        <f t="shared" si="36"/>
        <v>2.7854847054769483E-2</v>
      </c>
      <c r="AA25" s="272">
        <f t="shared" si="36"/>
        <v>18504.953869126504</v>
      </c>
      <c r="AB25" s="278">
        <f t="shared" si="36"/>
        <v>4.5371165758095994E-2</v>
      </c>
      <c r="AC25" s="274">
        <f t="shared" si="36"/>
        <v>19157.20211210585</v>
      </c>
      <c r="AD25" s="612">
        <f t="shared" si="36"/>
        <v>1.4467188655027865</v>
      </c>
      <c r="AE25" s="272">
        <f t="shared" si="36"/>
        <v>65514</v>
      </c>
      <c r="AF25" s="619">
        <f t="shared" si="36"/>
        <v>40286.586134976962</v>
      </c>
      <c r="AG25" s="616">
        <f t="shared" si="36"/>
        <v>0</v>
      </c>
      <c r="AH25" s="272">
        <f t="shared" si="36"/>
        <v>0</v>
      </c>
      <c r="AI25" s="620">
        <f t="shared" si="36"/>
        <v>0.12583463016885266</v>
      </c>
      <c r="AJ25" s="906">
        <f t="shared" si="36"/>
        <v>249666.60566752404</v>
      </c>
      <c r="AK25" s="189">
        <f t="shared" si="36"/>
        <v>0</v>
      </c>
      <c r="AL25" s="913">
        <f t="shared" si="36"/>
        <v>289953.19180250098</v>
      </c>
      <c r="AM25" s="147">
        <f t="shared" si="36"/>
        <v>4.7686420104408184E-3</v>
      </c>
      <c r="AN25" s="626"/>
      <c r="AO25" s="280"/>
      <c r="AP25" s="279"/>
      <c r="AQ25" s="281"/>
      <c r="AR25" s="282"/>
    </row>
    <row r="26" spans="1:44">
      <c r="A26" s="500" t="s">
        <v>3</v>
      </c>
      <c r="B26" s="271">
        <f t="shared" ref="B26:AM26" si="37">B6-B42</f>
        <v>0</v>
      </c>
      <c r="C26" s="602">
        <f t="shared" si="37"/>
        <v>0</v>
      </c>
      <c r="D26" s="274">
        <f t="shared" si="37"/>
        <v>-1275338.4034880605</v>
      </c>
      <c r="E26" s="599"/>
      <c r="F26" s="603"/>
      <c r="G26" s="273"/>
      <c r="H26" s="608"/>
      <c r="I26" s="609"/>
      <c r="J26" s="608"/>
      <c r="K26" s="608"/>
      <c r="L26" s="609"/>
      <c r="M26" s="610"/>
      <c r="N26" s="602"/>
      <c r="O26" s="274">
        <f t="shared" si="37"/>
        <v>251451.70986013347</v>
      </c>
      <c r="P26" s="275">
        <f t="shared" si="37"/>
        <v>18099.810000000056</v>
      </c>
      <c r="Q26" s="276">
        <f t="shared" si="37"/>
        <v>-0.47599744374991371</v>
      </c>
      <c r="R26" s="274">
        <f t="shared" si="37"/>
        <v>-40611.391196091077</v>
      </c>
      <c r="S26" s="604">
        <f t="shared" si="37"/>
        <v>7553</v>
      </c>
      <c r="T26" s="276">
        <f t="shared" si="37"/>
        <v>-0.15799530967960074</v>
      </c>
      <c r="U26" s="272">
        <f t="shared" si="37"/>
        <v>-2763.4167090207775</v>
      </c>
      <c r="V26" s="275">
        <f t="shared" si="37"/>
        <v>943915.98</v>
      </c>
      <c r="W26" s="276">
        <f t="shared" si="37"/>
        <v>6.6051383295805595</v>
      </c>
      <c r="X26" s="274">
        <f t="shared" si="37"/>
        <v>1098890.0817063225</v>
      </c>
      <c r="Y26" s="611">
        <f t="shared" si="37"/>
        <v>1.5833333333333357</v>
      </c>
      <c r="Z26" s="277">
        <f t="shared" si="37"/>
        <v>0.173901450392</v>
      </c>
      <c r="AA26" s="272">
        <f t="shared" si="37"/>
        <v>40396.70711360086</v>
      </c>
      <c r="AB26" s="278">
        <f t="shared" si="37"/>
        <v>-0.57987004569612788</v>
      </c>
      <c r="AC26" s="274">
        <f t="shared" si="37"/>
        <v>-168143.94028217974</v>
      </c>
      <c r="AD26" s="612">
        <f t="shared" si="37"/>
        <v>0</v>
      </c>
      <c r="AE26" s="272">
        <f t="shared" si="37"/>
        <v>0</v>
      </c>
      <c r="AF26" s="619">
        <f t="shared" si="37"/>
        <v>0</v>
      </c>
      <c r="AG26" s="616">
        <f t="shared" si="37"/>
        <v>0</v>
      </c>
      <c r="AH26" s="272">
        <f t="shared" si="37"/>
        <v>0</v>
      </c>
      <c r="AI26" s="620">
        <f t="shared" si="37"/>
        <v>0.59884556937487554</v>
      </c>
      <c r="AJ26" s="906">
        <f t="shared" si="37"/>
        <v>1179219.6818133881</v>
      </c>
      <c r="AK26" s="189">
        <f t="shared" si="37"/>
        <v>5108</v>
      </c>
      <c r="AL26" s="913">
        <f t="shared" si="37"/>
        <v>1184327.6818133881</v>
      </c>
      <c r="AM26" s="147">
        <f t="shared" si="37"/>
        <v>2.2395085257799097E-2</v>
      </c>
      <c r="AN26" s="626"/>
      <c r="AO26" s="280"/>
      <c r="AP26" s="279"/>
      <c r="AQ26" s="281"/>
      <c r="AR26" s="282"/>
    </row>
    <row r="27" spans="1:44">
      <c r="A27" s="500" t="s">
        <v>5</v>
      </c>
      <c r="B27" s="271">
        <f t="shared" ref="B27:AM27" si="38">B7-B43</f>
        <v>0</v>
      </c>
      <c r="C27" s="602">
        <f t="shared" si="38"/>
        <v>0</v>
      </c>
      <c r="D27" s="274">
        <f t="shared" si="38"/>
        <v>-1219322.6757240689</v>
      </c>
      <c r="E27" s="599"/>
      <c r="F27" s="603"/>
      <c r="G27" s="273"/>
      <c r="H27" s="608"/>
      <c r="I27" s="609"/>
      <c r="J27" s="608"/>
      <c r="K27" s="608"/>
      <c r="L27" s="609"/>
      <c r="M27" s="610"/>
      <c r="N27" s="602"/>
      <c r="O27" s="274">
        <f t="shared" si="38"/>
        <v>373865.27781032398</v>
      </c>
      <c r="P27" s="275">
        <f t="shared" si="38"/>
        <v>641452.79999999981</v>
      </c>
      <c r="Q27" s="276">
        <f t="shared" si="38"/>
        <v>0.2249142954500627</v>
      </c>
      <c r="R27" s="274">
        <f t="shared" si="38"/>
        <v>64177.222328233533</v>
      </c>
      <c r="S27" s="604">
        <f t="shared" si="38"/>
        <v>-11290.189999999944</v>
      </c>
      <c r="T27" s="276">
        <f t="shared" si="38"/>
        <v>-0.38765197889948144</v>
      </c>
      <c r="U27" s="272">
        <f t="shared" si="38"/>
        <v>-11924.564525646128</v>
      </c>
      <c r="V27" s="275">
        <f t="shared" si="38"/>
        <v>57716.459999999963</v>
      </c>
      <c r="W27" s="276">
        <f t="shared" si="38"/>
        <v>0.67321334822848788</v>
      </c>
      <c r="X27" s="274">
        <f t="shared" si="38"/>
        <v>120602.64712431736</v>
      </c>
      <c r="Y27" s="611">
        <f t="shared" si="38"/>
        <v>3.9166666666666572</v>
      </c>
      <c r="Z27" s="277">
        <f t="shared" si="38"/>
        <v>0.38509189291945134</v>
      </c>
      <c r="AA27" s="272">
        <f t="shared" si="38"/>
        <v>86170.087153953384</v>
      </c>
      <c r="AB27" s="278">
        <f t="shared" si="38"/>
        <v>0.3680383913680636</v>
      </c>
      <c r="AC27" s="274">
        <f t="shared" si="38"/>
        <v>190764.57099269889</v>
      </c>
      <c r="AD27" s="612">
        <f t="shared" si="38"/>
        <v>0</v>
      </c>
      <c r="AE27" s="272">
        <f t="shared" si="38"/>
        <v>0</v>
      </c>
      <c r="AF27" s="619">
        <f t="shared" si="38"/>
        <v>0</v>
      </c>
      <c r="AG27" s="616">
        <f t="shared" si="38"/>
        <v>0</v>
      </c>
      <c r="AH27" s="272">
        <f t="shared" si="38"/>
        <v>0</v>
      </c>
      <c r="AI27" s="620">
        <f t="shared" si="38"/>
        <v>0.37572254360880164</v>
      </c>
      <c r="AJ27" s="906">
        <f t="shared" si="38"/>
        <v>823655.26908691972</v>
      </c>
      <c r="AK27" s="189">
        <f t="shared" si="38"/>
        <v>-4675</v>
      </c>
      <c r="AL27" s="913">
        <f t="shared" si="38"/>
        <v>818980.26908691972</v>
      </c>
      <c r="AM27" s="147">
        <f t="shared" si="38"/>
        <v>5.5379263855584171E-3</v>
      </c>
      <c r="AN27" s="626"/>
      <c r="AO27" s="280"/>
      <c r="AP27" s="279"/>
      <c r="AQ27" s="281"/>
      <c r="AR27" s="282"/>
    </row>
    <row r="28" spans="1:44">
      <c r="A28" s="500" t="s">
        <v>7</v>
      </c>
      <c r="B28" s="271">
        <f t="shared" ref="B28:AM28" si="39">B8-B44</f>
        <v>0</v>
      </c>
      <c r="C28" s="602">
        <f t="shared" si="39"/>
        <v>0</v>
      </c>
      <c r="D28" s="274">
        <f t="shared" si="39"/>
        <v>-172641.61232894316</v>
      </c>
      <c r="E28" s="599"/>
      <c r="F28" s="603"/>
      <c r="G28" s="273"/>
      <c r="H28" s="608"/>
      <c r="I28" s="609"/>
      <c r="J28" s="608"/>
      <c r="K28" s="608"/>
      <c r="L28" s="609"/>
      <c r="M28" s="610"/>
      <c r="N28" s="602"/>
      <c r="O28" s="274">
        <f t="shared" si="39"/>
        <v>25810.177722557797</v>
      </c>
      <c r="P28" s="275">
        <f t="shared" si="39"/>
        <v>278736.67000000004</v>
      </c>
      <c r="Q28" s="276">
        <f t="shared" si="39"/>
        <v>0.29114862262918839</v>
      </c>
      <c r="R28" s="274">
        <f t="shared" si="39"/>
        <v>44898.40132920313</v>
      </c>
      <c r="S28" s="604">
        <f t="shared" si="39"/>
        <v>8403.5</v>
      </c>
      <c r="T28" s="276">
        <f t="shared" si="39"/>
        <v>-0.21601915801044136</v>
      </c>
      <c r="U28" s="272">
        <f t="shared" si="39"/>
        <v>-4110.0623845283408</v>
      </c>
      <c r="V28" s="275">
        <f t="shared" si="39"/>
        <v>-18471.18</v>
      </c>
      <c r="W28" s="276">
        <f t="shared" si="39"/>
        <v>-7.8568372096826905E-2</v>
      </c>
      <c r="X28" s="274">
        <f t="shared" si="39"/>
        <v>-11452.785531759746</v>
      </c>
      <c r="Y28" s="611">
        <f t="shared" si="39"/>
        <v>0.33333333333333215</v>
      </c>
      <c r="Z28" s="277">
        <f t="shared" si="39"/>
        <v>7.6206752908162478E-2</v>
      </c>
      <c r="AA28" s="272">
        <f t="shared" si="39"/>
        <v>20587.973113201646</v>
      </c>
      <c r="AB28" s="278">
        <f t="shared" si="39"/>
        <v>0.14343845804355351</v>
      </c>
      <c r="AC28" s="274">
        <f t="shared" si="39"/>
        <v>54111.121090420864</v>
      </c>
      <c r="AD28" s="612">
        <f t="shared" si="39"/>
        <v>0</v>
      </c>
      <c r="AE28" s="272">
        <f t="shared" si="39"/>
        <v>0</v>
      </c>
      <c r="AF28" s="619">
        <f t="shared" si="39"/>
        <v>0</v>
      </c>
      <c r="AG28" s="616">
        <f t="shared" si="39"/>
        <v>0</v>
      </c>
      <c r="AH28" s="272">
        <f t="shared" si="39"/>
        <v>0</v>
      </c>
      <c r="AI28" s="620">
        <f t="shared" si="39"/>
        <v>5.9981228845171652E-2</v>
      </c>
      <c r="AJ28" s="906">
        <f t="shared" si="39"/>
        <v>129844.81164606893</v>
      </c>
      <c r="AK28" s="189">
        <f t="shared" si="39"/>
        <v>0</v>
      </c>
      <c r="AL28" s="913">
        <f t="shared" si="39"/>
        <v>129844.81164606893</v>
      </c>
      <c r="AM28" s="147">
        <f t="shared" si="39"/>
        <v>1.5593114888107773E-3</v>
      </c>
      <c r="AN28" s="626"/>
      <c r="AO28" s="280"/>
      <c r="AP28" s="279"/>
      <c r="AQ28" s="281"/>
      <c r="AR28" s="282"/>
    </row>
    <row r="29" spans="1:44">
      <c r="A29" s="500" t="s">
        <v>0</v>
      </c>
      <c r="B29" s="271">
        <f t="shared" ref="B29:AM29" si="40">B9-B45</f>
        <v>0</v>
      </c>
      <c r="C29" s="602">
        <f t="shared" si="40"/>
        <v>0</v>
      </c>
      <c r="D29" s="274">
        <f t="shared" si="40"/>
        <v>-1256477.3520704953</v>
      </c>
      <c r="E29" s="599"/>
      <c r="F29" s="603"/>
      <c r="G29" s="273"/>
      <c r="H29" s="608"/>
      <c r="I29" s="609"/>
      <c r="J29" s="608"/>
      <c r="K29" s="608"/>
      <c r="L29" s="609"/>
      <c r="M29" s="610"/>
      <c r="N29" s="602"/>
      <c r="O29" s="274">
        <f t="shared" si="40"/>
        <v>118637.98109845025</v>
      </c>
      <c r="P29" s="275">
        <f t="shared" si="40"/>
        <v>493859</v>
      </c>
      <c r="Q29" s="276">
        <f t="shared" si="40"/>
        <v>0.30178084679504957</v>
      </c>
      <c r="R29" s="274">
        <f t="shared" si="40"/>
        <v>60722.460003944987</v>
      </c>
      <c r="S29" s="604">
        <f t="shared" si="40"/>
        <v>87580</v>
      </c>
      <c r="T29" s="276">
        <f t="shared" si="40"/>
        <v>-0.19109842215044637</v>
      </c>
      <c r="U29" s="272">
        <f t="shared" si="40"/>
        <v>10189.393545842322</v>
      </c>
      <c r="V29" s="275">
        <f t="shared" si="40"/>
        <v>-275302</v>
      </c>
      <c r="W29" s="276">
        <f t="shared" si="40"/>
        <v>-1.2294737781339595</v>
      </c>
      <c r="X29" s="274">
        <f t="shared" si="40"/>
        <v>-182289.48507952338</v>
      </c>
      <c r="Y29" s="611">
        <f t="shared" si="40"/>
        <v>-8.4166666666666572</v>
      </c>
      <c r="Z29" s="277">
        <f t="shared" si="40"/>
        <v>-0.26200497657970878</v>
      </c>
      <c r="AA29" s="272">
        <f t="shared" si="40"/>
        <v>-12591.5366401067</v>
      </c>
      <c r="AB29" s="278">
        <f t="shared" si="40"/>
        <v>1.9015284648031816E-2</v>
      </c>
      <c r="AC29" s="274">
        <f t="shared" si="40"/>
        <v>38667.637319580419</v>
      </c>
      <c r="AD29" s="612">
        <f t="shared" si="40"/>
        <v>0.86308920678407786</v>
      </c>
      <c r="AE29" s="272">
        <f t="shared" si="40"/>
        <v>36016</v>
      </c>
      <c r="AF29" s="619">
        <f t="shared" si="40"/>
        <v>11954.413865023036</v>
      </c>
      <c r="AG29" s="616">
        <f t="shared" si="40"/>
        <v>0</v>
      </c>
      <c r="AH29" s="272">
        <f t="shared" si="40"/>
        <v>0</v>
      </c>
      <c r="AI29" s="620">
        <f t="shared" si="40"/>
        <v>-8.5257724901560472E-2</v>
      </c>
      <c r="AJ29" s="906">
        <f t="shared" si="40"/>
        <v>69353.344161830842</v>
      </c>
      <c r="AK29" s="189">
        <f t="shared" si="40"/>
        <v>8260</v>
      </c>
      <c r="AL29" s="913">
        <f t="shared" si="40"/>
        <v>89567.758026854135</v>
      </c>
      <c r="AM29" s="147">
        <f t="shared" si="40"/>
        <v>-2.124779721667594E-2</v>
      </c>
      <c r="AN29" s="626"/>
      <c r="AO29" s="280"/>
      <c r="AP29" s="279"/>
      <c r="AQ29" s="281"/>
      <c r="AR29" s="282"/>
    </row>
    <row r="30" spans="1:44">
      <c r="A30" s="500" t="s">
        <v>1</v>
      </c>
      <c r="B30" s="271">
        <f t="shared" ref="B30:AM31" si="41">B10-B46</f>
        <v>0</v>
      </c>
      <c r="C30" s="602">
        <f t="shared" si="41"/>
        <v>0</v>
      </c>
      <c r="D30" s="274">
        <f t="shared" si="41"/>
        <v>-589993.64383456833</v>
      </c>
      <c r="E30" s="599"/>
      <c r="F30" s="603"/>
      <c r="G30" s="273"/>
      <c r="H30" s="608"/>
      <c r="I30" s="609"/>
      <c r="J30" s="608"/>
      <c r="K30" s="608"/>
      <c r="L30" s="609"/>
      <c r="M30" s="610"/>
      <c r="N30" s="602"/>
      <c r="O30" s="274">
        <f t="shared" si="41"/>
        <v>-17902.662311095628</v>
      </c>
      <c r="P30" s="275">
        <f t="shared" si="41"/>
        <v>-53693</v>
      </c>
      <c r="Q30" s="276">
        <f t="shared" si="41"/>
        <v>-0.3607835345229784</v>
      </c>
      <c r="R30" s="274">
        <f t="shared" si="41"/>
        <v>-35447.188142916129</v>
      </c>
      <c r="S30" s="604">
        <f t="shared" si="41"/>
        <v>87662.540000000037</v>
      </c>
      <c r="T30" s="276">
        <f t="shared" si="41"/>
        <v>0.33311261311770712</v>
      </c>
      <c r="U30" s="272">
        <f t="shared" si="41"/>
        <v>23695.237576824351</v>
      </c>
      <c r="V30" s="275">
        <f t="shared" si="41"/>
        <v>12198.740000000002</v>
      </c>
      <c r="W30" s="276">
        <f t="shared" si="41"/>
        <v>8.3589750757621109E-2</v>
      </c>
      <c r="X30" s="274">
        <f t="shared" si="41"/>
        <v>13850.153624888688</v>
      </c>
      <c r="Y30" s="611">
        <f t="shared" si="41"/>
        <v>-1.8333333333333321</v>
      </c>
      <c r="Z30" s="277">
        <f t="shared" si="41"/>
        <v>-5.1358855634518141E-2</v>
      </c>
      <c r="AA30" s="272">
        <f t="shared" si="41"/>
        <v>-999.73385263985256</v>
      </c>
      <c r="AB30" s="278">
        <f t="shared" si="41"/>
        <v>-7.2027324933540582E-2</v>
      </c>
      <c r="AC30" s="274">
        <f t="shared" si="41"/>
        <v>-16613.755851458933</v>
      </c>
      <c r="AD30" s="612">
        <f t="shared" si="41"/>
        <v>0</v>
      </c>
      <c r="AE30" s="272">
        <f t="shared" si="41"/>
        <v>0</v>
      </c>
      <c r="AF30" s="619">
        <f t="shared" si="41"/>
        <v>0</v>
      </c>
      <c r="AG30" s="616">
        <f t="shared" si="41"/>
        <v>0</v>
      </c>
      <c r="AH30" s="272">
        <f t="shared" si="41"/>
        <v>0</v>
      </c>
      <c r="AI30" s="620">
        <f t="shared" si="41"/>
        <v>-7.3817357223189939E-2</v>
      </c>
      <c r="AJ30" s="906">
        <f t="shared" si="41"/>
        <v>-33417.885666897288</v>
      </c>
      <c r="AK30" s="189">
        <f t="shared" si="41"/>
        <v>0</v>
      </c>
      <c r="AL30" s="913">
        <f t="shared" si="41"/>
        <v>-33417.885666897288</v>
      </c>
      <c r="AM30" s="147">
        <f t="shared" si="41"/>
        <v>-1.0242562642653871E-2</v>
      </c>
      <c r="AN30" s="626"/>
      <c r="AO30" s="280"/>
      <c r="AP30" s="279"/>
      <c r="AQ30" s="281"/>
      <c r="AR30" s="282"/>
    </row>
    <row r="31" spans="1:44">
      <c r="A31" s="500" t="s">
        <v>4</v>
      </c>
      <c r="B31" s="271">
        <f t="shared" ref="B31:AM31" si="42">B11-B47</f>
        <v>0</v>
      </c>
      <c r="C31" s="602">
        <f t="shared" si="42"/>
        <v>0</v>
      </c>
      <c r="D31" s="274">
        <f t="shared" si="42"/>
        <v>-718151.00130433659</v>
      </c>
      <c r="E31" s="599"/>
      <c r="F31" s="603"/>
      <c r="G31" s="273"/>
      <c r="H31" s="608"/>
      <c r="I31" s="609"/>
      <c r="J31" s="608"/>
      <c r="K31" s="608"/>
      <c r="L31" s="609"/>
      <c r="M31" s="610"/>
      <c r="N31" s="602"/>
      <c r="O31" s="274">
        <f t="shared" si="42"/>
        <v>-111336.54484311026</v>
      </c>
      <c r="P31" s="275">
        <f t="shared" si="42"/>
        <v>216089</v>
      </c>
      <c r="Q31" s="276">
        <f t="shared" si="42"/>
        <v>0.11657200357060749</v>
      </c>
      <c r="R31" s="274">
        <f t="shared" si="42"/>
        <v>25208.396403443592</v>
      </c>
      <c r="S31" s="604">
        <f t="shared" si="42"/>
        <v>-65534.859999999986</v>
      </c>
      <c r="T31" s="276">
        <f t="shared" si="42"/>
        <v>-0.92711970896529339</v>
      </c>
      <c r="U31" s="272">
        <f t="shared" si="42"/>
        <v>-35166.122886681231</v>
      </c>
      <c r="V31" s="275">
        <f t="shared" si="42"/>
        <v>-18023.190000000002</v>
      </c>
      <c r="W31" s="276">
        <f t="shared" si="42"/>
        <v>-4.5865033884516015E-2</v>
      </c>
      <c r="X31" s="274">
        <f t="shared" si="42"/>
        <v>-5067.7442850994921</v>
      </c>
      <c r="Y31" s="611">
        <f t="shared" si="42"/>
        <v>-2</v>
      </c>
      <c r="Z31" s="277">
        <f t="shared" si="42"/>
        <v>-3.672752432820614E-2</v>
      </c>
      <c r="AA31" s="272">
        <f t="shared" si="42"/>
        <v>4799.2183620430296</v>
      </c>
      <c r="AB31" s="278">
        <f t="shared" si="42"/>
        <v>0.16952135773831944</v>
      </c>
      <c r="AC31" s="274">
        <f t="shared" si="42"/>
        <v>85560.818600997445</v>
      </c>
      <c r="AD31" s="612">
        <f t="shared" si="41"/>
        <v>0</v>
      </c>
      <c r="AE31" s="272">
        <f t="shared" si="42"/>
        <v>0</v>
      </c>
      <c r="AF31" s="619">
        <f t="shared" si="42"/>
        <v>0</v>
      </c>
      <c r="AG31" s="616">
        <f t="shared" si="42"/>
        <v>0</v>
      </c>
      <c r="AH31" s="272">
        <f t="shared" si="42"/>
        <v>0</v>
      </c>
      <c r="AI31" s="620">
        <f t="shared" si="42"/>
        <v>-9.0251731336776331E-2</v>
      </c>
      <c r="AJ31" s="906">
        <f t="shared" si="42"/>
        <v>-36001.710367839318</v>
      </c>
      <c r="AK31" s="189">
        <f t="shared" si="42"/>
        <v>0</v>
      </c>
      <c r="AL31" s="913">
        <f t="shared" si="42"/>
        <v>-36001.710367839318</v>
      </c>
      <c r="AM31" s="147">
        <f t="shared" si="42"/>
        <v>-1.2842760222767674E-2</v>
      </c>
      <c r="AN31" s="626"/>
      <c r="AO31" s="280"/>
      <c r="AP31" s="279"/>
      <c r="AQ31" s="281"/>
      <c r="AR31" s="282"/>
    </row>
    <row r="32" spans="1:44">
      <c r="A32" s="500" t="s">
        <v>17</v>
      </c>
      <c r="B32" s="271">
        <f t="shared" ref="B32:AM32" si="43">B12-B48</f>
        <v>0</v>
      </c>
      <c r="C32" s="602">
        <f t="shared" si="43"/>
        <v>0</v>
      </c>
      <c r="D32" s="274">
        <f t="shared" si="43"/>
        <v>-77900.106237067579</v>
      </c>
      <c r="E32" s="599"/>
      <c r="F32" s="603"/>
      <c r="G32" s="273"/>
      <c r="H32" s="608"/>
      <c r="I32" s="609"/>
      <c r="J32" s="608"/>
      <c r="K32" s="608"/>
      <c r="L32" s="609"/>
      <c r="M32" s="610"/>
      <c r="N32" s="602"/>
      <c r="O32" s="274">
        <f t="shared" si="43"/>
        <v>29954.354519390879</v>
      </c>
      <c r="P32" s="275">
        <f t="shared" si="43"/>
        <v>20785</v>
      </c>
      <c r="Q32" s="276">
        <f t="shared" si="43"/>
        <v>2.0882522968477049E-2</v>
      </c>
      <c r="R32" s="274">
        <f t="shared" si="43"/>
        <v>3275.1859210175326</v>
      </c>
      <c r="S32" s="604">
        <f t="shared" si="43"/>
        <v>30791</v>
      </c>
      <c r="T32" s="276">
        <f t="shared" si="43"/>
        <v>0.24043159028251895</v>
      </c>
      <c r="U32" s="272">
        <f t="shared" si="43"/>
        <v>11499.477819756719</v>
      </c>
      <c r="V32" s="275">
        <f t="shared" si="43"/>
        <v>256394</v>
      </c>
      <c r="W32" s="276">
        <f t="shared" si="43"/>
        <v>1.663002760430319</v>
      </c>
      <c r="X32" s="274">
        <f t="shared" si="43"/>
        <v>272484.39787035022</v>
      </c>
      <c r="Y32" s="611">
        <f t="shared" si="43"/>
        <v>-0.5</v>
      </c>
      <c r="Z32" s="277">
        <f t="shared" si="43"/>
        <v>-1.1277622702843548E-2</v>
      </c>
      <c r="AA32" s="272">
        <f t="shared" si="43"/>
        <v>560.25157094957103</v>
      </c>
      <c r="AB32" s="278">
        <f t="shared" si="43"/>
        <v>-2.302142116930822E-2</v>
      </c>
      <c r="AC32" s="274">
        <f t="shared" si="43"/>
        <v>-6079.2552729168674</v>
      </c>
      <c r="AD32" s="612">
        <f t="shared" si="43"/>
        <v>0</v>
      </c>
      <c r="AE32" s="272">
        <f t="shared" si="43"/>
        <v>0</v>
      </c>
      <c r="AF32" s="619">
        <f t="shared" si="43"/>
        <v>0</v>
      </c>
      <c r="AG32" s="616">
        <f t="shared" si="43"/>
        <v>0</v>
      </c>
      <c r="AH32" s="272">
        <f t="shared" si="43"/>
        <v>0</v>
      </c>
      <c r="AI32" s="620">
        <f t="shared" si="43"/>
        <v>0.18426454069677023</v>
      </c>
      <c r="AJ32" s="906">
        <f t="shared" si="43"/>
        <v>311694.98960215395</v>
      </c>
      <c r="AK32" s="189">
        <f t="shared" si="43"/>
        <v>0</v>
      </c>
      <c r="AL32" s="913">
        <f t="shared" si="43"/>
        <v>311694.98960215395</v>
      </c>
      <c r="AM32" s="147">
        <f t="shared" si="43"/>
        <v>1.0532969513316753E-2</v>
      </c>
      <c r="AN32" s="626"/>
      <c r="AO32" s="280"/>
      <c r="AP32" s="279"/>
      <c r="AQ32" s="281"/>
      <c r="AR32" s="282"/>
    </row>
    <row r="33" spans="1:44">
      <c r="A33" s="500" t="s">
        <v>205</v>
      </c>
      <c r="B33" s="271">
        <f t="shared" ref="B33:AM33" si="44">B13-B49</f>
        <v>0</v>
      </c>
      <c r="C33" s="602">
        <f t="shared" si="44"/>
        <v>0</v>
      </c>
      <c r="D33" s="274">
        <f t="shared" si="44"/>
        <v>0</v>
      </c>
      <c r="E33" s="599"/>
      <c r="F33" s="603"/>
      <c r="G33" s="273"/>
      <c r="H33" s="608"/>
      <c r="I33" s="609"/>
      <c r="J33" s="608"/>
      <c r="K33" s="608"/>
      <c r="L33" s="609"/>
      <c r="M33" s="610"/>
      <c r="N33" s="602"/>
      <c r="O33" s="274">
        <f t="shared" si="44"/>
        <v>18437.534943257535</v>
      </c>
      <c r="P33" s="275">
        <f t="shared" si="44"/>
        <v>-16935</v>
      </c>
      <c r="Q33" s="276">
        <f t="shared" si="44"/>
        <v>-3.3336146890189336E-2</v>
      </c>
      <c r="R33" s="274">
        <f t="shared" si="44"/>
        <v>-4104.0211021173563</v>
      </c>
      <c r="S33" s="604">
        <f t="shared" si="44"/>
        <v>0</v>
      </c>
      <c r="T33" s="276">
        <f t="shared" si="44"/>
        <v>0</v>
      </c>
      <c r="U33" s="272">
        <f t="shared" si="44"/>
        <v>0</v>
      </c>
      <c r="V33" s="275">
        <f t="shared" si="44"/>
        <v>-15000</v>
      </c>
      <c r="W33" s="276">
        <f t="shared" si="44"/>
        <v>-7.3897536021640259E-2</v>
      </c>
      <c r="X33" s="274">
        <f t="shared" si="44"/>
        <v>-11302.205473325988</v>
      </c>
      <c r="Y33" s="611">
        <f t="shared" si="44"/>
        <v>0</v>
      </c>
      <c r="Z33" s="277">
        <f t="shared" si="44"/>
        <v>0</v>
      </c>
      <c r="AA33" s="272">
        <f t="shared" si="44"/>
        <v>0</v>
      </c>
      <c r="AB33" s="278">
        <f t="shared" si="44"/>
        <v>-0.12029338595296574</v>
      </c>
      <c r="AC33" s="274">
        <f t="shared" si="44"/>
        <v>-37274.802159232437</v>
      </c>
      <c r="AD33" s="612">
        <f t="shared" si="44"/>
        <v>0</v>
      </c>
      <c r="AE33" s="272">
        <f t="shared" si="44"/>
        <v>0</v>
      </c>
      <c r="AF33" s="619">
        <f t="shared" si="44"/>
        <v>0</v>
      </c>
      <c r="AG33" s="616">
        <f t="shared" si="44"/>
        <v>0</v>
      </c>
      <c r="AH33" s="272">
        <f t="shared" si="44"/>
        <v>0</v>
      </c>
      <c r="AI33" s="620">
        <f t="shared" si="44"/>
        <v>-2.5879171422521996E-2</v>
      </c>
      <c r="AJ33" s="906">
        <f t="shared" si="44"/>
        <v>-34243.105943148985</v>
      </c>
      <c r="AK33" s="189">
        <f t="shared" si="44"/>
        <v>0</v>
      </c>
      <c r="AL33" s="913">
        <f t="shared" si="44"/>
        <v>-34243.105943148985</v>
      </c>
      <c r="AM33" s="147">
        <f t="shared" si="44"/>
        <v>-2.1071816947166875E-3</v>
      </c>
      <c r="AN33" s="626"/>
      <c r="AO33" s="280"/>
      <c r="AP33" s="279"/>
      <c r="AQ33" s="281"/>
      <c r="AR33" s="282"/>
    </row>
    <row r="34" spans="1:44">
      <c r="A34" s="598" t="s">
        <v>64</v>
      </c>
      <c r="B34" s="271">
        <f t="shared" ref="B34:AM34" si="45">B14-B50</f>
        <v>0</v>
      </c>
      <c r="C34" s="602">
        <f t="shared" si="45"/>
        <v>0</v>
      </c>
      <c r="D34" s="274">
        <f t="shared" si="45"/>
        <v>0</v>
      </c>
      <c r="E34" s="599"/>
      <c r="F34" s="603"/>
      <c r="G34" s="273"/>
      <c r="H34" s="608"/>
      <c r="I34" s="609"/>
      <c r="J34" s="608"/>
      <c r="K34" s="608"/>
      <c r="L34" s="609"/>
      <c r="M34" s="610"/>
      <c r="N34" s="602"/>
      <c r="O34" s="274">
        <f t="shared" si="45"/>
        <v>41290.977667981009</v>
      </c>
      <c r="P34" s="275">
        <f t="shared" si="45"/>
        <v>0</v>
      </c>
      <c r="Q34" s="276">
        <f t="shared" si="45"/>
        <v>0</v>
      </c>
      <c r="R34" s="274">
        <f t="shared" si="45"/>
        <v>0</v>
      </c>
      <c r="S34" s="604">
        <f t="shared" si="45"/>
        <v>0</v>
      </c>
      <c r="T34" s="276">
        <f t="shared" si="45"/>
        <v>0</v>
      </c>
      <c r="U34" s="272">
        <f t="shared" si="45"/>
        <v>0</v>
      </c>
      <c r="V34" s="275">
        <f t="shared" si="45"/>
        <v>0</v>
      </c>
      <c r="W34" s="276">
        <f t="shared" si="45"/>
        <v>0</v>
      </c>
      <c r="X34" s="274">
        <f t="shared" si="45"/>
        <v>0</v>
      </c>
      <c r="Y34" s="611">
        <f t="shared" si="45"/>
        <v>0</v>
      </c>
      <c r="Z34" s="277">
        <f t="shared" si="45"/>
        <v>0</v>
      </c>
      <c r="AA34" s="272">
        <f t="shared" si="45"/>
        <v>0</v>
      </c>
      <c r="AB34" s="278">
        <f t="shared" si="45"/>
        <v>0</v>
      </c>
      <c r="AC34" s="274">
        <f t="shared" si="45"/>
        <v>0</v>
      </c>
      <c r="AD34" s="612">
        <f t="shared" si="45"/>
        <v>0</v>
      </c>
      <c r="AE34" s="272">
        <f t="shared" si="45"/>
        <v>0</v>
      </c>
      <c r="AF34" s="619">
        <f t="shared" si="45"/>
        <v>0</v>
      </c>
      <c r="AG34" s="616">
        <f t="shared" si="45"/>
        <v>0</v>
      </c>
      <c r="AH34" s="272">
        <f t="shared" si="45"/>
        <v>0</v>
      </c>
      <c r="AI34" s="620">
        <f t="shared" si="45"/>
        <v>2.5899421564949416E-2</v>
      </c>
      <c r="AJ34" s="906">
        <f t="shared" si="45"/>
        <v>41291</v>
      </c>
      <c r="AK34" s="189">
        <f t="shared" si="45"/>
        <v>0</v>
      </c>
      <c r="AL34" s="913">
        <f t="shared" si="45"/>
        <v>41291</v>
      </c>
      <c r="AM34" s="147">
        <f t="shared" si="45"/>
        <v>1.6464069941535028E-3</v>
      </c>
      <c r="AN34" s="626"/>
      <c r="AO34" s="280"/>
      <c r="AP34" s="279"/>
      <c r="AQ34" s="281"/>
      <c r="AR34" s="282"/>
    </row>
    <row r="35" spans="1:44" s="112" customFormat="1" ht="15.75" thickBot="1">
      <c r="A35" s="631" t="s">
        <v>2</v>
      </c>
      <c r="B35" s="632">
        <f>SUM(B25:B34)</f>
        <v>0</v>
      </c>
      <c r="C35" s="633">
        <f>SUM(C25:C34)</f>
        <v>0</v>
      </c>
      <c r="D35" s="634">
        <f>SUM(D25:D34)</f>
        <v>-5545259.9595882604</v>
      </c>
      <c r="E35" s="635"/>
      <c r="F35" s="636"/>
      <c r="G35" s="632"/>
      <c r="H35" s="637"/>
      <c r="I35" s="637"/>
      <c r="J35" s="638"/>
      <c r="K35" s="637"/>
      <c r="L35" s="637"/>
      <c r="M35" s="637"/>
      <c r="N35" s="637"/>
      <c r="O35" s="634">
        <f t="shared" ref="O35:AA35" si="46">SUM(O25:O34)</f>
        <v>821578.6192667227</v>
      </c>
      <c r="P35" s="632">
        <f t="shared" si="46"/>
        <v>1654340.2799999998</v>
      </c>
      <c r="Q35" s="633">
        <f t="shared" si="46"/>
        <v>0.1228258646868962</v>
      </c>
      <c r="R35" s="634">
        <f t="shared" si="46"/>
        <v>125302.03703800053</v>
      </c>
      <c r="S35" s="639">
        <f t="shared" si="46"/>
        <v>166764.99000000011</v>
      </c>
      <c r="T35" s="633">
        <f t="shared" si="46"/>
        <v>-1.2223663995341667</v>
      </c>
      <c r="U35" s="636">
        <f t="shared" si="46"/>
        <v>-2692.7873668683624</v>
      </c>
      <c r="V35" s="632">
        <f t="shared" si="46"/>
        <v>970712.80999999982</v>
      </c>
      <c r="W35" s="633">
        <f t="shared" si="46"/>
        <v>7.8399392397257541</v>
      </c>
      <c r="X35" s="634">
        <f t="shared" si="46"/>
        <v>1337766.0297845323</v>
      </c>
      <c r="Y35" s="640">
        <f t="shared" si="46"/>
        <v>-8.1666666666666643</v>
      </c>
      <c r="Z35" s="633">
        <f t="shared" si="46"/>
        <v>0.30168596402910669</v>
      </c>
      <c r="AA35" s="636">
        <f t="shared" si="46"/>
        <v>157427.92069012843</v>
      </c>
      <c r="AB35" s="641">
        <f>SUM(AB25:AB34)</f>
        <v>-4.9827520195878078E-2</v>
      </c>
      <c r="AC35" s="634">
        <f t="shared" ref="AC35" si="47">SUM(AC25:AC34)</f>
        <v>160149.5965500155</v>
      </c>
      <c r="AD35" s="635">
        <f>SUM(AD25:AD34)</f>
        <v>2.3098080722868644</v>
      </c>
      <c r="AE35" s="636">
        <f>SUM(AE25:AE34)</f>
        <v>101530</v>
      </c>
      <c r="AF35" s="642">
        <f t="shared" ref="AF35:AI35" si="48">SUM(AF25:AF34)</f>
        <v>52241</v>
      </c>
      <c r="AG35" s="639">
        <f t="shared" si="48"/>
        <v>0</v>
      </c>
      <c r="AH35" s="637">
        <f t="shared" si="48"/>
        <v>0</v>
      </c>
      <c r="AI35" s="643">
        <f t="shared" si="48"/>
        <v>1.0953419493753724</v>
      </c>
      <c r="AJ35" s="642">
        <f>SUM(AJ25:AJ34)</f>
        <v>2701063.0000000005</v>
      </c>
      <c r="AK35" s="644">
        <f t="shared" ref="AK35:AM35" si="49">SUM(AK25:AK34)</f>
        <v>8693</v>
      </c>
      <c r="AL35" s="642">
        <f t="shared" si="49"/>
        <v>2761997.0000000005</v>
      </c>
      <c r="AM35" s="645">
        <f t="shared" si="49"/>
        <v>3.9873265192868698E-8</v>
      </c>
      <c r="AN35" s="641"/>
      <c r="AO35" s="633"/>
      <c r="AP35" s="633"/>
      <c r="AQ35" s="633"/>
      <c r="AR35" s="646"/>
    </row>
    <row r="36" spans="1:44" ht="15" customHeight="1"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S36" s="291"/>
      <c r="T36" s="291"/>
      <c r="U36" s="291"/>
      <c r="V36" s="291"/>
      <c r="W36" s="291"/>
      <c r="AE36" s="131"/>
      <c r="AF36" s="131"/>
      <c r="AG36" s="131"/>
      <c r="AH36" s="131"/>
    </row>
    <row r="37" spans="1:44"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S37" s="291"/>
      <c r="T37" s="291"/>
      <c r="U37" s="291"/>
      <c r="V37" s="291"/>
      <c r="W37" s="291"/>
      <c r="AE37" s="131"/>
      <c r="AF37" s="131"/>
      <c r="AG37" s="131"/>
      <c r="AH37" s="131"/>
    </row>
    <row r="38" spans="1:44">
      <c r="D38" s="131"/>
      <c r="E38" s="131"/>
      <c r="F38" s="131"/>
      <c r="G38" s="131"/>
      <c r="H38" s="131"/>
      <c r="O38" s="291"/>
      <c r="P38" s="291"/>
      <c r="Q38" s="291"/>
      <c r="R38" s="291"/>
      <c r="S38" s="291"/>
      <c r="AA38" s="131"/>
      <c r="AB38" s="131"/>
      <c r="AC38" s="131"/>
    </row>
    <row r="39" spans="1:44" ht="15.75" thickBot="1">
      <c r="A39" s="109" t="s">
        <v>229</v>
      </c>
      <c r="O39" s="291" t="s">
        <v>276</v>
      </c>
      <c r="P39" s="291"/>
      <c r="Q39" s="291"/>
      <c r="R39" s="291"/>
      <c r="S39" s="291"/>
      <c r="AA39" s="131"/>
      <c r="AB39" s="131"/>
      <c r="AC39" s="131"/>
    </row>
    <row r="40" spans="1:44" s="112" customFormat="1">
      <c r="A40" s="342" t="s">
        <v>2</v>
      </c>
      <c r="B40" s="560">
        <v>8058.2821250000015</v>
      </c>
      <c r="C40" s="601">
        <v>14.464352860486365</v>
      </c>
      <c r="D40" s="559">
        <v>9511626</v>
      </c>
      <c r="E40" s="627"/>
      <c r="F40" s="566"/>
      <c r="G40" s="606"/>
      <c r="H40" s="565"/>
      <c r="I40" s="565"/>
      <c r="J40" s="565"/>
      <c r="K40" s="565"/>
      <c r="L40" s="565"/>
      <c r="M40" s="607"/>
      <c r="N40" s="601"/>
      <c r="O40" s="559">
        <v>9511626</v>
      </c>
      <c r="P40" s="606">
        <v>13200300.67</v>
      </c>
      <c r="Q40" s="601">
        <v>18.39</v>
      </c>
      <c r="R40" s="559">
        <v>2531019</v>
      </c>
      <c r="S40" s="561">
        <v>3332962.67</v>
      </c>
      <c r="T40" s="601">
        <v>28.55</v>
      </c>
      <c r="U40" s="561">
        <v>1309732</v>
      </c>
      <c r="V40" s="606">
        <v>2750429.7200000007</v>
      </c>
      <c r="W40" s="601">
        <v>13.55</v>
      </c>
      <c r="X40" s="559">
        <v>2072395</v>
      </c>
      <c r="Y40" s="627">
        <v>320.58333333333331</v>
      </c>
      <c r="Z40" s="601">
        <v>16.86</v>
      </c>
      <c r="AA40" s="561">
        <v>2578630</v>
      </c>
      <c r="AB40" s="227">
        <v>12.08</v>
      </c>
      <c r="AC40" s="559">
        <v>4155287</v>
      </c>
      <c r="AD40" s="627">
        <v>5.75</v>
      </c>
      <c r="AE40" s="561">
        <v>219710</v>
      </c>
      <c r="AF40" s="618">
        <v>0</v>
      </c>
      <c r="AG40" s="628">
        <v>0</v>
      </c>
      <c r="AH40" s="561">
        <v>14.635533034522558</v>
      </c>
      <c r="AI40" s="629">
        <f>AJ40/$AJ$52*100</f>
        <v>14.635533034522558</v>
      </c>
      <c r="AJ40" s="618">
        <v>22378399</v>
      </c>
      <c r="AK40" s="561">
        <v>152000</v>
      </c>
      <c r="AL40" s="618">
        <f>AJ40+AK40</f>
        <v>22530399</v>
      </c>
      <c r="AM40" s="630">
        <v>1</v>
      </c>
      <c r="AN40" s="623"/>
      <c r="AO40" s="624"/>
      <c r="AP40" s="624"/>
      <c r="AQ40" s="624"/>
      <c r="AR40" s="625"/>
    </row>
    <row r="41" spans="1:44">
      <c r="A41" s="500" t="s">
        <v>6</v>
      </c>
      <c r="B41" s="271">
        <v>342.13057499999996</v>
      </c>
      <c r="C41" s="602">
        <f>100*B41/$B$16</f>
        <v>0.61411319241457973</v>
      </c>
      <c r="D41" s="274">
        <v>403835.21228042751</v>
      </c>
      <c r="E41" s="599"/>
      <c r="F41" s="603"/>
      <c r="G41" s="273"/>
      <c r="H41" s="608"/>
      <c r="I41" s="609"/>
      <c r="J41" s="608"/>
      <c r="K41" s="608"/>
      <c r="L41" s="609"/>
      <c r="M41" s="610"/>
      <c r="N41" s="602"/>
      <c r="O41" s="274">
        <v>403835.21228042751</v>
      </c>
      <c r="P41" s="275">
        <v>218395</v>
      </c>
      <c r="Q41" s="647">
        <f>P41/P$51*Q$40</f>
        <v>0.30425700520010873</v>
      </c>
      <c r="R41" s="274">
        <v>41874.94622319597</v>
      </c>
      <c r="S41" s="604">
        <v>111809</v>
      </c>
      <c r="T41" s="647">
        <f>S41/S$51*T$40</f>
        <v>0.9577504910795589</v>
      </c>
      <c r="U41" s="272">
        <v>43936.828938095023</v>
      </c>
      <c r="V41" s="275">
        <v>104617</v>
      </c>
      <c r="W41" s="276">
        <f t="shared" ref="W41:W50" si="50">V41/V$51*W$40</f>
        <v>0.51539590173172922</v>
      </c>
      <c r="X41" s="274">
        <v>78826.85533352966</v>
      </c>
      <c r="Y41" s="611">
        <v>41.25</v>
      </c>
      <c r="Z41" s="277">
        <f t="shared" ref="Z41:Z50" si="51">Y41/Y$51*Z$40</f>
        <v>2.1688409563409565</v>
      </c>
      <c r="AA41" s="272">
        <v>331710.45997920993</v>
      </c>
      <c r="AB41" s="278">
        <v>0.19554511200175714</v>
      </c>
      <c r="AC41" s="274">
        <f t="shared" ref="AC41:AC50" si="52">AB41/AB$51*AC$40</f>
        <v>67263.746838944149</v>
      </c>
      <c r="AD41" s="612">
        <f>AD$40*AE41/AE$40</f>
        <v>4.7687497155341134</v>
      </c>
      <c r="AE41" s="272">
        <v>182216</v>
      </c>
      <c r="AF41" s="619"/>
      <c r="AG41" s="616"/>
      <c r="AH41" s="272"/>
      <c r="AI41" s="620">
        <f t="shared" ref="AI41:AI50" si="53">AJ41/$AJ$52*100</f>
        <v>0.75188360087186401</v>
      </c>
      <c r="AJ41" s="906">
        <v>1149664.394332476</v>
      </c>
      <c r="AK41" s="189">
        <v>0</v>
      </c>
      <c r="AL41" s="913">
        <f t="shared" ref="AL41:AL50" si="54">SUM(AJ41:AK41)+AF41</f>
        <v>1149664.394332476</v>
      </c>
      <c r="AM41" s="147">
        <f>AL41/AL$40</f>
        <v>5.1027254081584442E-2</v>
      </c>
      <c r="AN41" s="626"/>
      <c r="AO41" s="280"/>
      <c r="AP41" s="279"/>
      <c r="AQ41" s="281"/>
      <c r="AR41" s="282"/>
    </row>
    <row r="42" spans="1:44">
      <c r="A42" s="500" t="s">
        <v>3</v>
      </c>
      <c r="B42" s="271">
        <v>1853.30115</v>
      </c>
      <c r="C42" s="602">
        <f t="shared" ref="C42:C50" si="55">100*B42/$B$16</f>
        <v>3.326614950248489</v>
      </c>
      <c r="D42" s="274">
        <v>2187551.5315455529</v>
      </c>
      <c r="E42" s="599"/>
      <c r="F42" s="603"/>
      <c r="G42" s="273"/>
      <c r="H42" s="608"/>
      <c r="I42" s="609"/>
      <c r="J42" s="608"/>
      <c r="K42" s="608"/>
      <c r="L42" s="609"/>
      <c r="M42" s="610"/>
      <c r="N42" s="602"/>
      <c r="O42" s="274">
        <v>2187551.5315455529</v>
      </c>
      <c r="P42" s="275">
        <v>3394192</v>
      </c>
      <c r="Q42" s="647">
        <f t="shared" ref="Q42:Q50" si="56">P42/P$51*Q$40</f>
        <v>4.7286187549814205</v>
      </c>
      <c r="R42" s="274">
        <v>650800.64777674386</v>
      </c>
      <c r="S42" s="604">
        <v>286452</v>
      </c>
      <c r="T42" s="276">
        <f t="shared" ref="T42:T50" si="57">S42/S$51*T$40</f>
        <v>2.4537339898462722</v>
      </c>
      <c r="U42" s="272">
        <v>112565.1112430591</v>
      </c>
      <c r="V42" s="275">
        <v>1435173</v>
      </c>
      <c r="W42" s="276">
        <f t="shared" si="50"/>
        <v>7.0703832309857004</v>
      </c>
      <c r="X42" s="274">
        <v>1081374.6757179785</v>
      </c>
      <c r="Y42" s="611">
        <v>37.166666666666664</v>
      </c>
      <c r="Z42" s="277">
        <f t="shared" si="51"/>
        <v>1.9541476091476091</v>
      </c>
      <c r="AA42" s="272">
        <v>298874.47505197505</v>
      </c>
      <c r="AB42" s="278">
        <v>2.7051367841412008</v>
      </c>
      <c r="AC42" s="274">
        <f t="shared" si="52"/>
        <v>930514.87685130269</v>
      </c>
      <c r="AD42" s="612"/>
      <c r="AE42" s="272"/>
      <c r="AF42" s="619"/>
      <c r="AG42" s="616"/>
      <c r="AH42" s="272"/>
      <c r="AI42" s="620">
        <f t="shared" si="53"/>
        <v>3.4411537103011862</v>
      </c>
      <c r="AJ42" s="906">
        <v>5261681.3181866119</v>
      </c>
      <c r="AK42" s="189">
        <v>20000</v>
      </c>
      <c r="AL42" s="913">
        <f t="shared" si="54"/>
        <v>5281681.3181866119</v>
      </c>
      <c r="AM42" s="147">
        <f t="shared" ref="AM42:AM50" si="58">AL42/AL$40</f>
        <v>0.23442466856386396</v>
      </c>
      <c r="AN42" s="626"/>
      <c r="AO42" s="280"/>
      <c r="AP42" s="279"/>
      <c r="AQ42" s="281"/>
      <c r="AR42" s="282"/>
    </row>
    <row r="43" spans="1:44">
      <c r="A43" s="500" t="s">
        <v>5</v>
      </c>
      <c r="B43" s="271">
        <v>1771.8999999999999</v>
      </c>
      <c r="C43" s="602">
        <f t="shared" si="55"/>
        <v>3.1805025483016065</v>
      </c>
      <c r="D43" s="274">
        <v>2091469.3538853978</v>
      </c>
      <c r="E43" s="599"/>
      <c r="F43" s="603"/>
      <c r="G43" s="273"/>
      <c r="H43" s="608"/>
      <c r="I43" s="609"/>
      <c r="J43" s="608"/>
      <c r="K43" s="608"/>
      <c r="L43" s="609"/>
      <c r="M43" s="610"/>
      <c r="N43" s="602"/>
      <c r="O43" s="274">
        <v>2091469.3538853978</v>
      </c>
      <c r="P43" s="275">
        <v>3911275</v>
      </c>
      <c r="Q43" s="647">
        <f t="shared" si="56"/>
        <v>5.4489929623574493</v>
      </c>
      <c r="R43" s="274">
        <v>749945.87920570897</v>
      </c>
      <c r="S43" s="604">
        <v>395396</v>
      </c>
      <c r="T43" s="276">
        <f t="shared" si="57"/>
        <v>3.3869430293705634</v>
      </c>
      <c r="U43" s="272">
        <v>155376.1004463596</v>
      </c>
      <c r="V43" s="275">
        <v>415529</v>
      </c>
      <c r="W43" s="276">
        <f t="shared" si="50"/>
        <v>2.0471046163690771</v>
      </c>
      <c r="X43" s="274">
        <v>313092.94254171167</v>
      </c>
      <c r="Y43" s="611">
        <v>72.666666666666671</v>
      </c>
      <c r="Z43" s="277">
        <f t="shared" si="51"/>
        <v>3.8206652806652812</v>
      </c>
      <c r="AA43" s="272">
        <v>584346.50727650733</v>
      </c>
      <c r="AB43" s="278">
        <v>3.9860518338428452</v>
      </c>
      <c r="AC43" s="274">
        <f t="shared" si="52"/>
        <v>1371124.9475573951</v>
      </c>
      <c r="AD43" s="612"/>
      <c r="AE43" s="272"/>
      <c r="AF43" s="619"/>
      <c r="AG43" s="616"/>
      <c r="AH43" s="272"/>
      <c r="AI43" s="620">
        <f t="shared" si="53"/>
        <v>3.4435567860905092</v>
      </c>
      <c r="AJ43" s="906">
        <v>5265355.7309130803</v>
      </c>
      <c r="AK43" s="189">
        <v>80000</v>
      </c>
      <c r="AL43" s="913">
        <f t="shared" si="54"/>
        <v>5345355.7309130803</v>
      </c>
      <c r="AM43" s="147">
        <f t="shared" si="58"/>
        <v>0.23725082413822676</v>
      </c>
      <c r="AN43" s="626"/>
      <c r="AO43" s="280"/>
      <c r="AP43" s="279"/>
      <c r="AQ43" s="281"/>
      <c r="AR43" s="282"/>
    </row>
    <row r="44" spans="1:44">
      <c r="A44" s="500" t="s">
        <v>7</v>
      </c>
      <c r="B44" s="271">
        <v>250.87999999999997</v>
      </c>
      <c r="C44" s="602">
        <f t="shared" si="55"/>
        <v>0.45032139472764088</v>
      </c>
      <c r="D44" s="274">
        <v>296127.22586080962</v>
      </c>
      <c r="E44" s="599"/>
      <c r="F44" s="603"/>
      <c r="G44" s="273"/>
      <c r="H44" s="608"/>
      <c r="I44" s="609"/>
      <c r="J44" s="608"/>
      <c r="K44" s="608"/>
      <c r="L44" s="609"/>
      <c r="M44" s="610"/>
      <c r="N44" s="602"/>
      <c r="O44" s="274">
        <v>296127.22586080962</v>
      </c>
      <c r="P44" s="275">
        <v>382826</v>
      </c>
      <c r="Q44" s="647">
        <f t="shared" si="56"/>
        <v>0.53333406109451598</v>
      </c>
      <c r="R44" s="274">
        <v>73402.862532755884</v>
      </c>
      <c r="S44" s="604">
        <v>371824</v>
      </c>
      <c r="T44" s="276">
        <f t="shared" si="57"/>
        <v>3.1850264164348663</v>
      </c>
      <c r="U44" s="272">
        <v>146113.17052364518</v>
      </c>
      <c r="V44" s="275">
        <v>33598</v>
      </c>
      <c r="W44" s="276">
        <f t="shared" si="50"/>
        <v>0.16552062768367129</v>
      </c>
      <c r="X44" s="274">
        <v>25315.433299520439</v>
      </c>
      <c r="Y44" s="611">
        <v>24.75</v>
      </c>
      <c r="Z44" s="277">
        <f t="shared" si="51"/>
        <v>1.3013045738045739</v>
      </c>
      <c r="AA44" s="272">
        <v>199026.27598752599</v>
      </c>
      <c r="AB44" s="278">
        <v>0.18030726142576012</v>
      </c>
      <c r="AC44" s="274">
        <f t="shared" si="52"/>
        <v>62022.220149674038</v>
      </c>
      <c r="AD44" s="612"/>
      <c r="AE44" s="272"/>
      <c r="AF44" s="619"/>
      <c r="AG44" s="616"/>
      <c r="AH44" s="272"/>
      <c r="AI44" s="620">
        <f t="shared" si="53"/>
        <v>0.52451485466312908</v>
      </c>
      <c r="AJ44" s="906">
        <v>802007.18835393107</v>
      </c>
      <c r="AK44" s="189">
        <v>0</v>
      </c>
      <c r="AL44" s="913">
        <f t="shared" si="54"/>
        <v>802007.18835393107</v>
      </c>
      <c r="AM44" s="147">
        <f t="shared" si="58"/>
        <v>3.5596670451949433E-2</v>
      </c>
      <c r="AN44" s="626"/>
      <c r="AO44" s="280"/>
      <c r="AP44" s="279"/>
      <c r="AQ44" s="281"/>
      <c r="AR44" s="282"/>
    </row>
    <row r="45" spans="1:44">
      <c r="A45" s="500" t="s">
        <v>0</v>
      </c>
      <c r="B45" s="271">
        <v>1825.8925750000001</v>
      </c>
      <c r="C45" s="602">
        <f t="shared" si="55"/>
        <v>3.2774174545473684</v>
      </c>
      <c r="D45" s="274">
        <v>2155199.7088432731</v>
      </c>
      <c r="E45" s="599"/>
      <c r="F45" s="603"/>
      <c r="G45" s="273"/>
      <c r="H45" s="608"/>
      <c r="I45" s="609"/>
      <c r="J45" s="608"/>
      <c r="K45" s="608"/>
      <c r="L45" s="609"/>
      <c r="M45" s="610"/>
      <c r="N45" s="602"/>
      <c r="O45" s="274">
        <v>2155199.7088432731</v>
      </c>
      <c r="P45" s="275">
        <v>2135680</v>
      </c>
      <c r="Q45" s="647">
        <f t="shared" si="56"/>
        <v>2.9753226990808774</v>
      </c>
      <c r="R45" s="274">
        <v>409494.19698232639</v>
      </c>
      <c r="S45" s="604">
        <v>1155149</v>
      </c>
      <c r="T45" s="276">
        <f t="shared" si="57"/>
        <v>9.8949505140021063</v>
      </c>
      <c r="U45" s="272">
        <v>453931.11476725066</v>
      </c>
      <c r="V45" s="275">
        <v>429616</v>
      </c>
      <c r="W45" s="276">
        <f t="shared" si="50"/>
        <v>2.1165042556981999</v>
      </c>
      <c r="X45" s="274">
        <v>323707.22044189455</v>
      </c>
      <c r="Y45" s="611">
        <v>85.583333333333329</v>
      </c>
      <c r="Z45" s="277">
        <f t="shared" si="51"/>
        <v>4.499797297297297</v>
      </c>
      <c r="AA45" s="272">
        <v>688215.43918918923</v>
      </c>
      <c r="AB45" s="278">
        <v>2.1609825626648598</v>
      </c>
      <c r="AC45" s="274">
        <f t="shared" si="52"/>
        <v>743336.32035330927</v>
      </c>
      <c r="AD45" s="612">
        <f>AD$40*AE45/AE$40</f>
        <v>0.9812502844658868</v>
      </c>
      <c r="AE45" s="272">
        <v>37494</v>
      </c>
      <c r="AF45" s="619"/>
      <c r="AG45" s="616"/>
      <c r="AH45" s="272"/>
      <c r="AI45" s="620">
        <f t="shared" si="53"/>
        <v>3.1466539060092384</v>
      </c>
      <c r="AJ45" s="906">
        <v>4811377.6558381692</v>
      </c>
      <c r="AK45" s="189">
        <v>52000</v>
      </c>
      <c r="AL45" s="913">
        <f t="shared" si="54"/>
        <v>4863377.6558381692</v>
      </c>
      <c r="AM45" s="147">
        <f t="shared" si="58"/>
        <v>0.21585847884177148</v>
      </c>
      <c r="AN45" s="626"/>
      <c r="AO45" s="280"/>
      <c r="AP45" s="279"/>
      <c r="AQ45" s="281"/>
      <c r="AR45" s="282"/>
    </row>
    <row r="46" spans="1:44">
      <c r="A46" s="500" t="s">
        <v>1</v>
      </c>
      <c r="B46" s="271">
        <v>857.36922500000014</v>
      </c>
      <c r="C46" s="602">
        <f t="shared" si="55"/>
        <v>1.5389497177876144</v>
      </c>
      <c r="D46" s="274">
        <v>1011999.2432146141</v>
      </c>
      <c r="E46" s="599"/>
      <c r="F46" s="603"/>
      <c r="G46" s="273"/>
      <c r="H46" s="608"/>
      <c r="I46" s="609"/>
      <c r="J46" s="608"/>
      <c r="K46" s="608"/>
      <c r="L46" s="609"/>
      <c r="M46" s="610"/>
      <c r="N46" s="602"/>
      <c r="O46" s="274">
        <v>1011999.2432146141</v>
      </c>
      <c r="P46" s="275">
        <v>2000671</v>
      </c>
      <c r="Q46" s="647">
        <f t="shared" si="56"/>
        <v>2.7872349039616595</v>
      </c>
      <c r="R46" s="274">
        <v>383607.63998858811</v>
      </c>
      <c r="S46" s="604">
        <v>463926</v>
      </c>
      <c r="T46" s="276">
        <f t="shared" si="57"/>
        <v>3.9739676978112271</v>
      </c>
      <c r="U46" s="272">
        <v>182305.87253203834</v>
      </c>
      <c r="V46" s="275">
        <v>16391</v>
      </c>
      <c r="W46" s="276">
        <f t="shared" si="50"/>
        <v>8.0750300862047028E-2</v>
      </c>
      <c r="X46" s="274">
        <v>12350.296660885753</v>
      </c>
      <c r="Y46" s="611">
        <v>21.083333333333332</v>
      </c>
      <c r="Z46" s="277">
        <f t="shared" si="51"/>
        <v>1.1085187110187111</v>
      </c>
      <c r="AA46" s="272">
        <v>169540.90176715175</v>
      </c>
      <c r="AB46" s="278">
        <v>0.62588663853151971</v>
      </c>
      <c r="AC46" s="274">
        <f t="shared" si="52"/>
        <v>215292.93150361942</v>
      </c>
      <c r="AD46" s="612"/>
      <c r="AE46" s="272"/>
      <c r="AF46" s="619"/>
      <c r="AG46" s="616"/>
      <c r="AH46" s="272"/>
      <c r="AI46" s="620">
        <f t="shared" si="53"/>
        <v>1.2917186665838114</v>
      </c>
      <c r="AJ46" s="906">
        <v>1975096.8856668973</v>
      </c>
      <c r="AK46" s="189">
        <v>0</v>
      </c>
      <c r="AL46" s="913">
        <f t="shared" si="54"/>
        <v>1975096.8856668973</v>
      </c>
      <c r="AM46" s="147">
        <f t="shared" si="58"/>
        <v>8.7663644379617836E-2</v>
      </c>
      <c r="AN46" s="626"/>
      <c r="AO46" s="280"/>
      <c r="AP46" s="279"/>
      <c r="AQ46" s="281"/>
      <c r="AR46" s="282"/>
    </row>
    <row r="47" spans="1:44">
      <c r="A47" s="500" t="s">
        <v>4</v>
      </c>
      <c r="B47" s="271">
        <v>1043.605425</v>
      </c>
      <c r="C47" s="602">
        <f t="shared" si="55"/>
        <v>1.8732376057530791</v>
      </c>
      <c r="D47" s="274">
        <v>1231823.8974750526</v>
      </c>
      <c r="E47" s="599"/>
      <c r="F47" s="603"/>
      <c r="G47" s="273"/>
      <c r="H47" s="608"/>
      <c r="I47" s="609"/>
      <c r="J47" s="608"/>
      <c r="K47" s="608"/>
      <c r="L47" s="609"/>
      <c r="M47" s="610"/>
      <c r="N47" s="602"/>
      <c r="O47" s="274">
        <v>1231823.8974750526</v>
      </c>
      <c r="P47" s="275">
        <v>1039811</v>
      </c>
      <c r="Q47" s="647">
        <f t="shared" si="56"/>
        <v>1.4486127467850924</v>
      </c>
      <c r="R47" s="274">
        <v>199372.83228685468</v>
      </c>
      <c r="S47" s="604">
        <v>548407</v>
      </c>
      <c r="T47" s="276">
        <f t="shared" si="57"/>
        <v>4.6976278614554081</v>
      </c>
      <c r="U47" s="272">
        <v>215503.80154955218</v>
      </c>
      <c r="V47" s="275">
        <v>70263</v>
      </c>
      <c r="W47" s="276">
        <f t="shared" si="50"/>
        <v>0.34615083823256731</v>
      </c>
      <c r="X47" s="274">
        <v>52941.790878153595</v>
      </c>
      <c r="Y47" s="611">
        <v>31.25</v>
      </c>
      <c r="Z47" s="277">
        <f t="shared" si="51"/>
        <v>1.6430613305613306</v>
      </c>
      <c r="AA47" s="272">
        <v>251295.80301455301</v>
      </c>
      <c r="AB47" s="278">
        <v>1.6794737761259741</v>
      </c>
      <c r="AC47" s="274">
        <f t="shared" si="52"/>
        <v>577706.58516367292</v>
      </c>
      <c r="AD47" s="612"/>
      <c r="AE47" s="272"/>
      <c r="AF47" s="619"/>
      <c r="AG47" s="616"/>
      <c r="AH47" s="272"/>
      <c r="AI47" s="620">
        <f t="shared" si="53"/>
        <v>1.653740430276502</v>
      </c>
      <c r="AJ47" s="906">
        <v>2528644.7103678393</v>
      </c>
      <c r="AK47" s="189">
        <v>0</v>
      </c>
      <c r="AL47" s="913">
        <f t="shared" si="54"/>
        <v>2528644.7103678393</v>
      </c>
      <c r="AM47" s="147">
        <f t="shared" si="58"/>
        <v>0.11223257565779636</v>
      </c>
      <c r="AN47" s="626"/>
      <c r="AO47" s="280"/>
      <c r="AP47" s="279"/>
      <c r="AQ47" s="281"/>
      <c r="AR47" s="282"/>
    </row>
    <row r="48" spans="1:44">
      <c r="A48" s="500" t="s">
        <v>17</v>
      </c>
      <c r="B48" s="271">
        <v>113.203175</v>
      </c>
      <c r="C48" s="602">
        <f t="shared" si="55"/>
        <v>0.20319599670598382</v>
      </c>
      <c r="D48" s="274">
        <v>133619.82689487308</v>
      </c>
      <c r="E48" s="599"/>
      <c r="F48" s="603"/>
      <c r="G48" s="273"/>
      <c r="H48" s="608"/>
      <c r="I48" s="609"/>
      <c r="J48" s="608"/>
      <c r="K48" s="608"/>
      <c r="L48" s="609"/>
      <c r="M48" s="610"/>
      <c r="N48" s="602"/>
      <c r="O48" s="274">
        <v>133619.82689487308</v>
      </c>
      <c r="P48" s="275">
        <v>34184</v>
      </c>
      <c r="Q48" s="647">
        <f t="shared" si="56"/>
        <v>4.7623441313951853E-2</v>
      </c>
      <c r="R48" s="274">
        <v>6554.4227738443233</v>
      </c>
      <c r="S48" s="604">
        <v>0</v>
      </c>
      <c r="T48" s="276">
        <f t="shared" si="57"/>
        <v>0</v>
      </c>
      <c r="U48" s="272">
        <v>0</v>
      </c>
      <c r="V48" s="275">
        <v>230243</v>
      </c>
      <c r="W48" s="276">
        <f t="shared" si="50"/>
        <v>1.1342926924153678</v>
      </c>
      <c r="X48" s="274">
        <v>173483.5796529997</v>
      </c>
      <c r="Y48" s="611">
        <v>6.916666666666667</v>
      </c>
      <c r="Z48" s="277">
        <f t="shared" si="51"/>
        <v>0.36366424116424123</v>
      </c>
      <c r="AA48" s="272">
        <v>55620.137733887736</v>
      </c>
      <c r="AB48" s="278">
        <v>0.14785434642042133</v>
      </c>
      <c r="AC48" s="274">
        <f t="shared" si="52"/>
        <v>50859.043342241159</v>
      </c>
      <c r="AD48" s="612"/>
      <c r="AE48" s="272"/>
      <c r="AF48" s="619"/>
      <c r="AG48" s="616"/>
      <c r="AH48" s="272"/>
      <c r="AI48" s="620">
        <f t="shared" si="53"/>
        <v>0.27477073291539861</v>
      </c>
      <c r="AJ48" s="906">
        <v>420137.01039784605</v>
      </c>
      <c r="AK48" s="189">
        <v>0</v>
      </c>
      <c r="AL48" s="913">
        <f t="shared" si="54"/>
        <v>420137.01039784605</v>
      </c>
      <c r="AM48" s="147">
        <f t="shared" si="58"/>
        <v>1.8647561918359548E-2</v>
      </c>
      <c r="AN48" s="626"/>
      <c r="AO48" s="280"/>
      <c r="AP48" s="279"/>
      <c r="AQ48" s="281"/>
      <c r="AR48" s="282"/>
    </row>
    <row r="49" spans="1:44">
      <c r="A49" s="500" t="s">
        <v>205</v>
      </c>
      <c r="B49" s="271">
        <v>0</v>
      </c>
      <c r="C49" s="602">
        <f t="shared" si="55"/>
        <v>0</v>
      </c>
      <c r="D49" s="274">
        <v>0</v>
      </c>
      <c r="E49" s="599"/>
      <c r="F49" s="603"/>
      <c r="G49" s="273"/>
      <c r="H49" s="608"/>
      <c r="I49" s="609"/>
      <c r="J49" s="608"/>
      <c r="K49" s="608"/>
      <c r="L49" s="609"/>
      <c r="M49" s="610"/>
      <c r="N49" s="602"/>
      <c r="O49" s="274">
        <v>0</v>
      </c>
      <c r="P49" s="275">
        <v>83267</v>
      </c>
      <c r="Q49" s="647">
        <f t="shared" si="56"/>
        <v>0.11600342522492481</v>
      </c>
      <c r="R49" s="274">
        <v>15965.572229981726</v>
      </c>
      <c r="S49" s="604">
        <v>0</v>
      </c>
      <c r="T49" s="276">
        <f t="shared" si="57"/>
        <v>0</v>
      </c>
      <c r="U49" s="272">
        <v>0</v>
      </c>
      <c r="V49" s="275">
        <v>15000</v>
      </c>
      <c r="W49" s="276">
        <f t="shared" si="50"/>
        <v>7.3897536021640259E-2</v>
      </c>
      <c r="X49" s="274">
        <v>11302.205473325988</v>
      </c>
      <c r="Y49" s="611">
        <v>0</v>
      </c>
      <c r="Z49" s="277">
        <f t="shared" si="51"/>
        <v>0</v>
      </c>
      <c r="AA49" s="272">
        <v>0</v>
      </c>
      <c r="AB49" s="278">
        <v>0.39876168484566354</v>
      </c>
      <c r="AC49" s="274">
        <f t="shared" si="52"/>
        <v>137166.32823984127</v>
      </c>
      <c r="AD49" s="612"/>
      <c r="AE49" s="272"/>
      <c r="AF49" s="619"/>
      <c r="AG49" s="616"/>
      <c r="AH49" s="272"/>
      <c r="AI49" s="620">
        <f t="shared" si="53"/>
        <v>0.10754034681091972</v>
      </c>
      <c r="AJ49" s="906">
        <v>164434.10594314898</v>
      </c>
      <c r="AK49" s="189">
        <v>0</v>
      </c>
      <c r="AL49" s="913">
        <f t="shared" si="54"/>
        <v>164434.10594314898</v>
      </c>
      <c r="AM49" s="147">
        <f t="shared" si="58"/>
        <v>7.2983219668301914E-3</v>
      </c>
      <c r="AN49" s="626"/>
      <c r="AO49" s="280"/>
      <c r="AP49" s="279"/>
      <c r="AQ49" s="281"/>
      <c r="AR49" s="282"/>
    </row>
    <row r="50" spans="1:44">
      <c r="A50" s="598" t="s">
        <v>64</v>
      </c>
      <c r="B50" s="271">
        <v>0</v>
      </c>
      <c r="C50" s="602">
        <f t="shared" si="55"/>
        <v>0</v>
      </c>
      <c r="D50" s="274">
        <v>0</v>
      </c>
      <c r="E50" s="599"/>
      <c r="F50" s="603"/>
      <c r="G50" s="273"/>
      <c r="H50" s="608"/>
      <c r="I50" s="609"/>
      <c r="J50" s="608"/>
      <c r="K50" s="608"/>
      <c r="L50" s="609"/>
      <c r="M50" s="610"/>
      <c r="N50" s="602"/>
      <c r="O50" s="274">
        <v>0</v>
      </c>
      <c r="P50" s="275">
        <v>0</v>
      </c>
      <c r="Q50" s="647">
        <f t="shared" si="56"/>
        <v>0</v>
      </c>
      <c r="R50" s="274">
        <v>0</v>
      </c>
      <c r="S50" s="604">
        <v>0</v>
      </c>
      <c r="T50" s="276">
        <f t="shared" si="57"/>
        <v>0</v>
      </c>
      <c r="U50" s="272">
        <v>0</v>
      </c>
      <c r="V50" s="275">
        <v>0</v>
      </c>
      <c r="W50" s="276">
        <f t="shared" si="50"/>
        <v>0</v>
      </c>
      <c r="X50" s="274">
        <v>0</v>
      </c>
      <c r="Y50" s="611">
        <v>0</v>
      </c>
      <c r="Z50" s="277">
        <f t="shared" si="51"/>
        <v>0</v>
      </c>
      <c r="AA50" s="272">
        <v>0</v>
      </c>
      <c r="AB50" s="278">
        <v>0</v>
      </c>
      <c r="AC50" s="274">
        <f t="shared" si="52"/>
        <v>0</v>
      </c>
      <c r="AD50" s="612"/>
      <c r="AE50" s="272"/>
      <c r="AF50" s="619"/>
      <c r="AG50" s="616"/>
      <c r="AH50" s="272"/>
      <c r="AI50" s="620">
        <f t="shared" si="53"/>
        <v>0</v>
      </c>
      <c r="AJ50" s="906">
        <v>0</v>
      </c>
      <c r="AK50" s="189">
        <v>0</v>
      </c>
      <c r="AL50" s="913">
        <f t="shared" si="54"/>
        <v>0</v>
      </c>
      <c r="AM50" s="147">
        <f t="shared" si="58"/>
        <v>0</v>
      </c>
      <c r="AN50" s="626"/>
      <c r="AO50" s="280"/>
      <c r="AP50" s="279"/>
      <c r="AQ50" s="281"/>
      <c r="AR50" s="282"/>
    </row>
    <row r="51" spans="1:44" s="112" customFormat="1" ht="15.75" thickBot="1">
      <c r="A51" s="631" t="s">
        <v>2</v>
      </c>
      <c r="B51" s="632">
        <f>SUM(B41:B50)</f>
        <v>8058.2821249999997</v>
      </c>
      <c r="C51" s="633">
        <f t="shared" ref="C51:AR51" si="59">SUM(C41:C50)</f>
        <v>14.464352860486363</v>
      </c>
      <c r="D51" s="634">
        <f t="shared" si="59"/>
        <v>9511626.0000000019</v>
      </c>
      <c r="E51" s="635">
        <f t="shared" si="59"/>
        <v>0</v>
      </c>
      <c r="F51" s="636">
        <f t="shared" si="59"/>
        <v>0</v>
      </c>
      <c r="G51" s="632">
        <f t="shared" si="59"/>
        <v>0</v>
      </c>
      <c r="H51" s="637">
        <f t="shared" si="59"/>
        <v>0</v>
      </c>
      <c r="I51" s="637">
        <f t="shared" si="59"/>
        <v>0</v>
      </c>
      <c r="J51" s="638">
        <f t="shared" si="59"/>
        <v>0</v>
      </c>
      <c r="K51" s="637">
        <f t="shared" si="59"/>
        <v>0</v>
      </c>
      <c r="L51" s="637">
        <f t="shared" si="59"/>
        <v>0</v>
      </c>
      <c r="M51" s="637">
        <f t="shared" si="59"/>
        <v>0</v>
      </c>
      <c r="N51" s="637">
        <f t="shared" si="59"/>
        <v>0</v>
      </c>
      <c r="O51" s="634">
        <f t="shared" si="59"/>
        <v>9511626.0000000019</v>
      </c>
      <c r="P51" s="632">
        <f t="shared" si="59"/>
        <v>13200301</v>
      </c>
      <c r="Q51" s="633">
        <f t="shared" si="59"/>
        <v>18.39</v>
      </c>
      <c r="R51" s="634">
        <f t="shared" si="59"/>
        <v>2531019</v>
      </c>
      <c r="S51" s="639">
        <f t="shared" si="59"/>
        <v>3332963</v>
      </c>
      <c r="T51" s="633">
        <f t="shared" si="59"/>
        <v>28.550000000000004</v>
      </c>
      <c r="U51" s="636">
        <f t="shared" si="59"/>
        <v>1309732</v>
      </c>
      <c r="V51" s="632">
        <f t="shared" si="59"/>
        <v>2750430</v>
      </c>
      <c r="W51" s="633">
        <f t="shared" si="59"/>
        <v>13.549999999999999</v>
      </c>
      <c r="X51" s="634">
        <f t="shared" si="59"/>
        <v>2072395</v>
      </c>
      <c r="Y51" s="640">
        <f t="shared" si="59"/>
        <v>320.66666666666663</v>
      </c>
      <c r="Z51" s="633">
        <f t="shared" si="59"/>
        <v>16.86</v>
      </c>
      <c r="AA51" s="636">
        <f t="shared" si="59"/>
        <v>2578630.0000000005</v>
      </c>
      <c r="AB51" s="641">
        <f t="shared" si="59"/>
        <v>12.080000000000002</v>
      </c>
      <c r="AC51" s="634">
        <f t="shared" si="59"/>
        <v>4155287</v>
      </c>
      <c r="AD51" s="635">
        <f t="shared" si="59"/>
        <v>5.75</v>
      </c>
      <c r="AE51" s="636">
        <f t="shared" si="59"/>
        <v>219710</v>
      </c>
      <c r="AF51" s="642">
        <f t="shared" si="59"/>
        <v>0</v>
      </c>
      <c r="AG51" s="639">
        <f t="shared" si="59"/>
        <v>0</v>
      </c>
      <c r="AH51" s="637">
        <f t="shared" si="59"/>
        <v>0</v>
      </c>
      <c r="AI51" s="648">
        <f t="shared" si="59"/>
        <v>14.635533034522558</v>
      </c>
      <c r="AJ51" s="642">
        <f t="shared" si="59"/>
        <v>22378399.000000004</v>
      </c>
      <c r="AK51" s="644">
        <f t="shared" si="59"/>
        <v>152000</v>
      </c>
      <c r="AL51" s="642">
        <f t="shared" si="59"/>
        <v>22530399.000000004</v>
      </c>
      <c r="AM51" s="645">
        <f t="shared" si="59"/>
        <v>1</v>
      </c>
      <c r="AN51" s="641">
        <f t="shared" si="59"/>
        <v>0</v>
      </c>
      <c r="AO51" s="633">
        <f t="shared" si="59"/>
        <v>0</v>
      </c>
      <c r="AP51" s="633">
        <f t="shared" si="59"/>
        <v>0</v>
      </c>
      <c r="AQ51" s="633">
        <f t="shared" si="59"/>
        <v>0</v>
      </c>
      <c r="AR51" s="646">
        <f t="shared" si="59"/>
        <v>0</v>
      </c>
    </row>
    <row r="52" spans="1:44">
      <c r="O52" s="291"/>
      <c r="P52" s="291"/>
      <c r="Q52" s="291"/>
      <c r="R52" s="291"/>
      <c r="S52" s="291"/>
      <c r="AJ52" s="109">
        <v>152904571</v>
      </c>
    </row>
    <row r="53" spans="1:44">
      <c r="O53" s="291"/>
      <c r="P53" s="291"/>
      <c r="Q53" s="291"/>
      <c r="R53" s="291"/>
      <c r="S53" s="291"/>
    </row>
  </sheetData>
  <sheetProtection algorithmName="SHA-512" hashValue="jQx1MuW/9ADnRHTXWZFXgHBNkYSVs0Qa5Hhp0wh4UDha/75cDQsJXa6o/C54/iJKQvi/3fnvtw/2pjsMaMxXtw==" saltValue="yTiBQVwuDzo1uE3UJMqn+A==" spinCount="100000" sheet="1" objects="1" scenarios="1"/>
  <mergeCells count="14">
    <mergeCell ref="B1:O1"/>
    <mergeCell ref="A2:A3"/>
    <mergeCell ref="B2:D2"/>
    <mergeCell ref="E2:F2"/>
    <mergeCell ref="G2:N2"/>
    <mergeCell ref="AI2:AI3"/>
    <mergeCell ref="AJ2:AM2"/>
    <mergeCell ref="AN2:AR2"/>
    <mergeCell ref="P2:R2"/>
    <mergeCell ref="S2:U2"/>
    <mergeCell ref="V2:X2"/>
    <mergeCell ref="Y2:AA2"/>
    <mergeCell ref="AB2:AF2"/>
    <mergeCell ref="AG2:AH2"/>
  </mergeCells>
  <conditionalFormatting sqref="A24:XFD35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15" formulaRange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BH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1" sqref="M11"/>
    </sheetView>
  </sheetViews>
  <sheetFormatPr defaultColWidth="8.7109375" defaultRowHeight="15"/>
  <cols>
    <col min="1" max="1" width="45.7109375" style="2" customWidth="1"/>
    <col min="2" max="2" width="8.85546875" style="2" bestFit="1" customWidth="1"/>
    <col min="3" max="7" width="9.140625" style="2" bestFit="1" customWidth="1"/>
    <col min="8" max="8" width="9.7109375" style="2" customWidth="1"/>
    <col min="9" max="9" width="8.7109375" style="2"/>
    <col min="10" max="10" width="8.85546875" style="2" bestFit="1" customWidth="1"/>
    <col min="11" max="11" width="8.85546875" style="2" customWidth="1"/>
    <col min="12" max="45" width="8.85546875" style="2" bestFit="1" customWidth="1"/>
    <col min="46" max="46" width="8.7109375" style="2"/>
    <col min="47" max="52" width="8.85546875" style="2" bestFit="1" customWidth="1"/>
    <col min="53" max="53" width="8.7109375" style="2"/>
    <col min="54" max="60" width="10.42578125" style="2" customWidth="1"/>
    <col min="61" max="16384" width="8.7109375" style="2"/>
  </cols>
  <sheetData>
    <row r="1" spans="1:60" ht="10.5" customHeight="1">
      <c r="C1" s="237"/>
    </row>
    <row r="2" spans="1:60" ht="15.75" thickBot="1">
      <c r="B2" s="2" t="s">
        <v>288</v>
      </c>
      <c r="H2" s="246"/>
    </row>
    <row r="3" spans="1:60" ht="15.75" thickBot="1">
      <c r="B3" s="1463">
        <v>2020</v>
      </c>
      <c r="C3" s="1465">
        <v>2019</v>
      </c>
      <c r="D3" s="1465">
        <v>2018</v>
      </c>
      <c r="E3" s="1465">
        <v>2017</v>
      </c>
      <c r="F3" s="1467">
        <v>2016</v>
      </c>
      <c r="G3" s="1465">
        <v>2015</v>
      </c>
      <c r="H3" s="1461" t="s">
        <v>296</v>
      </c>
      <c r="J3" s="1458">
        <v>2020</v>
      </c>
      <c r="K3" s="1459"/>
      <c r="L3" s="1459"/>
      <c r="M3" s="1459"/>
      <c r="N3" s="1459"/>
      <c r="O3" s="1460"/>
      <c r="P3" s="1458">
        <v>2019</v>
      </c>
      <c r="Q3" s="1459"/>
      <c r="R3" s="1459"/>
      <c r="S3" s="1459"/>
      <c r="T3" s="1459"/>
      <c r="U3" s="1460"/>
      <c r="V3" s="1458">
        <v>2018</v>
      </c>
      <c r="W3" s="1459"/>
      <c r="X3" s="1459"/>
      <c r="Y3" s="1459"/>
      <c r="Z3" s="1459"/>
      <c r="AA3" s="1460"/>
      <c r="AB3" s="1458">
        <v>2017</v>
      </c>
      <c r="AC3" s="1459"/>
      <c r="AD3" s="1459"/>
      <c r="AE3" s="1459"/>
      <c r="AF3" s="1459"/>
      <c r="AG3" s="1460"/>
      <c r="AH3" s="1458">
        <v>2016</v>
      </c>
      <c r="AI3" s="1459"/>
      <c r="AJ3" s="1459"/>
      <c r="AK3" s="1459"/>
      <c r="AL3" s="1459"/>
      <c r="AM3" s="1460"/>
      <c r="AN3" s="1458">
        <v>2015</v>
      </c>
      <c r="AO3" s="1459"/>
      <c r="AP3" s="1459"/>
      <c r="AQ3" s="1459"/>
      <c r="AR3" s="1459"/>
      <c r="AS3" s="1460"/>
    </row>
    <row r="4" spans="1:60" ht="15.75" thickBot="1">
      <c r="B4" s="1464"/>
      <c r="C4" s="1466"/>
      <c r="D4" s="1466"/>
      <c r="E4" s="1466"/>
      <c r="F4" s="1468"/>
      <c r="G4" s="1466"/>
      <c r="H4" s="1462"/>
      <c r="J4" s="761" t="s">
        <v>289</v>
      </c>
      <c r="K4" s="762" t="s">
        <v>290</v>
      </c>
      <c r="L4" s="762" t="s">
        <v>291</v>
      </c>
      <c r="M4" s="762" t="s">
        <v>292</v>
      </c>
      <c r="N4" s="762" t="s">
        <v>293</v>
      </c>
      <c r="O4" s="763" t="s">
        <v>294</v>
      </c>
      <c r="P4" s="761" t="s">
        <v>289</v>
      </c>
      <c r="Q4" s="762" t="s">
        <v>290</v>
      </c>
      <c r="R4" s="762" t="s">
        <v>291</v>
      </c>
      <c r="S4" s="762" t="s">
        <v>292</v>
      </c>
      <c r="T4" s="762" t="s">
        <v>293</v>
      </c>
      <c r="U4" s="763" t="s">
        <v>294</v>
      </c>
      <c r="V4" s="764" t="s">
        <v>289</v>
      </c>
      <c r="W4" s="765" t="s">
        <v>290</v>
      </c>
      <c r="X4" s="765" t="s">
        <v>291</v>
      </c>
      <c r="Y4" s="765" t="s">
        <v>292</v>
      </c>
      <c r="Z4" s="765" t="s">
        <v>293</v>
      </c>
      <c r="AA4" s="766" t="s">
        <v>294</v>
      </c>
      <c r="AB4" s="761" t="s">
        <v>289</v>
      </c>
      <c r="AC4" s="762" t="s">
        <v>290</v>
      </c>
      <c r="AD4" s="762" t="s">
        <v>291</v>
      </c>
      <c r="AE4" s="762" t="s">
        <v>292</v>
      </c>
      <c r="AF4" s="762" t="s">
        <v>293</v>
      </c>
      <c r="AG4" s="763" t="s">
        <v>294</v>
      </c>
      <c r="AH4" s="764" t="s">
        <v>289</v>
      </c>
      <c r="AI4" s="765" t="s">
        <v>290</v>
      </c>
      <c r="AJ4" s="765" t="s">
        <v>291</v>
      </c>
      <c r="AK4" s="765" t="s">
        <v>292</v>
      </c>
      <c r="AL4" s="765" t="s">
        <v>293</v>
      </c>
      <c r="AM4" s="766" t="s">
        <v>294</v>
      </c>
      <c r="AN4" s="761" t="s">
        <v>289</v>
      </c>
      <c r="AO4" s="762" t="s">
        <v>290</v>
      </c>
      <c r="AP4" s="762" t="s">
        <v>291</v>
      </c>
      <c r="AQ4" s="762" t="s">
        <v>292</v>
      </c>
      <c r="AR4" s="762" t="s">
        <v>293</v>
      </c>
      <c r="AS4" s="763" t="s">
        <v>294</v>
      </c>
      <c r="AU4" s="770">
        <v>2020</v>
      </c>
      <c r="AV4" s="771">
        <v>2019</v>
      </c>
      <c r="AW4" s="771">
        <v>2018</v>
      </c>
      <c r="AX4" s="771">
        <v>2017</v>
      </c>
      <c r="AY4" s="771">
        <v>2016</v>
      </c>
      <c r="AZ4" s="772">
        <v>2015</v>
      </c>
      <c r="BB4" s="713">
        <v>2020</v>
      </c>
      <c r="BC4" s="714">
        <v>2019</v>
      </c>
      <c r="BD4" s="714">
        <v>2018</v>
      </c>
      <c r="BE4" s="714">
        <v>2017</v>
      </c>
      <c r="BF4" s="714">
        <v>2016</v>
      </c>
      <c r="BG4" s="714">
        <v>2015</v>
      </c>
      <c r="BH4" s="721" t="s">
        <v>295</v>
      </c>
    </row>
    <row r="5" spans="1:60" s="705" customFormat="1">
      <c r="A5" s="510" t="s">
        <v>2</v>
      </c>
      <c r="B5" s="730">
        <v>14.827172066477216</v>
      </c>
      <c r="C5" s="731">
        <v>15.145393606347596</v>
      </c>
      <c r="D5" s="731">
        <v>15.958697450076711</v>
      </c>
      <c r="E5" s="731">
        <v>17.03202831833725</v>
      </c>
      <c r="F5" s="731">
        <v>17.455955232788721</v>
      </c>
      <c r="G5" s="731">
        <v>17.903868311558142</v>
      </c>
      <c r="H5" s="732">
        <v>16.387185830930942</v>
      </c>
      <c r="J5" s="733">
        <v>0.18389319025187881</v>
      </c>
      <c r="K5" s="734">
        <v>0.28547875655589755</v>
      </c>
      <c r="L5" s="734">
        <v>0.13551431187364701</v>
      </c>
      <c r="M5" s="734">
        <v>0.16861713784790708</v>
      </c>
      <c r="N5" s="734">
        <v>0.12076224547348006</v>
      </c>
      <c r="O5" s="736">
        <v>7.261923023542903E-2</v>
      </c>
      <c r="P5" s="733">
        <v>0.18949877173536259</v>
      </c>
      <c r="Q5" s="734">
        <v>0.24731159274736655</v>
      </c>
      <c r="R5" s="734">
        <v>0.15455789427056224</v>
      </c>
      <c r="S5" s="734">
        <v>0.17354098227683823</v>
      </c>
      <c r="T5" s="734">
        <v>0.12035611867922205</v>
      </c>
      <c r="U5" s="736">
        <v>7.8579678400504865E-2</v>
      </c>
      <c r="V5" s="733">
        <v>0.19380065523338788</v>
      </c>
      <c r="W5" s="734">
        <v>0.21345170281256601</v>
      </c>
      <c r="X5" s="734">
        <v>0.19401731449678039</v>
      </c>
      <c r="Y5" s="734">
        <v>0.18123791808002337</v>
      </c>
      <c r="Z5" s="734">
        <v>0.12534401133353387</v>
      </c>
      <c r="AA5" s="736">
        <v>5.5641586258801293E-2</v>
      </c>
      <c r="AB5" s="733">
        <v>0.20644918878669066</v>
      </c>
      <c r="AC5" s="734">
        <v>0.2824660376055172</v>
      </c>
      <c r="AD5" s="734">
        <v>0.17340581937219196</v>
      </c>
      <c r="AE5" s="734">
        <v>0.19381273027569559</v>
      </c>
      <c r="AF5" s="734">
        <v>0.14235484542201751</v>
      </c>
      <c r="AG5" s="736">
        <v>5.1058324432476349E-2</v>
      </c>
      <c r="AH5" s="733">
        <v>0.21267963424583752</v>
      </c>
      <c r="AI5" s="734">
        <v>0.38171273988225807</v>
      </c>
      <c r="AJ5" s="734">
        <v>0.15389327374752898</v>
      </c>
      <c r="AK5" s="734">
        <v>0.19911144665776179</v>
      </c>
      <c r="AL5" s="734">
        <v>0.1427314800872593</v>
      </c>
      <c r="AM5" s="736">
        <v>5.9653619525606244E-2</v>
      </c>
      <c r="AN5" s="733">
        <v>0.19585550011660241</v>
      </c>
      <c r="AO5" s="734">
        <v>0.47872021915055918</v>
      </c>
      <c r="AP5" s="734">
        <v>0.11189789115892483</v>
      </c>
      <c r="AQ5" s="735">
        <v>0.19774958103902318</v>
      </c>
      <c r="AR5" s="734">
        <v>0.13923940257521975</v>
      </c>
      <c r="AS5" s="736">
        <v>5.0918580855809227E-2</v>
      </c>
      <c r="AU5" s="767">
        <v>8.4514880778920165E-2</v>
      </c>
      <c r="AV5" s="768">
        <v>8.6328743556181267E-2</v>
      </c>
      <c r="AW5" s="768">
        <v>9.0964575519577429E-2</v>
      </c>
      <c r="AX5" s="768">
        <v>9.7082561414522275E-2</v>
      </c>
      <c r="AY5" s="768">
        <v>9.9498944826895711E-2</v>
      </c>
      <c r="AZ5" s="769">
        <v>0.10205204937588137</v>
      </c>
      <c r="BB5" s="715">
        <v>0.14827172066477215</v>
      </c>
      <c r="BC5" s="706">
        <v>0.15145393606347596</v>
      </c>
      <c r="BD5" s="706">
        <v>0.15958697450076711</v>
      </c>
      <c r="BE5" s="706">
        <v>0.1703202831833725</v>
      </c>
      <c r="BF5" s="706">
        <v>0.17455955232788722</v>
      </c>
      <c r="BG5" s="706">
        <v>0.17903868311558144</v>
      </c>
      <c r="BH5" s="722">
        <v>0.16387185830930942</v>
      </c>
    </row>
    <row r="6" spans="1:60">
      <c r="A6" s="486" t="s">
        <v>6</v>
      </c>
      <c r="B6" s="726">
        <f t="shared" ref="B6:G15" si="0">BB6*100</f>
        <v>0.91072712734953354</v>
      </c>
      <c r="C6" s="724">
        <f t="shared" si="0"/>
        <v>0.84986268607892756</v>
      </c>
      <c r="D6" s="724">
        <f t="shared" si="0"/>
        <v>1.0370647913635072</v>
      </c>
      <c r="E6" s="724">
        <f t="shared" si="0"/>
        <v>0.87808071750377104</v>
      </c>
      <c r="F6" s="724">
        <f t="shared" si="0"/>
        <v>0.88314691869928652</v>
      </c>
      <c r="G6" s="724">
        <f t="shared" si="0"/>
        <v>0.83825252480155021</v>
      </c>
      <c r="H6" s="725">
        <f t="shared" ref="H6:H16" si="1">+AVERAGE(B6:G6)</f>
        <v>0.899522460966096</v>
      </c>
      <c r="J6" s="737">
        <v>3.0424573867716392E-3</v>
      </c>
      <c r="K6" s="707">
        <v>9.5767922691486033E-3</v>
      </c>
      <c r="L6" s="707">
        <v>5.1545033923005986E-3</v>
      </c>
      <c r="M6" s="707">
        <v>2.1690614146235417E-2</v>
      </c>
      <c r="N6" s="707">
        <v>1.9548473257149659E-3</v>
      </c>
      <c r="O6" s="738">
        <v>6.0226691634758633E-2</v>
      </c>
      <c r="P6" s="737">
        <v>3.8337341817849331E-3</v>
      </c>
      <c r="Q6" s="707">
        <v>1.1057436789373307E-2</v>
      </c>
      <c r="R6" s="707">
        <v>6.2126768623110644E-4</v>
      </c>
      <c r="S6" s="707">
        <v>1.6873256647983569E-2</v>
      </c>
      <c r="T6" s="707">
        <v>3.5054801209018619E-3</v>
      </c>
      <c r="U6" s="738">
        <v>6.517090679934627E-2</v>
      </c>
      <c r="V6" s="737">
        <v>5.6763849754499817E-3</v>
      </c>
      <c r="W6" s="707">
        <v>9.0543318444022917E-3</v>
      </c>
      <c r="X6" s="707">
        <v>6.3967637199050971E-3</v>
      </c>
      <c r="Y6" s="707">
        <v>1.787123963389611E-2</v>
      </c>
      <c r="Z6" s="707">
        <v>6.5338125694661799E-3</v>
      </c>
      <c r="AA6" s="738">
        <v>4.9274261765576456E-2</v>
      </c>
      <c r="AB6" s="737">
        <v>6.0798228272619078E-3</v>
      </c>
      <c r="AC6" s="707">
        <v>6.4768689334952587E-3</v>
      </c>
      <c r="AD6" s="707">
        <v>1.0083527072707966E-2</v>
      </c>
      <c r="AE6" s="707">
        <v>1.4769409006363664E-2</v>
      </c>
      <c r="AF6" s="707">
        <v>2.7295402770908484E-3</v>
      </c>
      <c r="AG6" s="738">
        <v>4.6565191882418422E-2</v>
      </c>
      <c r="AH6" s="737">
        <f>0.392191864276031/100</f>
        <v>3.9219186427603102E-3</v>
      </c>
      <c r="AI6" s="707">
        <f>0.456335670470777/100</f>
        <v>4.5633567047077698E-3</v>
      </c>
      <c r="AJ6" s="707">
        <f>0.491878716641758/100</f>
        <v>4.9187871664175794E-3</v>
      </c>
      <c r="AK6" s="707">
        <v>1.7161475556771395E-2</v>
      </c>
      <c r="AL6" s="707">
        <v>4.4177845381277543E-3</v>
      </c>
      <c r="AM6" s="738">
        <v>5.3681450567945183E-2</v>
      </c>
      <c r="AN6" s="737">
        <v>1.483559334265827E-3</v>
      </c>
      <c r="AO6" s="707">
        <v>1.5926413817278619E-3</v>
      </c>
      <c r="AP6" s="707">
        <f>0.481445774146598/100</f>
        <v>4.81445774146598E-3</v>
      </c>
      <c r="AQ6" s="707">
        <v>1.980690472442561E-2</v>
      </c>
      <c r="AR6" s="707">
        <v>4.3921721070048388E-3</v>
      </c>
      <c r="AS6" s="738">
        <v>4.7099687291623532E-2</v>
      </c>
      <c r="AU6" s="716">
        <f t="shared" ref="AU6:AU15" si="2">+SUMPRODUCT(J6:O6,$J$19:$O$19)</f>
        <v>5.1911446258923405E-3</v>
      </c>
      <c r="AV6" s="712">
        <f t="shared" ref="AV6:AV15" si="3">+SUMPRODUCT(P6:U6,$P$19:$U$19)</f>
        <v>4.8442173106498865E-3</v>
      </c>
      <c r="AW6" s="712">
        <f t="shared" ref="AW6:AW15" si="4">+SUMPRODUCT(V6:AA6,$V$19:$AA$19)</f>
        <v>5.91126931077199E-3</v>
      </c>
      <c r="AX6" s="712">
        <f t="shared" ref="AX6:AX15" si="5">+SUMPRODUCT(AB6:AG6,$AB$19:$AG$19)</f>
        <v>5.0050600897714945E-3</v>
      </c>
      <c r="AY6" s="712">
        <f t="shared" ref="AY6:AY15" si="6">+SUMPRODUCT(AH6:AM6,$AH$19:$AM$19)</f>
        <v>5.0339374365859328E-3</v>
      </c>
      <c r="AZ6" s="717">
        <f t="shared" ref="AZ6:AZ15" si="7">+SUMPRODUCT(AN6:AS6,$AN$19:$AS$19)</f>
        <v>4.7780393913688362E-3</v>
      </c>
      <c r="BB6" s="716">
        <f t="shared" ref="BB6:BB15" si="8">AU6/AU$19</f>
        <v>9.1072712734953359E-3</v>
      </c>
      <c r="BC6" s="712">
        <f t="shared" ref="BC6:BC15" si="9">AV6/AV$19</f>
        <v>8.4986268607892754E-3</v>
      </c>
      <c r="BD6" s="712">
        <f t="shared" ref="BD6:BD15" si="10">AW6/AW$19</f>
        <v>1.0370647913635071E-2</v>
      </c>
      <c r="BE6" s="712">
        <f t="shared" ref="BE6:BE15" si="11">AX6/AX$19</f>
        <v>8.7808071750377099E-3</v>
      </c>
      <c r="BF6" s="712">
        <f t="shared" ref="BF6:BF15" si="12">AY6/AY$19</f>
        <v>8.8314691869928654E-3</v>
      </c>
      <c r="BG6" s="712">
        <f t="shared" ref="BG6:BG15" si="13">AZ6/AZ$19</f>
        <v>8.3825252480155023E-3</v>
      </c>
      <c r="BH6" s="723">
        <f t="shared" ref="BH6:BH15" si="14">+AVERAGE(BB6:BG6)</f>
        <v>8.9952246096609619E-3</v>
      </c>
    </row>
    <row r="7" spans="1:60">
      <c r="A7" s="486" t="s">
        <v>3</v>
      </c>
      <c r="B7" s="726">
        <f t="shared" si="0"/>
        <v>3.5266311008013065</v>
      </c>
      <c r="C7" s="724">
        <f t="shared" si="0"/>
        <v>3.7956196300549832</v>
      </c>
      <c r="D7" s="724">
        <f t="shared" si="0"/>
        <v>4.1855061955707855</v>
      </c>
      <c r="E7" s="724">
        <f t="shared" si="0"/>
        <v>3.8849333880752241</v>
      </c>
      <c r="F7" s="724">
        <f t="shared" si="0"/>
        <v>4.1797435072642202</v>
      </c>
      <c r="G7" s="724">
        <f t="shared" si="0"/>
        <v>4.044339719375655</v>
      </c>
      <c r="H7" s="725">
        <f t="shared" si="1"/>
        <v>3.9361289235236954</v>
      </c>
      <c r="J7" s="737">
        <v>4.7284436560000032E-2</v>
      </c>
      <c r="K7" s="707">
        <v>2.453551412750456E-2</v>
      </c>
      <c r="L7" s="707">
        <v>7.0711300238376421E-2</v>
      </c>
      <c r="M7" s="707">
        <v>1.9543462442870724E-2</v>
      </c>
      <c r="N7" s="707">
        <v>2.7042916854300388E-2</v>
      </c>
      <c r="O7" s="738">
        <v>0</v>
      </c>
      <c r="P7" s="737">
        <v>5.0528245900535729E-2</v>
      </c>
      <c r="Q7" s="707">
        <v>2.2783038338040136E-2</v>
      </c>
      <c r="R7" s="707">
        <v>8.4515796345393468E-2</v>
      </c>
      <c r="S7" s="707">
        <v>1.7846620169644039E-2</v>
      </c>
      <c r="T7" s="707">
        <v>2.7412253149423259E-2</v>
      </c>
      <c r="U7" s="738">
        <v>0</v>
      </c>
      <c r="V7" s="737">
        <v>5.9831885771994199E-2</v>
      </c>
      <c r="W7" s="707">
        <v>2.7606466858726818E-2</v>
      </c>
      <c r="X7" s="707">
        <v>9.5644904324761179E-2</v>
      </c>
      <c r="Y7" s="707">
        <v>2.0716281456583392E-2</v>
      </c>
      <c r="Z7" s="707">
        <v>2.6703124495012158E-2</v>
      </c>
      <c r="AA7" s="738">
        <v>0</v>
      </c>
      <c r="AB7" s="737">
        <v>6.6681256562566404E-2</v>
      </c>
      <c r="AC7" s="707">
        <v>3.5814360706692729E-2</v>
      </c>
      <c r="AD7" s="707">
        <v>5.1857018970128906E-2</v>
      </c>
      <c r="AE7" s="707">
        <v>3.376318533975959E-2</v>
      </c>
      <c r="AF7" s="707">
        <v>2.891713764092519E-2</v>
      </c>
      <c r="AG7" s="738">
        <v>0</v>
      </c>
      <c r="AH7" s="737">
        <f>6.48691643783467/100</f>
        <v>6.4869164378346694E-2</v>
      </c>
      <c r="AI7" s="707">
        <f>4.99366768743685/100</f>
        <v>4.9936676874368501E-2</v>
      </c>
      <c r="AJ7" s="707">
        <f>5.82002159736016/100</f>
        <v>5.8200215973601602E-2</v>
      </c>
      <c r="AK7" s="707">
        <v>3.3974494757060235E-2</v>
      </c>
      <c r="AL7" s="707">
        <v>3.2314408080256055E-2</v>
      </c>
      <c r="AM7" s="738">
        <v>0</v>
      </c>
      <c r="AN7" s="737">
        <v>5.4740083700581692E-2</v>
      </c>
      <c r="AO7" s="707">
        <v>6.3588480976094292E-2</v>
      </c>
      <c r="AP7" s="707">
        <f>5.5238028384772/100</f>
        <v>5.5238028384772007E-2</v>
      </c>
      <c r="AQ7" s="707">
        <v>3.0668755702336428E-2</v>
      </c>
      <c r="AR7" s="707">
        <v>3.3136922358786035E-2</v>
      </c>
      <c r="AS7" s="738">
        <v>0</v>
      </c>
      <c r="AU7" s="716">
        <f t="shared" si="2"/>
        <v>2.0101797274567443E-2</v>
      </c>
      <c r="AV7" s="712">
        <f t="shared" si="3"/>
        <v>2.1635031891313404E-2</v>
      </c>
      <c r="AW7" s="712">
        <f t="shared" si="4"/>
        <v>2.3857385314753475E-2</v>
      </c>
      <c r="AX7" s="712">
        <f t="shared" si="5"/>
        <v>2.2144120312028778E-2</v>
      </c>
      <c r="AY7" s="712">
        <f t="shared" si="6"/>
        <v>2.3824537991406054E-2</v>
      </c>
      <c r="AZ7" s="717">
        <f t="shared" si="7"/>
        <v>2.3052736400441233E-2</v>
      </c>
      <c r="BB7" s="716">
        <f t="shared" si="8"/>
        <v>3.5266311008013064E-2</v>
      </c>
      <c r="BC7" s="712">
        <f t="shared" si="9"/>
        <v>3.7956196300549833E-2</v>
      </c>
      <c r="BD7" s="712">
        <f t="shared" si="10"/>
        <v>4.1855061955707852E-2</v>
      </c>
      <c r="BE7" s="712">
        <f t="shared" si="11"/>
        <v>3.8849333880752242E-2</v>
      </c>
      <c r="BF7" s="712">
        <f t="shared" si="12"/>
        <v>4.1797435072642206E-2</v>
      </c>
      <c r="BG7" s="712">
        <f t="shared" si="13"/>
        <v>4.0443397193756551E-2</v>
      </c>
      <c r="BH7" s="723">
        <f t="shared" si="14"/>
        <v>3.9361289235236956E-2</v>
      </c>
    </row>
    <row r="8" spans="1:60">
      <c r="A8" s="486" t="s">
        <v>5</v>
      </c>
      <c r="B8" s="726">
        <f t="shared" si="0"/>
        <v>3.6410715428994336</v>
      </c>
      <c r="C8" s="724">
        <f t="shared" si="0"/>
        <v>3.6687739671627364</v>
      </c>
      <c r="D8" s="724">
        <f t="shared" si="0"/>
        <v>3.7304078529399098</v>
      </c>
      <c r="E8" s="724">
        <f t="shared" si="0"/>
        <v>5.0647417878346888</v>
      </c>
      <c r="F8" s="724">
        <f t="shared" si="0"/>
        <v>5.0672406162067274</v>
      </c>
      <c r="G8" s="724">
        <f t="shared" si="0"/>
        <v>4.4870959503662036</v>
      </c>
      <c r="H8" s="725">
        <f t="shared" si="1"/>
        <v>4.2765552862349496</v>
      </c>
      <c r="J8" s="737">
        <v>5.4487911881889457E-2</v>
      </c>
      <c r="K8" s="707">
        <v>3.3866910141869419E-2</v>
      </c>
      <c r="L8" s="707">
        <v>2.0473208370525558E-2</v>
      </c>
      <c r="M8" s="707">
        <v>3.8210536435388555E-2</v>
      </c>
      <c r="N8" s="707">
        <v>3.9848061956929887E-2</v>
      </c>
      <c r="O8" s="738">
        <v>0</v>
      </c>
      <c r="P8" s="737">
        <v>5.4118371368088315E-2</v>
      </c>
      <c r="Q8" s="707">
        <v>3.9123472704558473E-2</v>
      </c>
      <c r="R8" s="707">
        <v>2.5293618623508259E-2</v>
      </c>
      <c r="S8" s="707">
        <v>4.0233981167833929E-2</v>
      </c>
      <c r="T8" s="707">
        <v>3.695508457523855E-2</v>
      </c>
      <c r="U8" s="738">
        <v>0</v>
      </c>
      <c r="V8" s="737">
        <v>5.6208103605048118E-2</v>
      </c>
      <c r="W8" s="707">
        <v>3.975806353971427E-2</v>
      </c>
      <c r="X8" s="707">
        <v>3.047534044497343E-2</v>
      </c>
      <c r="Y8" s="707">
        <v>4.3660449509702055E-2</v>
      </c>
      <c r="Z8" s="707">
        <v>3.3770109047307456E-2</v>
      </c>
      <c r="AA8" s="738">
        <v>0</v>
      </c>
      <c r="AB8" s="737">
        <v>5.4593558468421392E-2</v>
      </c>
      <c r="AC8" s="707">
        <v>6.4415867163030535E-2</v>
      </c>
      <c r="AD8" s="707">
        <v>4.4983576283763441E-2</v>
      </c>
      <c r="AE8" s="707">
        <v>4.7357395330082215E-2</v>
      </c>
      <c r="AF8" s="707">
        <v>5.6840154454330279E-2</v>
      </c>
      <c r="AG8" s="738">
        <v>0</v>
      </c>
      <c r="AH8" s="737">
        <f>5.50930197572521/100</f>
        <v>5.5093019757252094E-2</v>
      </c>
      <c r="AI8" s="707">
        <f>9.62957122134124/100</f>
        <v>9.6295712213412404E-2</v>
      </c>
      <c r="AJ8" s="707">
        <f>5.18603235407356/100</f>
        <v>5.1860323540735595E-2</v>
      </c>
      <c r="AK8" s="707">
        <v>5.2906128604763618E-2</v>
      </c>
      <c r="AL8" s="707">
        <v>4.6930591792326032E-2</v>
      </c>
      <c r="AM8" s="738">
        <v>0</v>
      </c>
      <c r="AN8" s="737">
        <v>5.3899145855633185E-2</v>
      </c>
      <c r="AO8" s="707">
        <v>7.8840468331884794E-2</v>
      </c>
      <c r="AP8" s="707">
        <f>1.87619803897267/100</f>
        <v>1.87619803897267E-2</v>
      </c>
      <c r="AQ8" s="707">
        <v>5.0475660426761937E-2</v>
      </c>
      <c r="AR8" s="707">
        <v>4.7050433574626072E-2</v>
      </c>
      <c r="AS8" s="738">
        <v>0</v>
      </c>
      <c r="AU8" s="716">
        <f t="shared" si="2"/>
        <v>2.0754107794526772E-2</v>
      </c>
      <c r="AV8" s="712">
        <f t="shared" si="3"/>
        <v>2.0912011612827595E-2</v>
      </c>
      <c r="AW8" s="712">
        <f t="shared" si="4"/>
        <v>2.1263324761757484E-2</v>
      </c>
      <c r="AX8" s="712">
        <f t="shared" si="5"/>
        <v>2.8869028190657724E-2</v>
      </c>
      <c r="AY8" s="712">
        <f t="shared" si="6"/>
        <v>2.8883271512378343E-2</v>
      </c>
      <c r="AZ8" s="717">
        <f t="shared" si="7"/>
        <v>2.557644691708736E-2</v>
      </c>
      <c r="BB8" s="716">
        <f t="shared" si="8"/>
        <v>3.6410715428994336E-2</v>
      </c>
      <c r="BC8" s="712">
        <f t="shared" si="9"/>
        <v>3.6687739671627362E-2</v>
      </c>
      <c r="BD8" s="712">
        <f t="shared" si="10"/>
        <v>3.7304078529399098E-2</v>
      </c>
      <c r="BE8" s="712">
        <f t="shared" si="11"/>
        <v>5.0647417878346888E-2</v>
      </c>
      <c r="BF8" s="712">
        <f t="shared" si="12"/>
        <v>5.0672406162067272E-2</v>
      </c>
      <c r="BG8" s="712">
        <f t="shared" si="13"/>
        <v>4.4870959503662038E-2</v>
      </c>
      <c r="BH8" s="723">
        <f t="shared" si="14"/>
        <v>4.2765552862349503E-2</v>
      </c>
    </row>
    <row r="9" spans="1:60">
      <c r="A9" s="486" t="s">
        <v>7</v>
      </c>
      <c r="B9" s="726">
        <f t="shared" si="0"/>
        <v>0.58034346885289423</v>
      </c>
      <c r="C9" s="724">
        <f t="shared" si="0"/>
        <v>0.55352720933359068</v>
      </c>
      <c r="D9" s="724">
        <f t="shared" si="0"/>
        <v>0.54775764110329528</v>
      </c>
      <c r="E9" s="724">
        <f t="shared" si="0"/>
        <v>0.45924490601699525</v>
      </c>
      <c r="F9" s="724">
        <f t="shared" si="0"/>
        <v>0.44209630997671961</v>
      </c>
      <c r="G9" s="724">
        <f t="shared" si="0"/>
        <v>0.42411970441022745</v>
      </c>
      <c r="H9" s="725">
        <f t="shared" si="1"/>
        <v>0.50118153994895376</v>
      </c>
      <c r="J9" s="737">
        <v>5.3331431193399115E-3</v>
      </c>
      <c r="K9" s="707">
        <v>3.1847894254343714E-2</v>
      </c>
      <c r="L9" s="707">
        <v>1.655381104165821E-3</v>
      </c>
      <c r="M9" s="707">
        <v>1.3014368487741231E-2</v>
      </c>
      <c r="N9" s="707">
        <v>1.802502688443946E-3</v>
      </c>
      <c r="O9" s="738">
        <v>0</v>
      </c>
      <c r="P9" s="737">
        <v>3.5602021785651567E-3</v>
      </c>
      <c r="Q9" s="707">
        <v>2.1743621473982729E-2</v>
      </c>
      <c r="R9" s="707">
        <v>2.5874626769207061E-3</v>
      </c>
      <c r="S9" s="707">
        <v>1.1962637681206647E-2</v>
      </c>
      <c r="T9" s="707">
        <v>3.2327476315483798E-3</v>
      </c>
      <c r="U9" s="738">
        <v>0</v>
      </c>
      <c r="V9" s="737">
        <v>3.0129072313169326E-3</v>
      </c>
      <c r="W9" s="707">
        <v>6.3465741135763226E-3</v>
      </c>
      <c r="X9" s="707">
        <v>2.3421348944085681E-3</v>
      </c>
      <c r="Y9" s="707">
        <v>1.2693263516605139E-2</v>
      </c>
      <c r="Z9" s="707">
        <v>5.1427548398293261E-3</v>
      </c>
      <c r="AA9" s="738">
        <v>0</v>
      </c>
      <c r="AB9" s="737">
        <v>4.3848464256292709E-3</v>
      </c>
      <c r="AC9" s="707">
        <v>7.8626464357096429E-3</v>
      </c>
      <c r="AD9" s="707">
        <v>5.0685972866953055E-4</v>
      </c>
      <c r="AE9" s="707">
        <v>1.1497902965055748E-2</v>
      </c>
      <c r="AF9" s="707">
        <v>3.4964627713174258E-3</v>
      </c>
      <c r="AG9" s="738">
        <v>0</v>
      </c>
      <c r="AH9" s="737">
        <f>0.742933328091656/100</f>
        <v>7.4293332809165606E-3</v>
      </c>
      <c r="AI9" s="707">
        <f>0.500734269696779/100</f>
        <v>5.0073426969677905E-3</v>
      </c>
      <c r="AJ9" s="707">
        <f>0.0405993220145416/100</f>
        <v>4.0599322014541595E-4</v>
      </c>
      <c r="AK9" s="707">
        <v>9.7846544900333319E-3</v>
      </c>
      <c r="AL9" s="707">
        <v>3.0312174207017904E-3</v>
      </c>
      <c r="AM9" s="738">
        <v>0</v>
      </c>
      <c r="AN9" s="737">
        <v>7.7848213290320723E-3</v>
      </c>
      <c r="AO9" s="707">
        <v>1.3527487434602608E-3</v>
      </c>
      <c r="AP9" s="707">
        <f>0.0388545769430305/100</f>
        <v>3.8854576943030502E-4</v>
      </c>
      <c r="AQ9" s="707">
        <v>9.5839861569801225E-3</v>
      </c>
      <c r="AR9" s="707">
        <v>3.2608508297599006E-3</v>
      </c>
      <c r="AS9" s="738">
        <v>0</v>
      </c>
      <c r="AU9" s="716">
        <f t="shared" si="2"/>
        <v>3.3079577724614969E-3</v>
      </c>
      <c r="AV9" s="712">
        <f t="shared" si="3"/>
        <v>3.1551050932014666E-3</v>
      </c>
      <c r="AW9" s="712">
        <f t="shared" si="4"/>
        <v>3.1222185542887828E-3</v>
      </c>
      <c r="AX9" s="712">
        <f t="shared" si="5"/>
        <v>2.6176959642968726E-3</v>
      </c>
      <c r="AY9" s="712">
        <f t="shared" si="6"/>
        <v>2.5199489668673017E-3</v>
      </c>
      <c r="AZ9" s="717">
        <f t="shared" si="7"/>
        <v>2.417482315138296E-3</v>
      </c>
      <c r="BB9" s="716">
        <f t="shared" si="8"/>
        <v>5.8034346885289427E-3</v>
      </c>
      <c r="BC9" s="712">
        <f t="shared" si="9"/>
        <v>5.5352720933359066E-3</v>
      </c>
      <c r="BD9" s="712">
        <f t="shared" si="10"/>
        <v>5.477576411032953E-3</v>
      </c>
      <c r="BE9" s="712">
        <f t="shared" si="11"/>
        <v>4.5924490601699525E-3</v>
      </c>
      <c r="BF9" s="712">
        <f t="shared" si="12"/>
        <v>4.4209630997671962E-3</v>
      </c>
      <c r="BG9" s="712">
        <f t="shared" si="13"/>
        <v>4.2411970441022743E-3</v>
      </c>
      <c r="BH9" s="723">
        <f t="shared" si="14"/>
        <v>5.0118153994895371E-3</v>
      </c>
    </row>
    <row r="10" spans="1:60">
      <c r="A10" s="486" t="s">
        <v>0</v>
      </c>
      <c r="B10" s="726">
        <f t="shared" si="0"/>
        <v>3.0584983437626749</v>
      </c>
      <c r="C10" s="724">
        <f t="shared" si="0"/>
        <v>3.169867544217944</v>
      </c>
      <c r="D10" s="724">
        <f t="shared" si="0"/>
        <v>3.2388509598938171</v>
      </c>
      <c r="E10" s="724">
        <f t="shared" si="0"/>
        <v>3.5885607533312673</v>
      </c>
      <c r="F10" s="724">
        <f t="shared" si="0"/>
        <v>3.5462950057396636</v>
      </c>
      <c r="G10" s="724">
        <f t="shared" si="0"/>
        <v>3.6862554866872141</v>
      </c>
      <c r="H10" s="725">
        <f t="shared" si="1"/>
        <v>3.3813880156054297</v>
      </c>
      <c r="J10" s="737">
        <v>2.9752125239957222E-2</v>
      </c>
      <c r="K10" s="707">
        <v>9.8942142519070436E-2</v>
      </c>
      <c r="L10" s="707">
        <v>2.1167278065578377E-2</v>
      </c>
      <c r="M10" s="707">
        <v>4.5002546925623846E-2</v>
      </c>
      <c r="N10" s="707">
        <v>2.1603062436186662E-2</v>
      </c>
      <c r="O10" s="738">
        <v>1.2392538600670402E-2</v>
      </c>
      <c r="P10" s="737">
        <v>3.0722693317428138E-2</v>
      </c>
      <c r="Q10" s="707">
        <v>7.7133545211951898E-2</v>
      </c>
      <c r="R10" s="707">
        <v>2.5461347966256695E-2</v>
      </c>
      <c r="S10" s="707">
        <v>5.26005647105297E-2</v>
      </c>
      <c r="T10" s="707">
        <v>2.1545714175144833E-2</v>
      </c>
      <c r="U10" s="738">
        <v>1.3408771601158595E-2</v>
      </c>
      <c r="V10" s="737">
        <v>3.2324877470438176E-2</v>
      </c>
      <c r="W10" s="707">
        <v>6.3682200966982364E-2</v>
      </c>
      <c r="X10" s="707">
        <v>1.5331725788316349E-2</v>
      </c>
      <c r="Y10" s="707">
        <v>5.2558864933584179E-2</v>
      </c>
      <c r="Z10" s="707">
        <v>2.9748903491223E-2</v>
      </c>
      <c r="AA10" s="738">
        <v>6.3673244932248357E-3</v>
      </c>
      <c r="AB10" s="737">
        <v>4.2095744767245646E-2</v>
      </c>
      <c r="AC10" s="707">
        <v>8.6534931854094665E-2</v>
      </c>
      <c r="AD10" s="707">
        <v>2.1944208094962111E-2</v>
      </c>
      <c r="AE10" s="707">
        <v>5.2312293835442933E-2</v>
      </c>
      <c r="AF10" s="707">
        <v>2.9031790233428088E-2</v>
      </c>
      <c r="AG10" s="738">
        <v>4.493132550057918E-3</v>
      </c>
      <c r="AH10" s="737">
        <f>4.87770179551902/100</f>
        <v>4.8777017955190197E-2</v>
      </c>
      <c r="AI10" s="707">
        <f>9.81769296589077/100</f>
        <v>9.8176929658907688E-2</v>
      </c>
      <c r="AJ10" s="707">
        <f>1.74907314267561/100</f>
        <v>1.7490731426756102E-2</v>
      </c>
      <c r="AK10" s="707">
        <v>5.2240576963881694E-2</v>
      </c>
      <c r="AL10" s="707">
        <v>2.5583142062117453E-2</v>
      </c>
      <c r="AM10" s="738">
        <v>5.9721689576610632E-3</v>
      </c>
      <c r="AN10" s="737">
        <v>4.5583315030623753E-2</v>
      </c>
      <c r="AO10" s="707">
        <v>0.12344851190970733</v>
      </c>
      <c r="AP10" s="707">
        <f>0.556860762233388/100</f>
        <v>5.5686076223338795E-3</v>
      </c>
      <c r="AQ10" s="707">
        <v>5.1434059042460012E-2</v>
      </c>
      <c r="AR10" s="707">
        <v>2.4233389096982919E-2</v>
      </c>
      <c r="AS10" s="738">
        <v>3.8188935641856915E-3</v>
      </c>
      <c r="AU10" s="716">
        <f t="shared" si="2"/>
        <v>1.7433440559447247E-2</v>
      </c>
      <c r="AV10" s="712">
        <f t="shared" si="3"/>
        <v>1.806824500204228E-2</v>
      </c>
      <c r="AW10" s="712">
        <f t="shared" si="4"/>
        <v>1.8461450471394757E-2</v>
      </c>
      <c r="AX10" s="712">
        <f t="shared" si="5"/>
        <v>2.045479629398822E-2</v>
      </c>
      <c r="AY10" s="712">
        <f t="shared" si="6"/>
        <v>2.0213881532716083E-2</v>
      </c>
      <c r="AZ10" s="717">
        <f t="shared" si="7"/>
        <v>2.1011656274117118E-2</v>
      </c>
      <c r="BB10" s="716">
        <f t="shared" si="8"/>
        <v>3.058498343762675E-2</v>
      </c>
      <c r="BC10" s="712">
        <f t="shared" si="9"/>
        <v>3.1698675442179441E-2</v>
      </c>
      <c r="BD10" s="712">
        <f t="shared" si="10"/>
        <v>3.2388509598938173E-2</v>
      </c>
      <c r="BE10" s="712">
        <f t="shared" si="11"/>
        <v>3.5885607533312672E-2</v>
      </c>
      <c r="BF10" s="712">
        <f t="shared" si="12"/>
        <v>3.5462950057396636E-2</v>
      </c>
      <c r="BG10" s="712">
        <f t="shared" si="13"/>
        <v>3.6862554866872142E-2</v>
      </c>
      <c r="BH10" s="723">
        <f t="shared" si="14"/>
        <v>3.3813880156054306E-2</v>
      </c>
    </row>
    <row r="11" spans="1:60">
      <c r="A11" s="486" t="s">
        <v>1</v>
      </c>
      <c r="B11" s="726">
        <f t="shared" si="0"/>
        <v>1.1048623860081839</v>
      </c>
      <c r="C11" s="724">
        <f t="shared" si="0"/>
        <v>1.1707884056300857</v>
      </c>
      <c r="D11" s="724">
        <f t="shared" si="0"/>
        <v>1.1244194559367786</v>
      </c>
      <c r="E11" s="724">
        <f t="shared" si="0"/>
        <v>1.1042951788086526</v>
      </c>
      <c r="F11" s="724">
        <f t="shared" si="0"/>
        <v>1.5031253209282327</v>
      </c>
      <c r="G11" s="724">
        <f t="shared" si="0"/>
        <v>2.337604728746034</v>
      </c>
      <c r="H11" s="725">
        <f t="shared" si="1"/>
        <v>1.3908492460096611</v>
      </c>
      <c r="J11" s="737">
        <v>2.7871316936971161E-2</v>
      </c>
      <c r="K11" s="707">
        <v>3.9736720033781106E-2</v>
      </c>
      <c r="L11" s="707">
        <v>8.0758829925537052E-4</v>
      </c>
      <c r="M11" s="707">
        <v>1.1086313896964767E-2</v>
      </c>
      <c r="N11" s="707">
        <v>6.2569122457057577E-3</v>
      </c>
      <c r="O11" s="738">
        <v>0</v>
      </c>
      <c r="P11" s="737">
        <v>3.0937876500481874E-2</v>
      </c>
      <c r="Q11" s="707">
        <v>2.6853190010341088E-2</v>
      </c>
      <c r="R11" s="707">
        <v>3.8387696811190064E-3</v>
      </c>
      <c r="S11" s="707">
        <v>1.2327649001829324E-2</v>
      </c>
      <c r="T11" s="707">
        <v>6.5193220375246805E-3</v>
      </c>
      <c r="U11" s="738">
        <v>0</v>
      </c>
      <c r="V11" s="737">
        <v>2.0857982516908995E-2</v>
      </c>
      <c r="W11" s="707">
        <v>1.9299594728627134E-2</v>
      </c>
      <c r="X11" s="707">
        <v>4.154560664986328E-3</v>
      </c>
      <c r="Y11" s="707">
        <v>1.4881757226364617E-2</v>
      </c>
      <c r="Z11" s="707">
        <v>9.1082348503285261E-3</v>
      </c>
      <c r="AA11" s="738">
        <v>0</v>
      </c>
      <c r="AB11" s="737">
        <v>1.633958847589723E-2</v>
      </c>
      <c r="AC11" s="707">
        <v>5.2098918207245194E-2</v>
      </c>
      <c r="AD11" s="707">
        <v>1.3920059043122407E-3</v>
      </c>
      <c r="AE11" s="707">
        <v>1.4928194446158557E-2</v>
      </c>
      <c r="AF11" s="707">
        <v>7.2396976671739201E-3</v>
      </c>
      <c r="AG11" s="738">
        <v>0</v>
      </c>
      <c r="AH11" s="737">
        <f>1.67566627486587/100</f>
        <v>1.67566627486587E-2</v>
      </c>
      <c r="AI11" s="707">
        <f>10.2946616353234/100</f>
        <v>0.102946616353234</v>
      </c>
      <c r="AJ11" s="707">
        <f>0.281305745057757/100</f>
        <v>2.8130574505775704E-3</v>
      </c>
      <c r="AK11" s="707">
        <v>1.4460938794030773E-2</v>
      </c>
      <c r="AL11" s="707">
        <v>9.9729625193501741E-3</v>
      </c>
      <c r="AM11" s="738">
        <v>0</v>
      </c>
      <c r="AN11" s="737">
        <v>1.5915308042887995E-2</v>
      </c>
      <c r="AO11" s="707">
        <v>0.16042239557054305</v>
      </c>
      <c r="AP11" s="707">
        <f>0.362450775976446/100</f>
        <v>3.62450775976446E-3</v>
      </c>
      <c r="AQ11" s="707">
        <v>1.6931708877331531E-2</v>
      </c>
      <c r="AR11" s="707">
        <v>8.9361153145877687E-3</v>
      </c>
      <c r="AS11" s="738">
        <v>0</v>
      </c>
      <c r="AU11" s="716">
        <f t="shared" si="2"/>
        <v>6.2977156002466473E-3</v>
      </c>
      <c r="AV11" s="712">
        <f t="shared" si="3"/>
        <v>6.6734939120914874E-3</v>
      </c>
      <c r="AW11" s="712">
        <f t="shared" si="4"/>
        <v>6.4091908988396368E-3</v>
      </c>
      <c r="AX11" s="712">
        <f t="shared" si="5"/>
        <v>6.2944825192093184E-3</v>
      </c>
      <c r="AY11" s="712">
        <f t="shared" si="6"/>
        <v>8.5678143292909261E-3</v>
      </c>
      <c r="AZ11" s="717">
        <f t="shared" si="7"/>
        <v>1.3324346953852394E-2</v>
      </c>
      <c r="BB11" s="716">
        <f t="shared" si="8"/>
        <v>1.1048623860081838E-2</v>
      </c>
      <c r="BC11" s="712">
        <f t="shared" si="9"/>
        <v>1.1707884056300856E-2</v>
      </c>
      <c r="BD11" s="712">
        <f t="shared" si="10"/>
        <v>1.1244194559367785E-2</v>
      </c>
      <c r="BE11" s="712">
        <f t="shared" si="11"/>
        <v>1.1042951788086525E-2</v>
      </c>
      <c r="BF11" s="712">
        <f t="shared" si="12"/>
        <v>1.5031253209282327E-2</v>
      </c>
      <c r="BG11" s="712">
        <f t="shared" si="13"/>
        <v>2.3376047287460341E-2</v>
      </c>
      <c r="BH11" s="723">
        <f t="shared" si="14"/>
        <v>1.3908492460096613E-2</v>
      </c>
    </row>
    <row r="12" spans="1:60">
      <c r="A12" s="486" t="s">
        <v>4</v>
      </c>
      <c r="B12" s="726">
        <f t="shared" si="0"/>
        <v>1.4877087933893134</v>
      </c>
      <c r="C12" s="724">
        <f t="shared" si="0"/>
        <v>1.5859020733279736</v>
      </c>
      <c r="D12" s="724">
        <f t="shared" si="0"/>
        <v>1.7635550157022513</v>
      </c>
      <c r="E12" s="724">
        <f t="shared" si="0"/>
        <v>1.2364556218109561</v>
      </c>
      <c r="F12" s="724">
        <f t="shared" si="0"/>
        <v>1.3121566071353346</v>
      </c>
      <c r="G12" s="724">
        <f t="shared" si="0"/>
        <v>1.4658289563351359</v>
      </c>
      <c r="H12" s="725">
        <f t="shared" si="1"/>
        <v>1.4752678446168275</v>
      </c>
      <c r="J12" s="737">
        <v>1.4485591051976478E-2</v>
      </c>
      <c r="K12" s="707">
        <v>4.6972783210179801E-2</v>
      </c>
      <c r="L12" s="707">
        <v>3.4618739961308083E-3</v>
      </c>
      <c r="M12" s="707">
        <v>1.6432283444117807E-2</v>
      </c>
      <c r="N12" s="707">
        <v>1.6789500832493094E-2</v>
      </c>
      <c r="O12" s="738">
        <v>0</v>
      </c>
      <c r="P12" s="737">
        <v>1.3547012243345513E-2</v>
      </c>
      <c r="Q12" s="707">
        <v>4.8617288219118947E-2</v>
      </c>
      <c r="R12" s="707">
        <v>7.9392826041065814E-3</v>
      </c>
      <c r="S12" s="707">
        <v>1.987121629469769E-2</v>
      </c>
      <c r="T12" s="707">
        <v>1.5914854131619371E-2</v>
      </c>
      <c r="U12" s="738">
        <v>0</v>
      </c>
      <c r="V12" s="737">
        <v>1.4333573929986904E-2</v>
      </c>
      <c r="W12" s="707">
        <v>4.7704470760536827E-2</v>
      </c>
      <c r="X12" s="707">
        <v>2.9731129738913752E-2</v>
      </c>
      <c r="Y12" s="707">
        <v>1.6011019980600533E-2</v>
      </c>
      <c r="Z12" s="707">
        <v>1.2252857071273226E-2</v>
      </c>
      <c r="AA12" s="738">
        <v>0</v>
      </c>
      <c r="AB12" s="737">
        <v>1.5002372497419116E-2</v>
      </c>
      <c r="AC12" s="707">
        <v>2.9262444305249158E-2</v>
      </c>
      <c r="AD12" s="707">
        <v>3.7145752298981824E-3</v>
      </c>
      <c r="AE12" s="707">
        <v>1.6293993161859276E-2</v>
      </c>
      <c r="AF12" s="707">
        <v>1.2528237116540041E-2</v>
      </c>
      <c r="AG12" s="738">
        <v>0</v>
      </c>
      <c r="AH12" s="737">
        <f>1.43325424937399/100</f>
        <v>1.43325424937399E-2</v>
      </c>
      <c r="AI12" s="707">
        <f>0.819491512783049/100</f>
        <v>8.1949151278304898E-3</v>
      </c>
      <c r="AJ12" s="707">
        <f>0.229801966293705/100</f>
        <v>2.29801966293705E-3</v>
      </c>
      <c r="AK12" s="707">
        <v>1.541919377435812E-2</v>
      </c>
      <c r="AL12" s="707">
        <v>1.8541311282979481E-2</v>
      </c>
      <c r="AM12" s="738">
        <v>0</v>
      </c>
      <c r="AN12" s="737">
        <v>1.5271304076361746E-2</v>
      </c>
      <c r="AO12" s="707">
        <v>3.427183247665104E-2</v>
      </c>
      <c r="AP12" s="707">
        <f>0.239022827955114/100</f>
        <v>2.3902282795511399E-3</v>
      </c>
      <c r="AQ12" s="707">
        <v>1.5334377851168165E-2</v>
      </c>
      <c r="AR12" s="707">
        <v>1.6317203426188278E-2</v>
      </c>
      <c r="AS12" s="738">
        <v>0</v>
      </c>
      <c r="AU12" s="716">
        <f t="shared" si="2"/>
        <v>8.4799401223190855E-3</v>
      </c>
      <c r="AV12" s="712">
        <f t="shared" si="3"/>
        <v>9.0396418179694502E-3</v>
      </c>
      <c r="AW12" s="712">
        <f t="shared" si="4"/>
        <v>1.0052263589502831E-2</v>
      </c>
      <c r="AX12" s="712">
        <f t="shared" si="5"/>
        <v>7.04779704432245E-3</v>
      </c>
      <c r="AY12" s="712">
        <f t="shared" si="6"/>
        <v>7.4792926606714067E-3</v>
      </c>
      <c r="AZ12" s="717">
        <f t="shared" si="7"/>
        <v>8.3552250511102731E-3</v>
      </c>
      <c r="BB12" s="716">
        <f t="shared" si="8"/>
        <v>1.4877087933893134E-2</v>
      </c>
      <c r="BC12" s="712">
        <f t="shared" si="9"/>
        <v>1.5859020733279737E-2</v>
      </c>
      <c r="BD12" s="712">
        <f t="shared" si="10"/>
        <v>1.7635550157022513E-2</v>
      </c>
      <c r="BE12" s="712">
        <f t="shared" si="11"/>
        <v>1.2364556218109562E-2</v>
      </c>
      <c r="BF12" s="712">
        <f t="shared" si="12"/>
        <v>1.3121566071353346E-2</v>
      </c>
      <c r="BG12" s="712">
        <f t="shared" si="13"/>
        <v>1.4658289563351358E-2</v>
      </c>
      <c r="BH12" s="723">
        <f t="shared" si="14"/>
        <v>1.4752678446168274E-2</v>
      </c>
    </row>
    <row r="13" spans="1:60">
      <c r="A13" s="486" t="s">
        <v>17</v>
      </c>
      <c r="B13" s="726">
        <f t="shared" si="0"/>
        <v>0.32869144559290386</v>
      </c>
      <c r="C13" s="724">
        <f t="shared" si="0"/>
        <v>0.13360346985504301</v>
      </c>
      <c r="D13" s="724">
        <f t="shared" si="0"/>
        <v>0.18967916002858165</v>
      </c>
      <c r="E13" s="724">
        <f>BE13*100</f>
        <v>0.23950553886726103</v>
      </c>
      <c r="F13" s="724">
        <f t="shared" si="0"/>
        <v>0.39773237638989795</v>
      </c>
      <c r="G13" s="724">
        <f t="shared" si="0"/>
        <v>0.49016487625749422</v>
      </c>
      <c r="H13" s="725">
        <f t="shared" si="1"/>
        <v>0.29656281116519695</v>
      </c>
      <c r="J13" s="737">
        <v>4.762167783575709E-4</v>
      </c>
      <c r="K13" s="707">
        <v>0</v>
      </c>
      <c r="L13" s="707">
        <v>1.1344124994536891E-2</v>
      </c>
      <c r="M13" s="707">
        <v>3.6370120689647322E-3</v>
      </c>
      <c r="N13" s="707">
        <v>1.4780801043431471E-3</v>
      </c>
      <c r="O13" s="738">
        <v>0</v>
      </c>
      <c r="P13" s="737">
        <v>2.0119348777632588E-4</v>
      </c>
      <c r="Q13" s="707">
        <v>0</v>
      </c>
      <c r="R13" s="707">
        <v>2.3320170168113804E-3</v>
      </c>
      <c r="S13" s="707">
        <v>1.8250566031133069E-3</v>
      </c>
      <c r="T13" s="707">
        <v>1.4565555656951424E-3</v>
      </c>
      <c r="U13" s="738">
        <v>0</v>
      </c>
      <c r="V13" s="737">
        <v>1.9079322686162595E-4</v>
      </c>
      <c r="W13" s="707">
        <v>0</v>
      </c>
      <c r="X13" s="707">
        <v>3.7929763049168843E-3</v>
      </c>
      <c r="Y13" s="707">
        <v>2.8450418226873531E-3</v>
      </c>
      <c r="Z13" s="707">
        <v>1.7786578177108679E-3</v>
      </c>
      <c r="AA13" s="738">
        <v>0</v>
      </c>
      <c r="AB13" s="737">
        <v>9.212407995858881E-4</v>
      </c>
      <c r="AC13" s="707">
        <v>0</v>
      </c>
      <c r="AD13" s="707">
        <v>6.3957359671065256E-3</v>
      </c>
      <c r="AE13" s="707">
        <v>2.890356190973616E-3</v>
      </c>
      <c r="AF13" s="707">
        <v>1.5718252612117491E-3</v>
      </c>
      <c r="AG13" s="738">
        <v>0</v>
      </c>
      <c r="AH13" s="737">
        <f>0.149997498897321/100</f>
        <v>1.49997498897321E-3</v>
      </c>
      <c r="AI13" s="707">
        <v>0</v>
      </c>
      <c r="AJ13" s="707">
        <f>1.37916438666344/100</f>
        <v>1.3791643866634401E-2</v>
      </c>
      <c r="AK13" s="707">
        <v>3.1639837168626304E-3</v>
      </c>
      <c r="AL13" s="707">
        <v>1.9400623914005602E-3</v>
      </c>
      <c r="AM13" s="738">
        <v>0</v>
      </c>
      <c r="AN13" s="737">
        <v>1.1779627472161428E-3</v>
      </c>
      <c r="AO13" s="707">
        <v>3.5961419852731862E-4</v>
      </c>
      <c r="AP13" s="707">
        <f>2.11115352118804/100</f>
        <v>2.1111535211880403E-2</v>
      </c>
      <c r="AQ13" s="707">
        <v>3.5141282575593775E-3</v>
      </c>
      <c r="AR13" s="707">
        <v>1.9123158672839351E-3</v>
      </c>
      <c r="AS13" s="738">
        <v>0</v>
      </c>
      <c r="AU13" s="716">
        <f t="shared" si="2"/>
        <v>1.8735412398795518E-3</v>
      </c>
      <c r="AV13" s="712">
        <f t="shared" si="3"/>
        <v>7.6153977817374516E-4</v>
      </c>
      <c r="AW13" s="712">
        <f t="shared" si="4"/>
        <v>1.0811712121629154E-3</v>
      </c>
      <c r="AX13" s="712">
        <f t="shared" si="5"/>
        <v>1.3651815715433877E-3</v>
      </c>
      <c r="AY13" s="712">
        <f t="shared" si="6"/>
        <v>2.2670745454224182E-3</v>
      </c>
      <c r="AZ13" s="717">
        <f t="shared" si="7"/>
        <v>2.7939397946677167E-3</v>
      </c>
      <c r="BB13" s="716">
        <f t="shared" si="8"/>
        <v>3.2869144559290386E-3</v>
      </c>
      <c r="BC13" s="712">
        <f t="shared" si="9"/>
        <v>1.3360346985504302E-3</v>
      </c>
      <c r="BD13" s="712">
        <f t="shared" si="10"/>
        <v>1.8967916002858166E-3</v>
      </c>
      <c r="BE13" s="712">
        <f t="shared" si="11"/>
        <v>2.3950553886726103E-3</v>
      </c>
      <c r="BF13" s="712">
        <f t="shared" si="12"/>
        <v>3.9773237638989793E-3</v>
      </c>
      <c r="BG13" s="712">
        <f t="shared" si="13"/>
        <v>4.9016487625749422E-3</v>
      </c>
      <c r="BH13" s="723">
        <f t="shared" si="14"/>
        <v>2.9656281116519699E-3</v>
      </c>
    </row>
    <row r="14" spans="1:60">
      <c r="A14" s="486" t="s">
        <v>205</v>
      </c>
      <c r="B14" s="726">
        <f t="shared" si="0"/>
        <v>0.18863785782098155</v>
      </c>
      <c r="C14" s="724">
        <f t="shared" si="0"/>
        <v>0.19771343574341307</v>
      </c>
      <c r="D14" s="724">
        <f t="shared" si="0"/>
        <v>3.3600621850117973E-2</v>
      </c>
      <c r="E14" s="724">
        <f t="shared" si="0"/>
        <v>5.5382836210073798E-3</v>
      </c>
      <c r="F14" s="724">
        <f t="shared" si="0"/>
        <v>0</v>
      </c>
      <c r="G14" s="724">
        <f t="shared" si="0"/>
        <v>0</v>
      </c>
      <c r="H14" s="725">
        <f t="shared" si="1"/>
        <v>7.0915033172586669E-2</v>
      </c>
      <c r="J14" s="737">
        <v>1.1599912966153687E-3</v>
      </c>
      <c r="K14" s="707">
        <v>0</v>
      </c>
      <c r="L14" s="707">
        <v>7.3905341277716774E-4</v>
      </c>
      <c r="M14" s="707">
        <v>0</v>
      </c>
      <c r="N14" s="707">
        <v>3.9863610293621992E-3</v>
      </c>
      <c r="O14" s="738">
        <v>0</v>
      </c>
      <c r="P14" s="737">
        <v>2.0494425573566208E-3</v>
      </c>
      <c r="Q14" s="707">
        <v>0</v>
      </c>
      <c r="R14" s="707">
        <v>8.434261284701426E-4</v>
      </c>
      <c r="S14" s="707">
        <v>0</v>
      </c>
      <c r="T14" s="707">
        <v>3.8141072921259746E-3</v>
      </c>
      <c r="U14" s="738">
        <v>0</v>
      </c>
      <c r="V14" s="737">
        <v>1.3641465053829218E-3</v>
      </c>
      <c r="W14" s="707">
        <v>0</v>
      </c>
      <c r="X14" s="707">
        <v>0</v>
      </c>
      <c r="Y14" s="707">
        <v>0</v>
      </c>
      <c r="Z14" s="707">
        <v>3.0555715138315322E-4</v>
      </c>
      <c r="AA14" s="738">
        <v>0</v>
      </c>
      <c r="AB14" s="739">
        <v>3.5075796266380071E-4</v>
      </c>
      <c r="AC14" s="707">
        <v>0</v>
      </c>
      <c r="AD14" s="707">
        <v>0</v>
      </c>
      <c r="AE14" s="707">
        <v>0</v>
      </c>
      <c r="AF14" s="707">
        <v>0</v>
      </c>
      <c r="AG14" s="738">
        <v>0</v>
      </c>
      <c r="AH14" s="737">
        <v>0</v>
      </c>
      <c r="AI14" s="707">
        <v>0</v>
      </c>
      <c r="AJ14" s="707">
        <v>0</v>
      </c>
      <c r="AK14" s="707">
        <v>0</v>
      </c>
      <c r="AL14" s="707">
        <v>0</v>
      </c>
      <c r="AM14" s="738">
        <v>0</v>
      </c>
      <c r="AN14" s="737">
        <v>0</v>
      </c>
      <c r="AO14" s="707">
        <v>0</v>
      </c>
      <c r="AP14" s="707">
        <v>0</v>
      </c>
      <c r="AQ14" s="707">
        <v>0</v>
      </c>
      <c r="AR14" s="707">
        <v>0</v>
      </c>
      <c r="AS14" s="738">
        <v>0</v>
      </c>
      <c r="AU14" s="716">
        <f t="shared" si="2"/>
        <v>1.0752357895795948E-3</v>
      </c>
      <c r="AV14" s="712">
        <f t="shared" si="3"/>
        <v>1.1269665837374543E-3</v>
      </c>
      <c r="AW14" s="712">
        <f t="shared" si="4"/>
        <v>1.9152354454567242E-4</v>
      </c>
      <c r="AX14" s="712">
        <f t="shared" si="5"/>
        <v>3.1568216639742061E-5</v>
      </c>
      <c r="AY14" s="712">
        <f t="shared" si="6"/>
        <v>0</v>
      </c>
      <c r="AZ14" s="717">
        <f t="shared" si="7"/>
        <v>0</v>
      </c>
      <c r="BB14" s="716">
        <f t="shared" si="8"/>
        <v>1.8863785782098155E-3</v>
      </c>
      <c r="BC14" s="712">
        <f t="shared" si="9"/>
        <v>1.9771343574341307E-3</v>
      </c>
      <c r="BD14" s="712">
        <f t="shared" si="10"/>
        <v>3.3600621850117974E-4</v>
      </c>
      <c r="BE14" s="712">
        <f t="shared" si="11"/>
        <v>5.53828362100738E-5</v>
      </c>
      <c r="BF14" s="712">
        <f t="shared" si="12"/>
        <v>0</v>
      </c>
      <c r="BG14" s="712">
        <f t="shared" si="13"/>
        <v>0</v>
      </c>
      <c r="BH14" s="723">
        <f t="shared" si="14"/>
        <v>7.0915033172586669E-4</v>
      </c>
    </row>
    <row r="15" spans="1:60">
      <c r="A15" s="517" t="s">
        <v>64</v>
      </c>
      <c r="B15" s="726">
        <f>BB15*100</f>
        <v>0</v>
      </c>
      <c r="C15" s="724">
        <f t="shared" si="0"/>
        <v>1.9735184942893197E-2</v>
      </c>
      <c r="D15" s="724">
        <f t="shared" si="0"/>
        <v>0.10785576518594395</v>
      </c>
      <c r="E15" s="724">
        <f t="shared" si="0"/>
        <v>0.57067214246742159</v>
      </c>
      <c r="F15" s="724">
        <f t="shared" si="0"/>
        <v>0.1244185704486388</v>
      </c>
      <c r="G15" s="724">
        <f t="shared" si="0"/>
        <v>0.13020636457862517</v>
      </c>
      <c r="H15" s="725">
        <f t="shared" si="1"/>
        <v>0.15881467127058713</v>
      </c>
      <c r="J15" s="737">
        <v>0</v>
      </c>
      <c r="K15" s="707">
        <v>0</v>
      </c>
      <c r="L15" s="707">
        <v>0</v>
      </c>
      <c r="M15" s="740">
        <v>0</v>
      </c>
      <c r="N15" s="707">
        <v>0</v>
      </c>
      <c r="O15" s="738">
        <v>0</v>
      </c>
      <c r="P15" s="737">
        <v>0</v>
      </c>
      <c r="Q15" s="707">
        <v>0</v>
      </c>
      <c r="R15" s="707">
        <v>1.124905541744912E-3</v>
      </c>
      <c r="S15" s="740">
        <v>0</v>
      </c>
      <c r="T15" s="707">
        <v>0</v>
      </c>
      <c r="U15" s="738">
        <v>0</v>
      </c>
      <c r="V15" s="737">
        <v>0</v>
      </c>
      <c r="W15" s="707">
        <v>0</v>
      </c>
      <c r="X15" s="707">
        <v>6.1477786155988041E-3</v>
      </c>
      <c r="Y15" s="707">
        <v>0</v>
      </c>
      <c r="Z15" s="707">
        <v>0</v>
      </c>
      <c r="AA15" s="738">
        <v>0</v>
      </c>
      <c r="AB15" s="737">
        <v>0</v>
      </c>
      <c r="AC15" s="707">
        <v>0</v>
      </c>
      <c r="AD15" s="707">
        <v>3.2528312120643027E-2</v>
      </c>
      <c r="AE15" s="707">
        <v>0</v>
      </c>
      <c r="AF15" s="708">
        <v>0</v>
      </c>
      <c r="AG15" s="738">
        <v>0</v>
      </c>
      <c r="AH15" s="737">
        <v>0</v>
      </c>
      <c r="AI15" s="707">
        <f>1.65911902528291/100</f>
        <v>1.65911902528291E-2</v>
      </c>
      <c r="AJ15" s="707">
        <f>0.211450143972368/100</f>
        <v>2.1145014397236802E-3</v>
      </c>
      <c r="AK15" s="707">
        <v>0</v>
      </c>
      <c r="AL15" s="707">
        <v>0</v>
      </c>
      <c r="AM15" s="738">
        <v>0</v>
      </c>
      <c r="AN15" s="737">
        <v>0</v>
      </c>
      <c r="AO15" s="707">
        <v>1.4843525561963267E-2</v>
      </c>
      <c r="AP15" s="707">
        <v>0</v>
      </c>
      <c r="AQ15" s="707">
        <v>0</v>
      </c>
      <c r="AR15" s="707">
        <v>0</v>
      </c>
      <c r="AS15" s="738">
        <v>0</v>
      </c>
      <c r="AU15" s="716">
        <f t="shared" si="2"/>
        <v>0</v>
      </c>
      <c r="AV15" s="712">
        <f t="shared" si="3"/>
        <v>1.1249055417449121E-4</v>
      </c>
      <c r="AW15" s="712">
        <f t="shared" si="4"/>
        <v>6.1477786155988046E-4</v>
      </c>
      <c r="AX15" s="712">
        <f t="shared" si="5"/>
        <v>3.252831212064303E-3</v>
      </c>
      <c r="AY15" s="712">
        <f t="shared" si="6"/>
        <v>7.0918585155724104E-4</v>
      </c>
      <c r="AZ15" s="717">
        <f t="shared" si="7"/>
        <v>7.4217627809816341E-4</v>
      </c>
      <c r="BB15" s="716">
        <f t="shared" si="8"/>
        <v>0</v>
      </c>
      <c r="BC15" s="712">
        <f t="shared" si="9"/>
        <v>1.9735184942893197E-4</v>
      </c>
      <c r="BD15" s="712">
        <f t="shared" si="10"/>
        <v>1.0785576518594394E-3</v>
      </c>
      <c r="BE15" s="712">
        <f t="shared" si="11"/>
        <v>5.7067214246742165E-3</v>
      </c>
      <c r="BF15" s="712">
        <f t="shared" si="12"/>
        <v>1.2441857044863879E-3</v>
      </c>
      <c r="BG15" s="712">
        <f t="shared" si="13"/>
        <v>1.3020636457862517E-3</v>
      </c>
      <c r="BH15" s="723">
        <f t="shared" si="14"/>
        <v>1.5881467127058712E-3</v>
      </c>
    </row>
    <row r="16" spans="1:60" s="56" customFormat="1" ht="15.75" thickBot="1">
      <c r="A16" s="258" t="s">
        <v>2</v>
      </c>
      <c r="B16" s="727">
        <f t="shared" ref="B16:G16" si="15">SUM(B6:B15)</f>
        <v>14.827172066477226</v>
      </c>
      <c r="C16" s="728">
        <f t="shared" si="15"/>
        <v>15.145393606347591</v>
      </c>
      <c r="D16" s="728">
        <f t="shared" si="15"/>
        <v>15.958697459574989</v>
      </c>
      <c r="E16" s="728">
        <f t="shared" si="15"/>
        <v>17.032028318337243</v>
      </c>
      <c r="F16" s="728">
        <f t="shared" si="15"/>
        <v>17.455955232788721</v>
      </c>
      <c r="G16" s="728">
        <f t="shared" si="15"/>
        <v>17.903868311558142</v>
      </c>
      <c r="H16" s="729">
        <f t="shared" si="1"/>
        <v>16.387185832513985</v>
      </c>
      <c r="J16" s="718">
        <f>SUM(J6:J15)</f>
        <v>0.18389319025187881</v>
      </c>
      <c r="K16" s="719">
        <f>SUM(K6:K15)</f>
        <v>0.28547875655589761</v>
      </c>
      <c r="L16" s="719">
        <f t="shared" ref="L16:U16" si="16">SUM(L6:L15)</f>
        <v>0.13551431187364701</v>
      </c>
      <c r="M16" s="719">
        <f>SUM(M6:M14)</f>
        <v>0.16861713784790711</v>
      </c>
      <c r="N16" s="719">
        <f t="shared" si="16"/>
        <v>0.12076224547348004</v>
      </c>
      <c r="O16" s="720">
        <f t="shared" si="16"/>
        <v>7.261923023542903E-2</v>
      </c>
      <c r="P16" s="718">
        <f>SUM(P6:P15)</f>
        <v>0.18949877173536261</v>
      </c>
      <c r="Q16" s="719">
        <f t="shared" si="16"/>
        <v>0.24731159274736658</v>
      </c>
      <c r="R16" s="719">
        <f>SUM(R6:R15)</f>
        <v>0.15455789427056227</v>
      </c>
      <c r="S16" s="719">
        <f>SUM(S6:S14)</f>
        <v>0.1735409822768382</v>
      </c>
      <c r="T16" s="719">
        <f>SUM(T6:T15)</f>
        <v>0.12035611867922207</v>
      </c>
      <c r="U16" s="720">
        <f t="shared" si="16"/>
        <v>7.8579678400504865E-2</v>
      </c>
      <c r="V16" s="718">
        <f>SUM(V6:V15)</f>
        <v>0.19380065523338785</v>
      </c>
      <c r="W16" s="719">
        <f>SUM(W6:W15)</f>
        <v>0.21345170281256604</v>
      </c>
      <c r="X16" s="719">
        <f t="shared" ref="X16:AA16" si="17">SUM(X6:X15)</f>
        <v>0.19401731449678039</v>
      </c>
      <c r="Y16" s="719">
        <f>SUM(Y6:Y15)</f>
        <v>0.18123791808002337</v>
      </c>
      <c r="Z16" s="719">
        <f t="shared" si="17"/>
        <v>0.12534401133353387</v>
      </c>
      <c r="AA16" s="720">
        <f t="shared" si="17"/>
        <v>5.5641586258801293E-2</v>
      </c>
      <c r="AB16" s="718">
        <f>SUM(AB6:AB15)</f>
        <v>0.20644918878669066</v>
      </c>
      <c r="AC16" s="719">
        <f>SUM(AC6:AC15)</f>
        <v>0.2824660376055172</v>
      </c>
      <c r="AD16" s="719">
        <f t="shared" ref="AD16:AG16" si="18">SUM(AD6:AD15)</f>
        <v>0.17340581937219191</v>
      </c>
      <c r="AE16" s="719">
        <f t="shared" si="18"/>
        <v>0.19381273027569559</v>
      </c>
      <c r="AF16" s="719">
        <f>SUM(AF6:AF14)</f>
        <v>0.14235484542201754</v>
      </c>
      <c r="AG16" s="720">
        <f t="shared" si="18"/>
        <v>5.1058324432476342E-2</v>
      </c>
      <c r="AH16" s="718">
        <f>SUM(AH6:AH15)</f>
        <v>0.21267963424583763</v>
      </c>
      <c r="AI16" s="719">
        <f>SUM(AI6:AI15)</f>
        <v>0.38171273988225773</v>
      </c>
      <c r="AJ16" s="719">
        <f t="shared" ref="AJ16:AS16" si="19">SUM(AJ6:AJ15)</f>
        <v>0.15389327374752901</v>
      </c>
      <c r="AK16" s="719">
        <f t="shared" si="19"/>
        <v>0.19911144665776181</v>
      </c>
      <c r="AL16" s="719">
        <f t="shared" si="19"/>
        <v>0.14273148008725933</v>
      </c>
      <c r="AM16" s="720">
        <f t="shared" si="19"/>
        <v>5.9653619525606244E-2</v>
      </c>
      <c r="AN16" s="718">
        <f t="shared" si="19"/>
        <v>0.19585550011660241</v>
      </c>
      <c r="AO16" s="719">
        <f t="shared" si="19"/>
        <v>0.47872021915055923</v>
      </c>
      <c r="AP16" s="719">
        <f t="shared" si="19"/>
        <v>0.11189789115892487</v>
      </c>
      <c r="AQ16" s="719">
        <f t="shared" si="19"/>
        <v>0.19774958103902318</v>
      </c>
      <c r="AR16" s="719">
        <f t="shared" si="19"/>
        <v>0.13923940257521975</v>
      </c>
      <c r="AS16" s="720">
        <f t="shared" si="19"/>
        <v>5.091858085580922E-2</v>
      </c>
      <c r="AU16" s="718">
        <f t="shared" ref="AU16:AZ16" si="20">SUM(AU6:AU15)</f>
        <v>8.4514880778920179E-2</v>
      </c>
      <c r="AV16" s="719">
        <f t="shared" si="20"/>
        <v>8.6328743556181253E-2</v>
      </c>
      <c r="AW16" s="719">
        <f>SUM(AW6:AW15)</f>
        <v>9.0964575519577415E-2</v>
      </c>
      <c r="AX16" s="719">
        <f t="shared" si="20"/>
        <v>9.7082561414522303E-2</v>
      </c>
      <c r="AY16" s="719">
        <f t="shared" si="20"/>
        <v>9.9498944826895711E-2</v>
      </c>
      <c r="AZ16" s="720">
        <f t="shared" si="20"/>
        <v>0.10205204937588139</v>
      </c>
      <c r="BB16" s="718">
        <f t="shared" ref="BB16:BH16" si="21">SUM(BB6:BB15)</f>
        <v>0.14827172066477226</v>
      </c>
      <c r="BC16" s="719">
        <f t="shared" si="21"/>
        <v>0.1514539360634759</v>
      </c>
      <c r="BD16" s="719">
        <f>SUM(BD6:BD15)</f>
        <v>0.15958697459574989</v>
      </c>
      <c r="BE16" s="719">
        <f t="shared" si="21"/>
        <v>0.17032028318337242</v>
      </c>
      <c r="BF16" s="719">
        <f t="shared" si="21"/>
        <v>0.17455955232788722</v>
      </c>
      <c r="BG16" s="719">
        <f t="shared" si="21"/>
        <v>0.17903868311558144</v>
      </c>
      <c r="BH16" s="720">
        <f t="shared" si="21"/>
        <v>0.16387185832513987</v>
      </c>
    </row>
    <row r="17" spans="2:60">
      <c r="B17" s="246"/>
      <c r="C17" s="246"/>
    </row>
    <row r="18" spans="2:60" hidden="1"/>
    <row r="19" spans="2:60" hidden="1">
      <c r="I19" s="709" t="s">
        <v>73</v>
      </c>
      <c r="J19" s="710">
        <v>0.09</v>
      </c>
      <c r="K19" s="710">
        <v>0.03</v>
      </c>
      <c r="L19" s="710">
        <v>0.1</v>
      </c>
      <c r="M19" s="710">
        <v>0.1</v>
      </c>
      <c r="N19" s="710">
        <v>0.22500000000000001</v>
      </c>
      <c r="O19" s="710">
        <v>2.5000000000000001E-2</v>
      </c>
      <c r="P19" s="710">
        <v>0.09</v>
      </c>
      <c r="Q19" s="710">
        <v>0.03</v>
      </c>
      <c r="R19" s="710">
        <v>0.1</v>
      </c>
      <c r="S19" s="710">
        <v>0.1</v>
      </c>
      <c r="T19" s="710">
        <v>0.22500000000000001</v>
      </c>
      <c r="U19" s="710">
        <v>2.5000000000000001E-2</v>
      </c>
      <c r="V19" s="710">
        <v>0.09</v>
      </c>
      <c r="W19" s="710">
        <v>0.03</v>
      </c>
      <c r="X19" s="710">
        <v>0.1</v>
      </c>
      <c r="Y19" s="710">
        <v>0.1</v>
      </c>
      <c r="Z19" s="710">
        <v>0.22500000000000001</v>
      </c>
      <c r="AA19" s="710">
        <v>2.5000000000000001E-2</v>
      </c>
      <c r="AB19" s="710">
        <v>0.09</v>
      </c>
      <c r="AC19" s="710">
        <v>0.03</v>
      </c>
      <c r="AD19" s="710">
        <v>0.1</v>
      </c>
      <c r="AE19" s="710">
        <v>0.1</v>
      </c>
      <c r="AF19" s="710">
        <v>0.22500000000000001</v>
      </c>
      <c r="AG19" s="710">
        <v>2.5000000000000001E-2</v>
      </c>
      <c r="AH19" s="710">
        <v>0.09</v>
      </c>
      <c r="AI19" s="710">
        <v>0.03</v>
      </c>
      <c r="AJ19" s="710">
        <v>0.1</v>
      </c>
      <c r="AK19" s="710">
        <v>0.1</v>
      </c>
      <c r="AL19" s="710">
        <v>0.22500000000000001</v>
      </c>
      <c r="AM19" s="710">
        <v>2.5000000000000001E-2</v>
      </c>
      <c r="AN19" s="710">
        <v>0.08</v>
      </c>
      <c r="AO19" s="710">
        <v>0.05</v>
      </c>
      <c r="AP19" s="710">
        <v>0.09</v>
      </c>
      <c r="AQ19" s="710">
        <v>0.1</v>
      </c>
      <c r="AR19" s="710">
        <v>0.22500000000000001</v>
      </c>
      <c r="AS19" s="710">
        <v>2.5000000000000001E-2</v>
      </c>
      <c r="AU19" s="711">
        <v>0.56999999999999995</v>
      </c>
      <c r="AV19" s="711">
        <v>0.56999999999999995</v>
      </c>
      <c r="AW19" s="711">
        <v>0.56999999999999995</v>
      </c>
      <c r="AX19" s="711">
        <v>0.56999999999999995</v>
      </c>
      <c r="AY19" s="711">
        <v>0.56999999999999995</v>
      </c>
      <c r="AZ19" s="711">
        <v>0.56999999999999995</v>
      </c>
    </row>
    <row r="20" spans="2:60" ht="12.4" hidden="1" customHeight="1">
      <c r="H20" s="678"/>
      <c r="J20" s="710"/>
      <c r="K20" s="710"/>
      <c r="L20" s="710"/>
      <c r="M20" s="710"/>
      <c r="N20" s="710"/>
      <c r="O20" s="710">
        <f>+SUM(J19:O19)</f>
        <v>0.57000000000000006</v>
      </c>
      <c r="P20" s="710"/>
      <c r="Q20" s="710"/>
      <c r="R20" s="710"/>
      <c r="S20" s="710"/>
      <c r="T20" s="710"/>
      <c r="U20" s="710">
        <f>+SUM(P19:U19)</f>
        <v>0.57000000000000006</v>
      </c>
      <c r="V20" s="710"/>
      <c r="W20" s="710"/>
      <c r="X20" s="710"/>
      <c r="Y20" s="710"/>
      <c r="Z20" s="710"/>
      <c r="AA20" s="710">
        <f>+SUM(V19:AA19)</f>
        <v>0.57000000000000006</v>
      </c>
      <c r="AB20" s="710"/>
      <c r="AC20" s="710"/>
      <c r="AD20" s="710"/>
      <c r="AE20" s="710"/>
      <c r="AF20" s="710"/>
      <c r="AG20" s="710">
        <f>+SUM(AB19:AG19)</f>
        <v>0.57000000000000006</v>
      </c>
      <c r="AH20" s="710"/>
      <c r="AI20" s="710"/>
      <c r="AJ20" s="710"/>
      <c r="AK20" s="710"/>
      <c r="AL20" s="710"/>
      <c r="AM20" s="710">
        <f>+SUM(AH19:AM19)</f>
        <v>0.57000000000000006</v>
      </c>
      <c r="AN20" s="710"/>
      <c r="AO20" s="710"/>
      <c r="AP20" s="710"/>
      <c r="AQ20" s="710"/>
      <c r="AR20" s="710"/>
      <c r="AS20" s="710">
        <f>+SUM(AN19:AS19)</f>
        <v>0.57000000000000006</v>
      </c>
    </row>
    <row r="22" spans="2:60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</sheetData>
  <sheetProtection algorithmName="SHA-512" hashValue="byLhzKWdSx9O2hxmoWs7WN3epHxyWahdylW9vDhvhOCyTwp+8oGmvE/L+JlIwjpUJIFilQBpru4R20cd2obqrA==" saltValue="4GPtlHItVfhj9/eXakSkRw==" spinCount="100000" sheet="1" objects="1" scenarios="1"/>
  <mergeCells count="13">
    <mergeCell ref="H3:H4"/>
    <mergeCell ref="B3:B4"/>
    <mergeCell ref="C3:C4"/>
    <mergeCell ref="D3:D4"/>
    <mergeCell ref="E3:E4"/>
    <mergeCell ref="F3:F4"/>
    <mergeCell ref="G3:G4"/>
    <mergeCell ref="AN3:AS3"/>
    <mergeCell ref="J3:O3"/>
    <mergeCell ref="P3:U3"/>
    <mergeCell ref="V3:AA3"/>
    <mergeCell ref="AB3:AG3"/>
    <mergeCell ref="AH3:AM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U4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42578125" defaultRowHeight="15"/>
  <cols>
    <col min="1" max="1" width="47.28515625" style="109" customWidth="1"/>
    <col min="2" max="3" width="14.42578125" style="109" bestFit="1" customWidth="1"/>
    <col min="4" max="4" width="14.42578125" style="109" customWidth="1"/>
    <col min="5" max="5" width="14.42578125" style="109" bestFit="1" customWidth="1"/>
    <col min="6" max="6" width="10.5703125" style="109" customWidth="1"/>
    <col min="7" max="7" width="13.42578125" style="109" customWidth="1"/>
    <col min="8" max="8" width="12.5703125" style="109" bestFit="1" customWidth="1"/>
    <col min="9" max="9" width="14.42578125" style="109" customWidth="1"/>
    <col min="10" max="10" width="13.42578125" style="109" customWidth="1"/>
    <col min="11" max="11" width="9.42578125" style="109" customWidth="1"/>
    <col min="12" max="13" width="13.5703125" style="109" bestFit="1" customWidth="1"/>
    <col min="14" max="14" width="14.42578125" style="109" customWidth="1"/>
    <col min="15" max="15" width="13.5703125" style="109" bestFit="1" customWidth="1"/>
    <col min="16" max="16" width="7.42578125" style="109" customWidth="1"/>
    <col min="17" max="18" width="13.5703125" style="109" bestFit="1" customWidth="1"/>
    <col min="19" max="19" width="14.42578125" style="109" customWidth="1"/>
    <col min="20" max="20" width="13.5703125" style="109" bestFit="1" customWidth="1"/>
    <col min="21" max="21" width="7.42578125" style="109" customWidth="1"/>
    <col min="22" max="16384" width="9.42578125" style="109"/>
  </cols>
  <sheetData>
    <row r="1" spans="1:21" s="138" customFormat="1" ht="29.25" customHeight="1" thickBot="1">
      <c r="A1" s="1469"/>
      <c r="B1" s="1450" t="s">
        <v>297</v>
      </c>
      <c r="C1" s="1451"/>
      <c r="D1" s="1451"/>
      <c r="E1" s="1451"/>
      <c r="F1" s="1452"/>
      <c r="G1" s="1450" t="s">
        <v>299</v>
      </c>
      <c r="H1" s="1451"/>
      <c r="I1" s="1451"/>
      <c r="J1" s="1451"/>
      <c r="K1" s="1452"/>
      <c r="L1" s="1450" t="s">
        <v>324</v>
      </c>
      <c r="M1" s="1451"/>
      <c r="N1" s="1451"/>
      <c r="O1" s="1451"/>
      <c r="P1" s="1452"/>
      <c r="Q1" s="1450" t="s">
        <v>310</v>
      </c>
      <c r="R1" s="1451"/>
      <c r="S1" s="1451"/>
      <c r="T1" s="1451"/>
      <c r="U1" s="1452"/>
    </row>
    <row r="2" spans="1:21" ht="108.75" customHeight="1" thickBot="1">
      <c r="A2" s="1455"/>
      <c r="B2" s="212" t="s">
        <v>312</v>
      </c>
      <c r="C2" s="212" t="s">
        <v>303</v>
      </c>
      <c r="D2" s="213" t="s">
        <v>304</v>
      </c>
      <c r="E2" s="214" t="s">
        <v>130</v>
      </c>
      <c r="F2" s="215" t="s">
        <v>131</v>
      </c>
      <c r="G2" s="216" t="s">
        <v>313</v>
      </c>
      <c r="H2" s="216" t="s">
        <v>305</v>
      </c>
      <c r="I2" s="213" t="s">
        <v>301</v>
      </c>
      <c r="J2" s="214" t="s">
        <v>130</v>
      </c>
      <c r="K2" s="215" t="s">
        <v>132</v>
      </c>
      <c r="L2" s="217" t="s">
        <v>314</v>
      </c>
      <c r="M2" s="217" t="s">
        <v>306</v>
      </c>
      <c r="N2" s="218" t="s">
        <v>307</v>
      </c>
      <c r="O2" s="214" t="s">
        <v>130</v>
      </c>
      <c r="P2" s="177" t="str">
        <f>CONCATENATE(" Podiel na ZGv  ",)</f>
        <v xml:space="preserve"> Podiel na ZGv  </v>
      </c>
      <c r="Q2" s="219" t="s">
        <v>311</v>
      </c>
      <c r="R2" s="217" t="s">
        <v>308</v>
      </c>
      <c r="S2" s="218" t="s">
        <v>307</v>
      </c>
      <c r="T2" s="214" t="s">
        <v>130</v>
      </c>
      <c r="U2" s="177" t="str">
        <f>CONCATENATE(" Podiel na ZGo  ",)</f>
        <v xml:space="preserve"> Podiel na ZGo  </v>
      </c>
    </row>
    <row r="3" spans="1:21" s="112" customFormat="1">
      <c r="A3" s="27" t="s">
        <v>2</v>
      </c>
      <c r="B3" s="905">
        <v>6893967</v>
      </c>
      <c r="C3" s="221">
        <v>7960674.2800000003</v>
      </c>
      <c r="D3" s="618">
        <f t="shared" ref="D3:D11" si="0">B3+C3</f>
        <v>14854641.280000001</v>
      </c>
      <c r="E3" s="618">
        <v>7427320.6400000006</v>
      </c>
      <c r="F3" s="223">
        <f t="shared" ref="F3:F13" si="1">100*E3/$E$15</f>
        <v>18.512825864686896</v>
      </c>
      <c r="G3" s="905">
        <v>1638068.2599999998</v>
      </c>
      <c r="H3" s="221">
        <v>1861659.78</v>
      </c>
      <c r="I3" s="618">
        <f t="shared" ref="I3:I10" si="2">G3+H3</f>
        <v>3499728.04</v>
      </c>
      <c r="J3" s="618">
        <v>1749864.02</v>
      </c>
      <c r="K3" s="223">
        <f t="shared" ref="K3:K10" si="3">100*J3/$J$15</f>
        <v>27.327633990890948</v>
      </c>
      <c r="L3" s="560">
        <v>1609304.4000000004</v>
      </c>
      <c r="M3" s="228">
        <v>2111837.54</v>
      </c>
      <c r="N3" s="618">
        <f t="shared" ref="N3:N10" si="4">L3+M3</f>
        <v>3721141.9400000004</v>
      </c>
      <c r="O3" s="618">
        <v>1860570.9700000002</v>
      </c>
      <c r="P3" s="223">
        <f t="shared" ref="P3:P10" si="5">100*O3/$O$15</f>
        <v>21.389934238776295</v>
      </c>
      <c r="Q3" s="560">
        <v>1600474.3900000001</v>
      </c>
      <c r="R3" s="228">
        <v>1576471.96</v>
      </c>
      <c r="S3" s="618">
        <f t="shared" ref="S3:S11" si="6">Q3+R3</f>
        <v>3176946.35</v>
      </c>
      <c r="T3" s="618">
        <v>1588473.175</v>
      </c>
      <c r="U3" s="223">
        <f t="shared" ref="U3:U13" si="7">100*T3/$T$15</f>
        <v>9.330622077207984</v>
      </c>
    </row>
    <row r="4" spans="1:21" s="208" customFormat="1">
      <c r="A4" s="21" t="s">
        <v>6</v>
      </c>
      <c r="B4" s="190">
        <v>124289</v>
      </c>
      <c r="C4" s="191">
        <v>150052</v>
      </c>
      <c r="D4" s="906">
        <f t="shared" si="0"/>
        <v>274341</v>
      </c>
      <c r="E4" s="906">
        <f>D4/2</f>
        <v>137170.5</v>
      </c>
      <c r="F4" s="207">
        <f t="shared" si="1"/>
        <v>0.34190170363670119</v>
      </c>
      <c r="G4" s="190">
        <v>52509</v>
      </c>
      <c r="H4" s="191">
        <v>80900</v>
      </c>
      <c r="I4" s="906">
        <f t="shared" si="2"/>
        <v>133409</v>
      </c>
      <c r="J4" s="906">
        <f t="shared" ref="J4:J13" si="8">I4/2</f>
        <v>66704.5</v>
      </c>
      <c r="K4" s="207">
        <f t="shared" si="3"/>
        <v>1.0417244658504294</v>
      </c>
      <c r="L4" s="190">
        <v>104617</v>
      </c>
      <c r="M4" s="191">
        <v>27284</v>
      </c>
      <c r="N4" s="906">
        <f t="shared" si="4"/>
        <v>131901</v>
      </c>
      <c r="O4" s="906">
        <f t="shared" ref="O4:O13" si="9">N4/2</f>
        <v>65950.5</v>
      </c>
      <c r="P4" s="207">
        <f t="shared" si="5"/>
        <v>0.75819567259743692</v>
      </c>
      <c r="Q4" s="1171">
        <v>86756</v>
      </c>
      <c r="R4" s="1172">
        <v>36142</v>
      </c>
      <c r="S4" s="906">
        <f t="shared" si="6"/>
        <v>122898</v>
      </c>
      <c r="T4" s="906">
        <f t="shared" ref="T4:T13" si="10">S4/2</f>
        <v>61449</v>
      </c>
      <c r="U4" s="207">
        <f t="shared" si="7"/>
        <v>0.36094874313653641</v>
      </c>
    </row>
    <row r="5" spans="1:21" s="208" customFormat="1">
      <c r="A5" s="21" t="s">
        <v>3</v>
      </c>
      <c r="B5" s="190">
        <v>1846251</v>
      </c>
      <c r="C5" s="191">
        <v>1566040.81</v>
      </c>
      <c r="D5" s="906">
        <f t="shared" si="0"/>
        <v>3412291.81</v>
      </c>
      <c r="E5" s="906">
        <f t="shared" ref="E5:E13" si="11">D5/2</f>
        <v>1706145.905</v>
      </c>
      <c r="F5" s="207">
        <f t="shared" si="1"/>
        <v>4.2526213112315068</v>
      </c>
      <c r="G5" s="902">
        <v>146975</v>
      </c>
      <c r="H5" s="222">
        <v>147030</v>
      </c>
      <c r="I5" s="906">
        <f t="shared" si="2"/>
        <v>294005</v>
      </c>
      <c r="J5" s="906">
        <f t="shared" si="8"/>
        <v>147002.5</v>
      </c>
      <c r="K5" s="207">
        <f t="shared" si="3"/>
        <v>2.2957386801666719</v>
      </c>
      <c r="L5" s="775">
        <v>884012</v>
      </c>
      <c r="M5" s="229">
        <v>1495076.98</v>
      </c>
      <c r="N5" s="906">
        <f t="shared" si="4"/>
        <v>2379088.98</v>
      </c>
      <c r="O5" s="906">
        <f t="shared" si="9"/>
        <v>1189544.49</v>
      </c>
      <c r="P5" s="207">
        <f t="shared" si="5"/>
        <v>13.67552156056626</v>
      </c>
      <c r="Q5" s="1171">
        <v>36286</v>
      </c>
      <c r="R5" s="1172">
        <v>28859</v>
      </c>
      <c r="S5" s="906">
        <f t="shared" si="6"/>
        <v>65145</v>
      </c>
      <c r="T5" s="906">
        <f t="shared" si="10"/>
        <v>32572.5</v>
      </c>
      <c r="U5" s="207">
        <f t="shared" si="7"/>
        <v>0.19132944288458448</v>
      </c>
    </row>
    <row r="6" spans="1:21" s="208" customFormat="1">
      <c r="A6" s="21" t="s">
        <v>5</v>
      </c>
      <c r="B6" s="190">
        <v>2130642</v>
      </c>
      <c r="C6" s="191">
        <v>2422085.7999999998</v>
      </c>
      <c r="D6" s="906">
        <f t="shared" si="0"/>
        <v>4552727.8</v>
      </c>
      <c r="E6" s="906">
        <f t="shared" si="11"/>
        <v>2276363.9</v>
      </c>
      <c r="F6" s="207">
        <f t="shared" si="1"/>
        <v>5.673907257807512</v>
      </c>
      <c r="G6" s="902">
        <v>185207.67</v>
      </c>
      <c r="H6" s="222">
        <v>198898.14</v>
      </c>
      <c r="I6" s="906">
        <f t="shared" si="2"/>
        <v>384105.81000000006</v>
      </c>
      <c r="J6" s="906">
        <f t="shared" si="8"/>
        <v>192052.90500000003</v>
      </c>
      <c r="K6" s="207">
        <f t="shared" si="3"/>
        <v>2.9992910504710824</v>
      </c>
      <c r="L6" s="775">
        <v>311757.05</v>
      </c>
      <c r="M6" s="229">
        <v>161488.41</v>
      </c>
      <c r="N6" s="906">
        <f t="shared" si="4"/>
        <v>473245.45999999996</v>
      </c>
      <c r="O6" s="906">
        <f t="shared" si="9"/>
        <v>236622.72999999998</v>
      </c>
      <c r="P6" s="207">
        <f t="shared" si="5"/>
        <v>2.720317964597565</v>
      </c>
      <c r="Q6" s="1171">
        <v>198721.28</v>
      </c>
      <c r="R6" s="1172">
        <v>168276</v>
      </c>
      <c r="S6" s="906">
        <f t="shared" si="6"/>
        <v>366997.28</v>
      </c>
      <c r="T6" s="906">
        <f t="shared" si="10"/>
        <v>183498.64</v>
      </c>
      <c r="U6" s="207">
        <f t="shared" si="7"/>
        <v>1.0778629998090086</v>
      </c>
    </row>
    <row r="7" spans="1:21" s="208" customFormat="1">
      <c r="A7" s="21" t="s">
        <v>7</v>
      </c>
      <c r="B7" s="190">
        <v>220977</v>
      </c>
      <c r="C7" s="191">
        <v>440585.67000000004</v>
      </c>
      <c r="D7" s="906">
        <f t="shared" si="0"/>
        <v>661562.67000000004</v>
      </c>
      <c r="E7" s="906">
        <f t="shared" si="11"/>
        <v>330781.33500000002</v>
      </c>
      <c r="F7" s="207">
        <f t="shared" si="1"/>
        <v>0.82448268372370437</v>
      </c>
      <c r="G7" s="190">
        <v>151479.17000000001</v>
      </c>
      <c r="H7" s="191">
        <v>228748.33</v>
      </c>
      <c r="I7" s="906">
        <f t="shared" si="2"/>
        <v>380227.5</v>
      </c>
      <c r="J7" s="906">
        <f t="shared" si="8"/>
        <v>190113.75</v>
      </c>
      <c r="K7" s="207">
        <f t="shared" si="3"/>
        <v>2.9690072584244254</v>
      </c>
      <c r="L7" s="190">
        <v>15126.82</v>
      </c>
      <c r="M7" s="191"/>
      <c r="N7" s="906">
        <f t="shared" si="4"/>
        <v>15126.82</v>
      </c>
      <c r="O7" s="906">
        <f t="shared" si="9"/>
        <v>7563.41</v>
      </c>
      <c r="P7" s="207">
        <f t="shared" si="5"/>
        <v>8.6952255586844385E-2</v>
      </c>
      <c r="Q7" s="1171">
        <v>9447</v>
      </c>
      <c r="R7" s="1172"/>
      <c r="S7" s="906">
        <f t="shared" si="6"/>
        <v>9447</v>
      </c>
      <c r="T7" s="906">
        <f t="shared" si="10"/>
        <v>4723.5</v>
      </c>
      <c r="U7" s="207">
        <f t="shared" si="7"/>
        <v>2.77456327719805E-2</v>
      </c>
    </row>
    <row r="8" spans="1:21" s="208" customFormat="1">
      <c r="A8" s="21" t="s">
        <v>0</v>
      </c>
      <c r="B8" s="902">
        <v>1098914</v>
      </c>
      <c r="C8" s="222">
        <v>1530625</v>
      </c>
      <c r="D8" s="906">
        <f t="shared" si="0"/>
        <v>2629539</v>
      </c>
      <c r="E8" s="906">
        <f t="shared" si="11"/>
        <v>1314769.5</v>
      </c>
      <c r="F8" s="207">
        <f t="shared" si="1"/>
        <v>3.277103545875927</v>
      </c>
      <c r="G8" s="902">
        <v>561469</v>
      </c>
      <c r="H8" s="222">
        <v>681260</v>
      </c>
      <c r="I8" s="906">
        <f t="shared" si="2"/>
        <v>1242729</v>
      </c>
      <c r="J8" s="906">
        <f t="shared" si="8"/>
        <v>621364.5</v>
      </c>
      <c r="K8" s="207">
        <f t="shared" si="3"/>
        <v>9.7038520918516618</v>
      </c>
      <c r="L8" s="188">
        <v>68475</v>
      </c>
      <c r="M8" s="230">
        <v>85839</v>
      </c>
      <c r="N8" s="906">
        <f t="shared" si="4"/>
        <v>154314</v>
      </c>
      <c r="O8" s="906">
        <f t="shared" si="9"/>
        <v>77157</v>
      </c>
      <c r="P8" s="207">
        <f t="shared" si="5"/>
        <v>0.88703047756424047</v>
      </c>
      <c r="Q8" s="188">
        <v>75577</v>
      </c>
      <c r="R8" s="230">
        <v>483004</v>
      </c>
      <c r="S8" s="906">
        <f t="shared" si="6"/>
        <v>558581</v>
      </c>
      <c r="T8" s="906">
        <f t="shared" si="10"/>
        <v>279290.5</v>
      </c>
      <c r="U8" s="207">
        <f t="shared" si="7"/>
        <v>1.6405402031762082</v>
      </c>
    </row>
    <row r="9" spans="1:21" s="208" customFormat="1">
      <c r="A9" s="21" t="s">
        <v>1</v>
      </c>
      <c r="B9" s="902">
        <v>808552</v>
      </c>
      <c r="C9" s="222">
        <v>1138426</v>
      </c>
      <c r="D9" s="906">
        <f t="shared" si="0"/>
        <v>1946978</v>
      </c>
      <c r="E9" s="906">
        <f t="shared" si="11"/>
        <v>973489</v>
      </c>
      <c r="F9" s="207">
        <f t="shared" si="1"/>
        <v>2.4264513694386811</v>
      </c>
      <c r="G9" s="902">
        <v>288637.64</v>
      </c>
      <c r="H9" s="222">
        <v>262950.90000000002</v>
      </c>
      <c r="I9" s="906">
        <f t="shared" si="2"/>
        <v>551588.54</v>
      </c>
      <c r="J9" s="906">
        <f t="shared" si="8"/>
        <v>275794.27</v>
      </c>
      <c r="K9" s="207">
        <f t="shared" si="3"/>
        <v>4.3070803109289351</v>
      </c>
      <c r="L9" s="190"/>
      <c r="M9" s="191">
        <v>28589.74</v>
      </c>
      <c r="N9" s="906">
        <f t="shared" si="4"/>
        <v>28589.74</v>
      </c>
      <c r="O9" s="906">
        <f t="shared" si="9"/>
        <v>14294.87</v>
      </c>
      <c r="P9" s="207">
        <f t="shared" si="5"/>
        <v>0.16434005161966814</v>
      </c>
      <c r="Q9" s="1171">
        <v>25504.74</v>
      </c>
      <c r="R9" s="1172">
        <v>69254</v>
      </c>
      <c r="S9" s="906">
        <f t="shared" si="6"/>
        <v>94758.74</v>
      </c>
      <c r="T9" s="906">
        <f t="shared" si="10"/>
        <v>47379.37</v>
      </c>
      <c r="U9" s="207">
        <f t="shared" si="7"/>
        <v>0.27830435079661048</v>
      </c>
    </row>
    <row r="10" spans="1:21" s="208" customFormat="1">
      <c r="A10" s="21" t="s">
        <v>4</v>
      </c>
      <c r="B10" s="190">
        <v>600036</v>
      </c>
      <c r="C10" s="191">
        <v>655864</v>
      </c>
      <c r="D10" s="906">
        <f t="shared" si="0"/>
        <v>1255900</v>
      </c>
      <c r="E10" s="906">
        <f t="shared" si="11"/>
        <v>627950</v>
      </c>
      <c r="F10" s="207">
        <f t="shared" si="1"/>
        <v>1.5651847503556999</v>
      </c>
      <c r="G10" s="902">
        <v>251790.78</v>
      </c>
      <c r="H10" s="222">
        <v>231081.36</v>
      </c>
      <c r="I10" s="906">
        <f t="shared" si="2"/>
        <v>482872.14</v>
      </c>
      <c r="J10" s="906">
        <f t="shared" si="8"/>
        <v>241436.07</v>
      </c>
      <c r="K10" s="207">
        <f t="shared" si="3"/>
        <v>3.7705081524901152</v>
      </c>
      <c r="L10" s="190">
        <v>21930</v>
      </c>
      <c r="M10" s="191">
        <v>30309.81</v>
      </c>
      <c r="N10" s="906">
        <f t="shared" si="4"/>
        <v>52239.81</v>
      </c>
      <c r="O10" s="906">
        <f t="shared" si="9"/>
        <v>26119.904999999999</v>
      </c>
      <c r="P10" s="207">
        <f t="shared" si="5"/>
        <v>0.3002858043480513</v>
      </c>
      <c r="Q10" s="1171">
        <v>64166</v>
      </c>
      <c r="R10" s="1172">
        <v>110762</v>
      </c>
      <c r="S10" s="906">
        <f t="shared" si="6"/>
        <v>174928</v>
      </c>
      <c r="T10" s="906">
        <f t="shared" si="10"/>
        <v>87464</v>
      </c>
      <c r="U10" s="207">
        <f t="shared" si="7"/>
        <v>0.5137597173215841</v>
      </c>
    </row>
    <row r="11" spans="1:21" s="208" customFormat="1">
      <c r="A11" s="21" t="s">
        <v>17</v>
      </c>
      <c r="B11" s="190">
        <v>25391</v>
      </c>
      <c r="C11" s="191">
        <v>29578</v>
      </c>
      <c r="D11" s="906">
        <f t="shared" si="0"/>
        <v>54969</v>
      </c>
      <c r="E11" s="906">
        <f t="shared" si="11"/>
        <v>27484.5</v>
      </c>
      <c r="F11" s="207">
        <f t="shared" si="1"/>
        <v>6.8505964282428902E-2</v>
      </c>
      <c r="G11" s="902"/>
      <c r="H11" s="222">
        <v>30791.05</v>
      </c>
      <c r="I11" s="906">
        <v>30791</v>
      </c>
      <c r="J11" s="906">
        <f t="shared" si="8"/>
        <v>15395.5</v>
      </c>
      <c r="K11" s="207">
        <v>0.24043159028251898</v>
      </c>
      <c r="L11" s="190">
        <v>203386.53</v>
      </c>
      <c r="M11" s="191">
        <v>283249.59999999998</v>
      </c>
      <c r="N11" s="906">
        <v>486637</v>
      </c>
      <c r="O11" s="906">
        <f t="shared" si="9"/>
        <v>243318.5</v>
      </c>
      <c r="P11" s="207">
        <v>2.7972954528456868</v>
      </c>
      <c r="Q11" s="1171">
        <v>9983.7900000000009</v>
      </c>
      <c r="R11" s="1172">
        <v>1410</v>
      </c>
      <c r="S11" s="906">
        <f t="shared" si="6"/>
        <v>11393.79</v>
      </c>
      <c r="T11" s="906">
        <f t="shared" si="10"/>
        <v>5696.8950000000004</v>
      </c>
      <c r="U11" s="207">
        <f t="shared" si="7"/>
        <v>3.346331250355284E-2</v>
      </c>
    </row>
    <row r="12" spans="1:21" s="208" customFormat="1">
      <c r="A12" s="343" t="s">
        <v>205</v>
      </c>
      <c r="B12" s="190">
        <v>38915</v>
      </c>
      <c r="C12" s="191">
        <v>27417</v>
      </c>
      <c r="D12" s="906">
        <f t="shared" ref="D12:D13" si="12">B12+C12</f>
        <v>66332</v>
      </c>
      <c r="E12" s="906">
        <f t="shared" si="11"/>
        <v>33166</v>
      </c>
      <c r="F12" s="207">
        <f t="shared" si="1"/>
        <v>8.2667278334735472E-2</v>
      </c>
      <c r="G12" s="902"/>
      <c r="H12" s="222"/>
      <c r="I12" s="906">
        <f t="shared" ref="I12:I13" si="13">G12+H12</f>
        <v>0</v>
      </c>
      <c r="J12" s="906">
        <f t="shared" si="8"/>
        <v>0</v>
      </c>
      <c r="K12" s="207">
        <f t="shared" ref="K12:K13" si="14">100*J12/$J$15</f>
        <v>0</v>
      </c>
      <c r="L12" s="190"/>
      <c r="M12" s="191"/>
      <c r="N12" s="906">
        <f t="shared" ref="N12:N13" si="15">L12+M12</f>
        <v>0</v>
      </c>
      <c r="O12" s="906">
        <f t="shared" si="9"/>
        <v>0</v>
      </c>
      <c r="P12" s="207">
        <f t="shared" ref="P12:P13" si="16">100*O12/$O$15</f>
        <v>0</v>
      </c>
      <c r="Q12" s="1171">
        <v>8469</v>
      </c>
      <c r="R12" s="1172">
        <v>2872</v>
      </c>
      <c r="S12" s="906">
        <f t="shared" ref="S12:S13" si="17">Q12+R12</f>
        <v>11341</v>
      </c>
      <c r="T12" s="906">
        <f t="shared" si="10"/>
        <v>5670.5</v>
      </c>
      <c r="U12" s="207">
        <f t="shared" si="7"/>
        <v>3.3308269425958596E-2</v>
      </c>
    </row>
    <row r="13" spans="1:21" s="208" customFormat="1">
      <c r="A13" s="22" t="s">
        <v>64</v>
      </c>
      <c r="B13" s="190">
        <v>0</v>
      </c>
      <c r="C13" s="191">
        <v>0</v>
      </c>
      <c r="D13" s="906">
        <f t="shared" si="12"/>
        <v>0</v>
      </c>
      <c r="E13" s="906">
        <f t="shared" si="11"/>
        <v>0</v>
      </c>
      <c r="F13" s="207">
        <f t="shared" si="1"/>
        <v>0</v>
      </c>
      <c r="G13" s="902"/>
      <c r="H13" s="222"/>
      <c r="I13" s="906">
        <f t="shared" si="13"/>
        <v>0</v>
      </c>
      <c r="J13" s="906">
        <f t="shared" si="8"/>
        <v>0</v>
      </c>
      <c r="K13" s="207">
        <f t="shared" si="14"/>
        <v>0</v>
      </c>
      <c r="L13" s="190"/>
      <c r="M13" s="191"/>
      <c r="N13" s="906">
        <f t="shared" si="15"/>
        <v>0</v>
      </c>
      <c r="O13" s="906">
        <f t="shared" si="9"/>
        <v>0</v>
      </c>
      <c r="P13" s="207">
        <f t="shared" si="16"/>
        <v>0</v>
      </c>
      <c r="Q13" s="1171">
        <v>1085563.58</v>
      </c>
      <c r="R13" s="1172">
        <v>675893.46</v>
      </c>
      <c r="S13" s="906">
        <f t="shared" si="17"/>
        <v>1761457.04</v>
      </c>
      <c r="T13" s="906">
        <f t="shared" si="10"/>
        <v>880728.52</v>
      </c>
      <c r="U13" s="207">
        <f t="shared" si="7"/>
        <v>5.1733608738710455</v>
      </c>
    </row>
    <row r="14" spans="1:21" s="208" customFormat="1" ht="15.75" thickBot="1">
      <c r="A14" s="71" t="s">
        <v>2</v>
      </c>
      <c r="B14" s="907">
        <f>SUM(B4:B13)</f>
        <v>6893967</v>
      </c>
      <c r="C14" s="908">
        <f>SUM(C4:C13)</f>
        <v>7960674.2800000003</v>
      </c>
      <c r="D14" s="909">
        <f t="shared" ref="D14:U14" si="18">SUM(D4:D13)</f>
        <v>14854641.279999999</v>
      </c>
      <c r="E14" s="909">
        <f t="shared" si="18"/>
        <v>7427320.6399999997</v>
      </c>
      <c r="F14" s="224">
        <f t="shared" si="18"/>
        <v>18.512825864686899</v>
      </c>
      <c r="G14" s="903">
        <f t="shared" si="18"/>
        <v>1638068.26</v>
      </c>
      <c r="H14" s="904">
        <f t="shared" si="18"/>
        <v>1861659.78</v>
      </c>
      <c r="I14" s="909">
        <f t="shared" si="18"/>
        <v>3499727.99</v>
      </c>
      <c r="J14" s="909">
        <f t="shared" si="18"/>
        <v>1749863.9950000001</v>
      </c>
      <c r="K14" s="224">
        <f t="shared" si="18"/>
        <v>27.327633600465841</v>
      </c>
      <c r="L14" s="903">
        <f t="shared" si="18"/>
        <v>1609304.4000000001</v>
      </c>
      <c r="M14" s="904">
        <f t="shared" si="18"/>
        <v>2111837.54</v>
      </c>
      <c r="N14" s="909">
        <f t="shared" si="18"/>
        <v>3721142.81</v>
      </c>
      <c r="O14" s="909">
        <f t="shared" si="18"/>
        <v>1860571.405</v>
      </c>
      <c r="P14" s="224">
        <f t="shared" si="18"/>
        <v>21.389939239725752</v>
      </c>
      <c r="Q14" s="903">
        <f t="shared" si="18"/>
        <v>1600474.3900000001</v>
      </c>
      <c r="R14" s="903">
        <f t="shared" si="18"/>
        <v>1576472.46</v>
      </c>
      <c r="S14" s="909">
        <f t="shared" si="18"/>
        <v>3176946.85</v>
      </c>
      <c r="T14" s="909">
        <f t="shared" si="18"/>
        <v>1588473.425</v>
      </c>
      <c r="U14" s="224">
        <f t="shared" si="18"/>
        <v>9.330623545697069</v>
      </c>
    </row>
    <row r="15" spans="1:21" ht="15.75" thickBot="1">
      <c r="A15" s="206" t="s">
        <v>90</v>
      </c>
      <c r="B15" s="910">
        <v>37408022.32</v>
      </c>
      <c r="C15" s="911">
        <v>42831706.549999997</v>
      </c>
      <c r="D15" s="912">
        <v>80239728.870000005</v>
      </c>
      <c r="E15" s="910">
        <v>40119864.435000002</v>
      </c>
      <c r="F15" s="910">
        <v>100.00000000000004</v>
      </c>
      <c r="G15" s="910">
        <v>5969435.5</v>
      </c>
      <c r="H15" s="910">
        <v>6837117.9000000004</v>
      </c>
      <c r="I15" s="910">
        <v>12806553.399999999</v>
      </c>
      <c r="J15" s="910">
        <v>6403276.6999999993</v>
      </c>
      <c r="K15" s="910">
        <v>100</v>
      </c>
      <c r="L15" s="910">
        <v>10178486.265000001</v>
      </c>
      <c r="M15" s="910">
        <v>7218210.2300000004</v>
      </c>
      <c r="N15" s="910">
        <v>17396696.495000001</v>
      </c>
      <c r="O15" s="910">
        <v>8698348.2475000005</v>
      </c>
      <c r="P15" s="910">
        <v>142.77988066377424</v>
      </c>
      <c r="Q15" s="910">
        <v>17046174.400000002</v>
      </c>
      <c r="R15" s="910">
        <v>17002427.329999998</v>
      </c>
      <c r="S15" s="910">
        <v>34048601.730000004</v>
      </c>
      <c r="T15" s="910">
        <v>17024300.865000002</v>
      </c>
      <c r="U15" s="910">
        <v>99.999999999999986</v>
      </c>
    </row>
    <row r="16" spans="1:21">
      <c r="B16" s="152"/>
      <c r="C16" s="152"/>
      <c r="D16" s="209"/>
      <c r="E16" s="152"/>
      <c r="F16" s="152"/>
      <c r="G16" s="152"/>
      <c r="H16" s="152"/>
      <c r="I16" s="209"/>
      <c r="J16" s="152"/>
      <c r="K16" s="152"/>
      <c r="L16" s="152"/>
      <c r="M16" s="152"/>
      <c r="N16" s="209"/>
      <c r="R16" s="152"/>
      <c r="S16" s="209"/>
    </row>
    <row r="17" spans="1:21" ht="15" customHeight="1">
      <c r="A17" s="50"/>
      <c r="B17" s="210"/>
      <c r="C17" s="210"/>
      <c r="D17" s="211"/>
      <c r="E17" s="211"/>
      <c r="F17" s="59"/>
      <c r="K17" s="59"/>
      <c r="P17" s="59" t="s">
        <v>133</v>
      </c>
    </row>
    <row r="18" spans="1:21">
      <c r="A18" s="50"/>
      <c r="F18" s="59"/>
      <c r="K18" s="59"/>
      <c r="P18" s="59"/>
    </row>
    <row r="19" spans="1:21" ht="15.75" thickBot="1">
      <c r="A19" s="1" t="s">
        <v>270</v>
      </c>
      <c r="F19" s="59"/>
      <c r="K19" s="59"/>
      <c r="P19" s="59"/>
    </row>
    <row r="20" spans="1:21" s="112" customFormat="1">
      <c r="A20" s="510" t="s">
        <v>2</v>
      </c>
      <c r="B20" s="220"/>
      <c r="C20" s="221"/>
      <c r="D20" s="618">
        <f t="shared" ref="D20:U20" si="19">D3-D36</f>
        <v>1654340.6100000013</v>
      </c>
      <c r="E20" s="618">
        <f t="shared" si="19"/>
        <v>827170.30500000063</v>
      </c>
      <c r="F20" s="223">
        <f t="shared" si="19"/>
        <v>0.11282586468689715</v>
      </c>
      <c r="G20" s="220"/>
      <c r="H20" s="221"/>
      <c r="I20" s="618">
        <f t="shared" si="19"/>
        <v>166765.37000000011</v>
      </c>
      <c r="J20" s="618">
        <f t="shared" si="19"/>
        <v>83382.685000000056</v>
      </c>
      <c r="K20" s="223">
        <f t="shared" si="19"/>
        <v>-1.5423660091090525</v>
      </c>
      <c r="L20" s="227"/>
      <c r="M20" s="228"/>
      <c r="N20" s="618">
        <f t="shared" si="19"/>
        <v>970712.21999999974</v>
      </c>
      <c r="O20" s="618">
        <f t="shared" si="19"/>
        <v>485356.10999999987</v>
      </c>
      <c r="P20" s="223">
        <f t="shared" si="19"/>
        <v>7.7499342387762944</v>
      </c>
      <c r="Q20" s="227"/>
      <c r="R20" s="228"/>
      <c r="S20" s="618">
        <f t="shared" si="19"/>
        <v>-287210.66000000061</v>
      </c>
      <c r="T20" s="618">
        <f t="shared" si="19"/>
        <v>-143605.33000000031</v>
      </c>
      <c r="U20" s="223">
        <f t="shared" si="19"/>
        <v>-3.743111526345011</v>
      </c>
    </row>
    <row r="21" spans="1:21" s="208" customFormat="1">
      <c r="A21" s="486" t="s">
        <v>6</v>
      </c>
      <c r="B21" s="569"/>
      <c r="C21" s="570"/>
      <c r="D21" s="906">
        <f t="shared" ref="D21:U21" si="20">D4-D37</f>
        <v>55946</v>
      </c>
      <c r="E21" s="906">
        <f t="shared" si="20"/>
        <v>27973</v>
      </c>
      <c r="F21" s="207">
        <f t="shared" si="20"/>
        <v>3.7479243841321452E-2</v>
      </c>
      <c r="G21" s="649"/>
      <c r="H21" s="650"/>
      <c r="I21" s="906">
        <f t="shared" si="20"/>
        <v>21600</v>
      </c>
      <c r="J21" s="906">
        <f t="shared" si="20"/>
        <v>10800</v>
      </c>
      <c r="K21" s="207">
        <f t="shared" si="20"/>
        <v>7.3239022237585161E-2</v>
      </c>
      <c r="L21" s="569"/>
      <c r="M21" s="570"/>
      <c r="N21" s="906">
        <f t="shared" si="20"/>
        <v>27284</v>
      </c>
      <c r="O21" s="906">
        <f t="shared" si="20"/>
        <v>13642</v>
      </c>
      <c r="P21" s="207">
        <f t="shared" si="20"/>
        <v>0.23937642423649363</v>
      </c>
      <c r="Q21" s="569"/>
      <c r="R21" s="570"/>
      <c r="S21" s="906">
        <f t="shared" si="20"/>
        <v>-66064</v>
      </c>
      <c r="T21" s="906">
        <f t="shared" si="20"/>
        <v>-33032</v>
      </c>
      <c r="U21" s="207">
        <f t="shared" si="20"/>
        <v>-0.35219412021034763</v>
      </c>
    </row>
    <row r="22" spans="1:21" s="208" customFormat="1">
      <c r="A22" s="486" t="s">
        <v>3</v>
      </c>
      <c r="B22" s="569"/>
      <c r="C22" s="570"/>
      <c r="D22" s="906">
        <f t="shared" ref="D22:U22" si="21">D5-D38</f>
        <v>18099.810000000056</v>
      </c>
      <c r="E22" s="906">
        <f t="shared" si="21"/>
        <v>9049.9050000000279</v>
      </c>
      <c r="F22" s="207">
        <f t="shared" si="21"/>
        <v>-0.47856886096931994</v>
      </c>
      <c r="G22" s="651"/>
      <c r="H22" s="652"/>
      <c r="I22" s="906">
        <f t="shared" si="21"/>
        <v>7553</v>
      </c>
      <c r="J22" s="906">
        <f t="shared" si="21"/>
        <v>3776.5</v>
      </c>
      <c r="K22" s="207">
        <f t="shared" si="21"/>
        <v>-0.1854980028712454</v>
      </c>
      <c r="L22" s="653"/>
      <c r="M22" s="654"/>
      <c r="N22" s="906">
        <f t="shared" si="21"/>
        <v>943915.98</v>
      </c>
      <c r="O22" s="906">
        <f t="shared" si="21"/>
        <v>471957.99</v>
      </c>
      <c r="P22" s="207">
        <f t="shared" si="21"/>
        <v>6.558175649978879</v>
      </c>
      <c r="Q22" s="569"/>
      <c r="R22" s="570"/>
      <c r="S22" s="906">
        <f t="shared" si="21"/>
        <v>-5520</v>
      </c>
      <c r="T22" s="906">
        <f t="shared" si="21"/>
        <v>-2760</v>
      </c>
      <c r="U22" s="207">
        <f t="shared" si="21"/>
        <v>-7.5360370085259032E-2</v>
      </c>
    </row>
    <row r="23" spans="1:21" s="208" customFormat="1">
      <c r="A23" s="486" t="s">
        <v>5</v>
      </c>
      <c r="B23" s="569"/>
      <c r="C23" s="570"/>
      <c r="D23" s="906">
        <f t="shared" ref="D23:U23" si="22">D6-D39</f>
        <v>641452.79999999981</v>
      </c>
      <c r="E23" s="906">
        <f t="shared" si="22"/>
        <v>320726.39999999991</v>
      </c>
      <c r="F23" s="207">
        <f t="shared" si="22"/>
        <v>0.22195113959888157</v>
      </c>
      <c r="G23" s="651"/>
      <c r="H23" s="652"/>
      <c r="I23" s="906">
        <f t="shared" si="22"/>
        <v>-11290.189999999944</v>
      </c>
      <c r="J23" s="906">
        <f t="shared" si="22"/>
        <v>-5645.0949999999721</v>
      </c>
      <c r="K23" s="207">
        <f t="shared" si="22"/>
        <v>-0.4256145516069636</v>
      </c>
      <c r="L23" s="653"/>
      <c r="M23" s="654"/>
      <c r="N23" s="906">
        <f t="shared" si="22"/>
        <v>57716.459999999963</v>
      </c>
      <c r="O23" s="906">
        <f t="shared" si="22"/>
        <v>28858.229999999981</v>
      </c>
      <c r="P23" s="207">
        <f t="shared" si="22"/>
        <v>0.65961613361240579</v>
      </c>
      <c r="Q23" s="569"/>
      <c r="R23" s="570"/>
      <c r="S23" s="906">
        <f t="shared" si="22"/>
        <v>32122.280000000028</v>
      </c>
      <c r="T23" s="906">
        <f t="shared" si="22"/>
        <v>16061.140000000014</v>
      </c>
      <c r="U23" s="207">
        <f t="shared" si="22"/>
        <v>-0.18595573815570288</v>
      </c>
    </row>
    <row r="24" spans="1:21" s="208" customFormat="1">
      <c r="A24" s="486" t="s">
        <v>7</v>
      </c>
      <c r="B24" s="569"/>
      <c r="C24" s="570"/>
      <c r="D24" s="906">
        <f t="shared" ref="D24:U24" si="23">D7-D40</f>
        <v>278736.67000000004</v>
      </c>
      <c r="E24" s="906">
        <f t="shared" si="23"/>
        <v>139368.33500000002</v>
      </c>
      <c r="F24" s="207">
        <f t="shared" si="23"/>
        <v>0.29085859620509791</v>
      </c>
      <c r="G24" s="649"/>
      <c r="H24" s="650"/>
      <c r="I24" s="906">
        <f t="shared" si="23"/>
        <v>8403.5</v>
      </c>
      <c r="J24" s="906">
        <f t="shared" si="23"/>
        <v>4201.75</v>
      </c>
      <c r="K24" s="207">
        <f t="shared" si="23"/>
        <v>-0.25171854706441943</v>
      </c>
      <c r="L24" s="569"/>
      <c r="M24" s="570"/>
      <c r="N24" s="906">
        <f t="shared" si="23"/>
        <v>-18471.18</v>
      </c>
      <c r="O24" s="906">
        <f t="shared" si="23"/>
        <v>-9235.59</v>
      </c>
      <c r="P24" s="207">
        <f t="shared" si="23"/>
        <v>-7.9667788062189465E-2</v>
      </c>
      <c r="Q24" s="569"/>
      <c r="R24" s="570"/>
      <c r="S24" s="906">
        <f t="shared" si="23"/>
        <v>-9447</v>
      </c>
      <c r="T24" s="906">
        <f t="shared" si="23"/>
        <v>-4723.5</v>
      </c>
      <c r="U24" s="207">
        <f t="shared" si="23"/>
        <v>-4.3560350759502167E-2</v>
      </c>
    </row>
    <row r="25" spans="1:21" s="208" customFormat="1">
      <c r="A25" s="486" t="s">
        <v>0</v>
      </c>
      <c r="B25" s="655"/>
      <c r="C25" s="656"/>
      <c r="D25" s="906">
        <f t="shared" ref="D25:U25" si="24">D8-D41</f>
        <v>493859</v>
      </c>
      <c r="E25" s="906">
        <f t="shared" si="24"/>
        <v>246929.5</v>
      </c>
      <c r="F25" s="207">
        <f t="shared" si="24"/>
        <v>0.3001628698723704</v>
      </c>
      <c r="G25" s="651"/>
      <c r="H25" s="652"/>
      <c r="I25" s="906">
        <f t="shared" si="24"/>
        <v>87580</v>
      </c>
      <c r="J25" s="906">
        <f t="shared" si="24"/>
        <v>43790</v>
      </c>
      <c r="K25" s="207">
        <f t="shared" si="24"/>
        <v>-0.30200603856658326</v>
      </c>
      <c r="L25" s="188"/>
      <c r="M25" s="230"/>
      <c r="N25" s="906">
        <f t="shared" si="24"/>
        <v>-275302</v>
      </c>
      <c r="O25" s="906">
        <f t="shared" si="24"/>
        <v>-137651</v>
      </c>
      <c r="P25" s="207">
        <f t="shared" si="24"/>
        <v>-1.2435319568760037</v>
      </c>
      <c r="Q25" s="188"/>
      <c r="R25" s="230"/>
      <c r="S25" s="906">
        <f t="shared" si="24"/>
        <v>378172</v>
      </c>
      <c r="T25" s="906">
        <f t="shared" si="24"/>
        <v>189086</v>
      </c>
      <c r="U25" s="207">
        <f t="shared" si="24"/>
        <v>0.95967637429236907</v>
      </c>
    </row>
    <row r="26" spans="1:21" s="208" customFormat="1">
      <c r="A26" s="486" t="s">
        <v>1</v>
      </c>
      <c r="B26" s="655"/>
      <c r="C26" s="656"/>
      <c r="D26" s="906">
        <f t="shared" ref="D26:U26" si="25">D9-D42</f>
        <v>-53693</v>
      </c>
      <c r="E26" s="906">
        <f t="shared" si="25"/>
        <v>-26846.5</v>
      </c>
      <c r="F26" s="207">
        <f t="shared" si="25"/>
        <v>-0.36229922952778892</v>
      </c>
      <c r="G26" s="651"/>
      <c r="H26" s="652"/>
      <c r="I26" s="906">
        <f t="shared" si="25"/>
        <v>87662.540000000037</v>
      </c>
      <c r="J26" s="906">
        <f t="shared" si="25"/>
        <v>43831.270000000019</v>
      </c>
      <c r="K26" s="207">
        <f t="shared" si="25"/>
        <v>0.28857037064208502</v>
      </c>
      <c r="L26" s="569"/>
      <c r="M26" s="570"/>
      <c r="N26" s="906">
        <f t="shared" si="25"/>
        <v>12198.740000000002</v>
      </c>
      <c r="O26" s="906">
        <f t="shared" si="25"/>
        <v>6099.3700000000008</v>
      </c>
      <c r="P26" s="207">
        <f t="shared" si="25"/>
        <v>8.3053393620641E-2</v>
      </c>
      <c r="Q26" s="569"/>
      <c r="R26" s="570"/>
      <c r="S26" s="906">
        <f t="shared" si="25"/>
        <v>-33252.259999999995</v>
      </c>
      <c r="T26" s="906">
        <f t="shared" si="25"/>
        <v>-16626.129999999997</v>
      </c>
      <c r="U26" s="207">
        <f t="shared" si="25"/>
        <v>-0.20480934973523174</v>
      </c>
    </row>
    <row r="27" spans="1:21" s="208" customFormat="1">
      <c r="A27" s="486" t="s">
        <v>4</v>
      </c>
      <c r="B27" s="569"/>
      <c r="C27" s="570"/>
      <c r="D27" s="906">
        <f t="shared" ref="D27:U27" si="26">D10-D43</f>
        <v>216089</v>
      </c>
      <c r="E27" s="906">
        <f t="shared" si="26"/>
        <v>108044.5</v>
      </c>
      <c r="F27" s="207">
        <f t="shared" si="26"/>
        <v>0.11578424969271017</v>
      </c>
      <c r="G27" s="651"/>
      <c r="H27" s="652"/>
      <c r="I27" s="906">
        <f t="shared" si="26"/>
        <v>-65534.859999999986</v>
      </c>
      <c r="J27" s="906">
        <f t="shared" si="26"/>
        <v>-32767.429999999993</v>
      </c>
      <c r="K27" s="207">
        <f t="shared" si="26"/>
        <v>-0.97977310103499526</v>
      </c>
      <c r="L27" s="569"/>
      <c r="M27" s="570"/>
      <c r="N27" s="906">
        <f t="shared" si="26"/>
        <v>-18023.190000000002</v>
      </c>
      <c r="O27" s="906">
        <f t="shared" si="26"/>
        <v>-9011.5950000000012</v>
      </c>
      <c r="P27" s="207">
        <f t="shared" si="26"/>
        <v>-4.8164226216627082E-2</v>
      </c>
      <c r="Q27" s="569"/>
      <c r="R27" s="570"/>
      <c r="S27" s="906">
        <f t="shared" si="26"/>
        <v>65312</v>
      </c>
      <c r="T27" s="906">
        <f t="shared" si="26"/>
        <v>32656</v>
      </c>
      <c r="U27" s="207">
        <f t="shared" si="26"/>
        <v>0.10006877359410421</v>
      </c>
    </row>
    <row r="28" spans="1:21" s="208" customFormat="1">
      <c r="A28" s="486" t="s">
        <v>17</v>
      </c>
      <c r="B28" s="569"/>
      <c r="C28" s="570"/>
      <c r="D28" s="906">
        <f t="shared" ref="D28:U28" si="27">D11-D44</f>
        <v>20785</v>
      </c>
      <c r="E28" s="906">
        <f t="shared" si="27"/>
        <v>10392.5</v>
      </c>
      <c r="F28" s="207">
        <f t="shared" si="27"/>
        <v>2.085662539808969E-2</v>
      </c>
      <c r="G28" s="651"/>
      <c r="H28" s="652"/>
      <c r="I28" s="906">
        <f t="shared" si="27"/>
        <v>30791</v>
      </c>
      <c r="J28" s="906">
        <f t="shared" si="27"/>
        <v>15395.5</v>
      </c>
      <c r="K28" s="207">
        <f t="shared" si="27"/>
        <v>0.24043159028251898</v>
      </c>
      <c r="L28" s="569"/>
      <c r="M28" s="570"/>
      <c r="N28" s="906">
        <f t="shared" si="27"/>
        <v>256394</v>
      </c>
      <c r="O28" s="906">
        <f t="shared" si="27"/>
        <v>128197</v>
      </c>
      <c r="P28" s="207">
        <f t="shared" si="27"/>
        <v>1.6554685967862639</v>
      </c>
      <c r="Q28" s="569"/>
      <c r="R28" s="570"/>
      <c r="S28" s="906">
        <f t="shared" si="27"/>
        <v>-64682.21</v>
      </c>
      <c r="T28" s="906">
        <f t="shared" si="27"/>
        <v>-32341.105</v>
      </c>
      <c r="U28" s="207">
        <f t="shared" si="27"/>
        <v>-0.25364762235095523</v>
      </c>
    </row>
    <row r="29" spans="1:21" s="208" customFormat="1">
      <c r="A29" s="500" t="s">
        <v>205</v>
      </c>
      <c r="B29" s="569"/>
      <c r="C29" s="570"/>
      <c r="D29" s="906">
        <f t="shared" ref="D29:U29" si="28">D12-D45</f>
        <v>-16935</v>
      </c>
      <c r="E29" s="906">
        <f t="shared" si="28"/>
        <v>-8467.5</v>
      </c>
      <c r="F29" s="207">
        <f t="shared" si="28"/>
        <v>-3.3399229413985376E-2</v>
      </c>
      <c r="G29" s="651"/>
      <c r="H29" s="652"/>
      <c r="I29" s="906">
        <f t="shared" si="28"/>
        <v>0</v>
      </c>
      <c r="J29" s="906">
        <f t="shared" si="28"/>
        <v>0</v>
      </c>
      <c r="K29" s="207">
        <f t="shared" si="28"/>
        <v>0</v>
      </c>
      <c r="L29" s="569"/>
      <c r="M29" s="570"/>
      <c r="N29" s="906">
        <f t="shared" si="28"/>
        <v>-15000</v>
      </c>
      <c r="O29" s="906">
        <f t="shared" si="28"/>
        <v>-7500</v>
      </c>
      <c r="P29" s="207">
        <f t="shared" si="28"/>
        <v>-7.4388375937124454E-2</v>
      </c>
      <c r="Q29" s="569"/>
      <c r="R29" s="570"/>
      <c r="S29" s="906">
        <f t="shared" si="28"/>
        <v>-15843</v>
      </c>
      <c r="T29" s="906">
        <f t="shared" si="28"/>
        <v>-7921.5</v>
      </c>
      <c r="U29" s="207">
        <f t="shared" si="28"/>
        <v>-6.9284186185337326E-2</v>
      </c>
    </row>
    <row r="30" spans="1:21" s="208" customFormat="1">
      <c r="A30" s="517" t="s">
        <v>64</v>
      </c>
      <c r="B30" s="569"/>
      <c r="C30" s="570"/>
      <c r="D30" s="906">
        <f t="shared" ref="D30:U30" si="29">D13-D46</f>
        <v>0</v>
      </c>
      <c r="E30" s="906">
        <f t="shared" si="29"/>
        <v>0</v>
      </c>
      <c r="F30" s="207">
        <f t="shared" si="29"/>
        <v>0</v>
      </c>
      <c r="G30" s="651"/>
      <c r="H30" s="652"/>
      <c r="I30" s="906">
        <f t="shared" si="29"/>
        <v>0</v>
      </c>
      <c r="J30" s="906">
        <f t="shared" si="29"/>
        <v>0</v>
      </c>
      <c r="K30" s="207">
        <f t="shared" si="29"/>
        <v>0</v>
      </c>
      <c r="L30" s="569"/>
      <c r="M30" s="570"/>
      <c r="N30" s="906">
        <f t="shared" si="29"/>
        <v>0</v>
      </c>
      <c r="O30" s="906">
        <f t="shared" si="29"/>
        <v>0</v>
      </c>
      <c r="P30" s="207">
        <f t="shared" si="29"/>
        <v>0</v>
      </c>
      <c r="Q30" s="569"/>
      <c r="R30" s="570"/>
      <c r="S30" s="906">
        <f t="shared" si="29"/>
        <v>-568006.96</v>
      </c>
      <c r="T30" s="906">
        <f t="shared" si="29"/>
        <v>-284003.48</v>
      </c>
      <c r="U30" s="207">
        <f t="shared" si="29"/>
        <v>-3.6180396565185884</v>
      </c>
    </row>
    <row r="31" spans="1:21" s="208" customFormat="1" ht="15.75" thickBot="1">
      <c r="A31" s="258" t="s">
        <v>2</v>
      </c>
      <c r="B31" s="231"/>
      <c r="C31" s="232"/>
      <c r="D31" s="909">
        <f t="shared" ref="D31:U31" si="30">SUM(D21:D30)</f>
        <v>1654340.2799999998</v>
      </c>
      <c r="E31" s="909">
        <f t="shared" si="30"/>
        <v>827170.1399999999</v>
      </c>
      <c r="F31" s="224">
        <f t="shared" si="30"/>
        <v>0.11282540469737695</v>
      </c>
      <c r="G31" s="225"/>
      <c r="H31" s="226"/>
      <c r="I31" s="909">
        <f t="shared" si="30"/>
        <v>166764.99000000011</v>
      </c>
      <c r="J31" s="909">
        <f t="shared" si="30"/>
        <v>83382.495000000054</v>
      </c>
      <c r="K31" s="224">
        <f t="shared" si="30"/>
        <v>-1.5423692579820178</v>
      </c>
      <c r="L31" s="231"/>
      <c r="M31" s="232"/>
      <c r="N31" s="909">
        <f t="shared" si="30"/>
        <v>970712.80999999982</v>
      </c>
      <c r="O31" s="909">
        <f t="shared" si="30"/>
        <v>485356.40499999991</v>
      </c>
      <c r="P31" s="224">
        <f t="shared" si="30"/>
        <v>7.7499378511427386</v>
      </c>
      <c r="Q31" s="231"/>
      <c r="R31" s="232"/>
      <c r="S31" s="909">
        <f t="shared" si="30"/>
        <v>-287209.14999999997</v>
      </c>
      <c r="T31" s="909">
        <f t="shared" si="30"/>
        <v>-143604.57499999998</v>
      </c>
      <c r="U31" s="224">
        <f t="shared" si="30"/>
        <v>-3.7431062461144511</v>
      </c>
    </row>
    <row r="32" spans="1:21">
      <c r="A32" s="50"/>
      <c r="F32" s="59"/>
      <c r="K32" s="59"/>
      <c r="P32" s="59"/>
    </row>
    <row r="33" spans="1:21">
      <c r="A33" s="50"/>
      <c r="F33" s="59"/>
      <c r="K33" s="59"/>
      <c r="P33" s="59"/>
    </row>
    <row r="35" spans="1:21" ht="15.75" thickBot="1">
      <c r="A35" s="109" t="s">
        <v>229</v>
      </c>
    </row>
    <row r="36" spans="1:21" s="112" customFormat="1">
      <c r="A36" s="510" t="s">
        <v>2</v>
      </c>
      <c r="B36" s="220"/>
      <c r="C36" s="221"/>
      <c r="D36" s="618">
        <v>13200300.67</v>
      </c>
      <c r="E36" s="618">
        <f>D36/2</f>
        <v>6600150.335</v>
      </c>
      <c r="F36" s="223">
        <v>18.399999999999999</v>
      </c>
      <c r="G36" s="220"/>
      <c r="H36" s="221"/>
      <c r="I36" s="618">
        <v>3332962.67</v>
      </c>
      <c r="J36" s="618">
        <f t="shared" ref="J36:J46" si="31">I36/2</f>
        <v>1666481.335</v>
      </c>
      <c r="K36" s="223">
        <v>28.87</v>
      </c>
      <c r="L36" s="227"/>
      <c r="M36" s="228"/>
      <c r="N36" s="618">
        <v>2750429.7200000007</v>
      </c>
      <c r="O36" s="618">
        <f t="shared" ref="O36:O46" si="32">N36/2</f>
        <v>1375214.8600000003</v>
      </c>
      <c r="P36" s="223">
        <v>13.64</v>
      </c>
      <c r="Q36" s="227"/>
      <c r="R36" s="228"/>
      <c r="S36" s="618">
        <v>3464157.0100000007</v>
      </c>
      <c r="T36" s="618">
        <v>1732078.5050000004</v>
      </c>
      <c r="U36" s="223">
        <v>13.073733603552995</v>
      </c>
    </row>
    <row r="37" spans="1:21" s="208" customFormat="1">
      <c r="A37" s="486" t="s">
        <v>6</v>
      </c>
      <c r="B37" s="569"/>
      <c r="C37" s="570"/>
      <c r="D37" s="906">
        <v>218395</v>
      </c>
      <c r="E37" s="906">
        <f t="shared" ref="E37:E46" si="33">D37/2</f>
        <v>109197.5</v>
      </c>
      <c r="F37" s="207">
        <f>E37/E$36*F$36</f>
        <v>0.30442245979537974</v>
      </c>
      <c r="G37" s="649"/>
      <c r="H37" s="650"/>
      <c r="I37" s="906">
        <v>111809</v>
      </c>
      <c r="J37" s="906">
        <f t="shared" si="31"/>
        <v>55904.5</v>
      </c>
      <c r="K37" s="207">
        <f>J37/J$36*K$36</f>
        <v>0.96848544361284428</v>
      </c>
      <c r="L37" s="569"/>
      <c r="M37" s="570"/>
      <c r="N37" s="906">
        <v>104617</v>
      </c>
      <c r="O37" s="906">
        <f t="shared" si="32"/>
        <v>52308.5</v>
      </c>
      <c r="P37" s="207">
        <f>O37/O$36*P$36</f>
        <v>0.51881924836094329</v>
      </c>
      <c r="Q37" s="569"/>
      <c r="R37" s="570"/>
      <c r="S37" s="906">
        <v>188962</v>
      </c>
      <c r="T37" s="906">
        <f t="shared" ref="T37:T46" si="34">S37/2</f>
        <v>94481</v>
      </c>
      <c r="U37" s="207">
        <f t="shared" ref="U37:U46" si="35">T37/T$36*U$36</f>
        <v>0.71314286334688404</v>
      </c>
    </row>
    <row r="38" spans="1:21" s="208" customFormat="1">
      <c r="A38" s="486" t="s">
        <v>3</v>
      </c>
      <c r="B38" s="569"/>
      <c r="C38" s="570"/>
      <c r="D38" s="906">
        <v>3394192</v>
      </c>
      <c r="E38" s="906">
        <f t="shared" si="33"/>
        <v>1697096</v>
      </c>
      <c r="F38" s="207">
        <f t="shared" ref="F38:F46" si="36">E38/E$36*F$36</f>
        <v>4.7311901722008267</v>
      </c>
      <c r="G38" s="651"/>
      <c r="H38" s="652"/>
      <c r="I38" s="906">
        <v>286452</v>
      </c>
      <c r="J38" s="906">
        <f t="shared" si="31"/>
        <v>143226</v>
      </c>
      <c r="K38" s="207">
        <f t="shared" ref="K38:K46" si="37">J38/J$36*K$36</f>
        <v>2.4812366830379173</v>
      </c>
      <c r="L38" s="653"/>
      <c r="M38" s="654"/>
      <c r="N38" s="906">
        <v>1435173</v>
      </c>
      <c r="O38" s="906">
        <f t="shared" si="32"/>
        <v>717586.5</v>
      </c>
      <c r="P38" s="207">
        <f t="shared" ref="P38:P46" si="38">O38/O$36*P$36</f>
        <v>7.1173459105873809</v>
      </c>
      <c r="Q38" s="569"/>
      <c r="R38" s="570"/>
      <c r="S38" s="906">
        <v>70665</v>
      </c>
      <c r="T38" s="906">
        <f t="shared" si="34"/>
        <v>35332.5</v>
      </c>
      <c r="U38" s="207">
        <f t="shared" si="35"/>
        <v>0.26668981296984351</v>
      </c>
    </row>
    <row r="39" spans="1:21" s="208" customFormat="1">
      <c r="A39" s="486" t="s">
        <v>5</v>
      </c>
      <c r="B39" s="569"/>
      <c r="C39" s="570"/>
      <c r="D39" s="906">
        <v>3911275</v>
      </c>
      <c r="E39" s="906">
        <f t="shared" si="33"/>
        <v>1955637.5</v>
      </c>
      <c r="F39" s="207">
        <f t="shared" si="36"/>
        <v>5.4519561182086305</v>
      </c>
      <c r="G39" s="651"/>
      <c r="H39" s="652"/>
      <c r="I39" s="906">
        <v>395396</v>
      </c>
      <c r="J39" s="906">
        <f t="shared" si="31"/>
        <v>197698</v>
      </c>
      <c r="K39" s="207">
        <f t="shared" si="37"/>
        <v>3.424905602078046</v>
      </c>
      <c r="L39" s="653"/>
      <c r="M39" s="654"/>
      <c r="N39" s="906">
        <v>415529</v>
      </c>
      <c r="O39" s="906">
        <f t="shared" si="32"/>
        <v>207764.5</v>
      </c>
      <c r="P39" s="207">
        <f t="shared" si="38"/>
        <v>2.0607018309851592</v>
      </c>
      <c r="Q39" s="569"/>
      <c r="R39" s="570"/>
      <c r="S39" s="906">
        <v>334875</v>
      </c>
      <c r="T39" s="906">
        <f t="shared" si="34"/>
        <v>167437.5</v>
      </c>
      <c r="U39" s="207">
        <f t="shared" si="35"/>
        <v>1.2638187379647114</v>
      </c>
    </row>
    <row r="40" spans="1:21" s="208" customFormat="1">
      <c r="A40" s="486" t="s">
        <v>7</v>
      </c>
      <c r="B40" s="569"/>
      <c r="C40" s="570"/>
      <c r="D40" s="906">
        <v>382826</v>
      </c>
      <c r="E40" s="906">
        <f t="shared" si="33"/>
        <v>191413</v>
      </c>
      <c r="F40" s="207">
        <f t="shared" si="36"/>
        <v>0.53362408751860646</v>
      </c>
      <c r="G40" s="649"/>
      <c r="H40" s="650"/>
      <c r="I40" s="906">
        <v>371824</v>
      </c>
      <c r="J40" s="906">
        <f t="shared" si="31"/>
        <v>185912</v>
      </c>
      <c r="K40" s="207">
        <f t="shared" si="37"/>
        <v>3.2207258054888448</v>
      </c>
      <c r="L40" s="569"/>
      <c r="M40" s="570"/>
      <c r="N40" s="906">
        <v>33598</v>
      </c>
      <c r="O40" s="906">
        <f t="shared" si="32"/>
        <v>16799</v>
      </c>
      <c r="P40" s="207">
        <f t="shared" si="38"/>
        <v>0.16662004364903385</v>
      </c>
      <c r="Q40" s="569"/>
      <c r="R40" s="570"/>
      <c r="S40" s="906">
        <v>18894</v>
      </c>
      <c r="T40" s="906">
        <f t="shared" si="34"/>
        <v>9447</v>
      </c>
      <c r="U40" s="207">
        <f t="shared" si="35"/>
        <v>7.1305983531482667E-2</v>
      </c>
    </row>
    <row r="41" spans="1:21" s="208" customFormat="1">
      <c r="A41" s="486" t="s">
        <v>0</v>
      </c>
      <c r="B41" s="655"/>
      <c r="C41" s="656"/>
      <c r="D41" s="906">
        <v>2135680</v>
      </c>
      <c r="E41" s="906">
        <f t="shared" si="33"/>
        <v>1067840</v>
      </c>
      <c r="F41" s="207">
        <f t="shared" si="36"/>
        <v>2.9769406760035566</v>
      </c>
      <c r="G41" s="651"/>
      <c r="H41" s="652"/>
      <c r="I41" s="906">
        <v>1155149</v>
      </c>
      <c r="J41" s="906">
        <f t="shared" si="31"/>
        <v>577574.5</v>
      </c>
      <c r="K41" s="207">
        <f t="shared" si="37"/>
        <v>10.005858130418245</v>
      </c>
      <c r="L41" s="188"/>
      <c r="M41" s="230"/>
      <c r="N41" s="906">
        <v>429616</v>
      </c>
      <c r="O41" s="906">
        <f t="shared" si="32"/>
        <v>214808</v>
      </c>
      <c r="P41" s="207">
        <f t="shared" si="38"/>
        <v>2.1305624344402441</v>
      </c>
      <c r="Q41" s="188"/>
      <c r="R41" s="230"/>
      <c r="S41" s="906">
        <v>180409</v>
      </c>
      <c r="T41" s="906">
        <f t="shared" si="34"/>
        <v>90204.5</v>
      </c>
      <c r="U41" s="207">
        <f t="shared" si="35"/>
        <v>0.68086382888383912</v>
      </c>
    </row>
    <row r="42" spans="1:21" s="208" customFormat="1">
      <c r="A42" s="486" t="s">
        <v>1</v>
      </c>
      <c r="B42" s="655"/>
      <c r="C42" s="656"/>
      <c r="D42" s="906">
        <v>2000671</v>
      </c>
      <c r="E42" s="906">
        <f t="shared" si="33"/>
        <v>1000335.5</v>
      </c>
      <c r="F42" s="207">
        <f t="shared" si="36"/>
        <v>2.78875059896647</v>
      </c>
      <c r="G42" s="651"/>
      <c r="H42" s="652"/>
      <c r="I42" s="906">
        <v>463926</v>
      </c>
      <c r="J42" s="906">
        <f t="shared" si="31"/>
        <v>231963</v>
      </c>
      <c r="K42" s="207">
        <f t="shared" si="37"/>
        <v>4.01850994028685</v>
      </c>
      <c r="L42" s="569"/>
      <c r="M42" s="570"/>
      <c r="N42" s="906">
        <v>16391</v>
      </c>
      <c r="O42" s="906">
        <f t="shared" si="32"/>
        <v>8195.5</v>
      </c>
      <c r="P42" s="207">
        <f t="shared" si="38"/>
        <v>8.1286657999027137E-2</v>
      </c>
      <c r="Q42" s="569"/>
      <c r="R42" s="570"/>
      <c r="S42" s="906">
        <v>128011</v>
      </c>
      <c r="T42" s="906">
        <f t="shared" si="34"/>
        <v>64005.5</v>
      </c>
      <c r="U42" s="207">
        <f t="shared" si="35"/>
        <v>0.48311370053184222</v>
      </c>
    </row>
    <row r="43" spans="1:21" s="208" customFormat="1">
      <c r="A43" s="486" t="s">
        <v>4</v>
      </c>
      <c r="B43" s="569"/>
      <c r="C43" s="570"/>
      <c r="D43" s="906">
        <v>1039811</v>
      </c>
      <c r="E43" s="906">
        <f t="shared" si="33"/>
        <v>519905.5</v>
      </c>
      <c r="F43" s="207">
        <f t="shared" si="36"/>
        <v>1.4494005006629898</v>
      </c>
      <c r="G43" s="651"/>
      <c r="H43" s="652"/>
      <c r="I43" s="906">
        <v>548407</v>
      </c>
      <c r="J43" s="906">
        <f t="shared" si="31"/>
        <v>274203.5</v>
      </c>
      <c r="K43" s="207">
        <f t="shared" si="37"/>
        <v>4.7502812535251104</v>
      </c>
      <c r="L43" s="569"/>
      <c r="M43" s="570"/>
      <c r="N43" s="906">
        <v>70263</v>
      </c>
      <c r="O43" s="906">
        <f t="shared" si="32"/>
        <v>35131.5</v>
      </c>
      <c r="P43" s="207">
        <f t="shared" si="38"/>
        <v>0.34845003056467838</v>
      </c>
      <c r="Q43" s="569"/>
      <c r="R43" s="570"/>
      <c r="S43" s="906">
        <v>109616</v>
      </c>
      <c r="T43" s="906">
        <f t="shared" si="34"/>
        <v>54808</v>
      </c>
      <c r="U43" s="207">
        <f t="shared" si="35"/>
        <v>0.41369094372747989</v>
      </c>
    </row>
    <row r="44" spans="1:21" s="208" customFormat="1">
      <c r="A44" s="486" t="s">
        <v>17</v>
      </c>
      <c r="B44" s="569"/>
      <c r="C44" s="570"/>
      <c r="D44" s="906">
        <v>34184</v>
      </c>
      <c r="E44" s="906">
        <f t="shared" si="33"/>
        <v>17092</v>
      </c>
      <c r="F44" s="207">
        <f t="shared" si="36"/>
        <v>4.7649338884339212E-2</v>
      </c>
      <c r="G44" s="651"/>
      <c r="H44" s="652"/>
      <c r="I44" s="906">
        <v>0</v>
      </c>
      <c r="J44" s="906">
        <f t="shared" si="31"/>
        <v>0</v>
      </c>
      <c r="K44" s="207">
        <f t="shared" si="37"/>
        <v>0</v>
      </c>
      <c r="L44" s="569"/>
      <c r="M44" s="570"/>
      <c r="N44" s="906">
        <v>230243</v>
      </c>
      <c r="O44" s="906">
        <f t="shared" si="32"/>
        <v>115121.5</v>
      </c>
      <c r="P44" s="207">
        <f t="shared" si="38"/>
        <v>1.1418268560594229</v>
      </c>
      <c r="Q44" s="569"/>
      <c r="R44" s="570"/>
      <c r="S44" s="906">
        <v>76076</v>
      </c>
      <c r="T44" s="906">
        <f t="shared" si="34"/>
        <v>38038</v>
      </c>
      <c r="U44" s="207">
        <f t="shared" si="35"/>
        <v>0.28711093485450806</v>
      </c>
    </row>
    <row r="45" spans="1:21" s="208" customFormat="1">
      <c r="A45" s="500" t="s">
        <v>205</v>
      </c>
      <c r="B45" s="569"/>
      <c r="C45" s="570"/>
      <c r="D45" s="906">
        <v>83267</v>
      </c>
      <c r="E45" s="906">
        <f t="shared" si="33"/>
        <v>41633.5</v>
      </c>
      <c r="F45" s="207">
        <f t="shared" si="36"/>
        <v>0.11606650774872085</v>
      </c>
      <c r="G45" s="651"/>
      <c r="H45" s="652"/>
      <c r="I45" s="906">
        <v>0</v>
      </c>
      <c r="J45" s="906">
        <f t="shared" si="31"/>
        <v>0</v>
      </c>
      <c r="K45" s="207">
        <f t="shared" si="37"/>
        <v>0</v>
      </c>
      <c r="L45" s="569"/>
      <c r="M45" s="570"/>
      <c r="N45" s="906">
        <v>15000</v>
      </c>
      <c r="O45" s="906">
        <f t="shared" si="32"/>
        <v>7500</v>
      </c>
      <c r="P45" s="207">
        <f t="shared" si="38"/>
        <v>7.4388375937124454E-2</v>
      </c>
      <c r="Q45" s="569"/>
      <c r="R45" s="570"/>
      <c r="S45" s="906">
        <v>27184</v>
      </c>
      <c r="T45" s="906">
        <f t="shared" si="34"/>
        <v>13592</v>
      </c>
      <c r="U45" s="207">
        <f t="shared" si="35"/>
        <v>0.10259245561129592</v>
      </c>
    </row>
    <row r="46" spans="1:21" s="208" customFormat="1">
      <c r="A46" s="517" t="s">
        <v>64</v>
      </c>
      <c r="B46" s="569"/>
      <c r="C46" s="570"/>
      <c r="D46" s="906">
        <v>0</v>
      </c>
      <c r="E46" s="906">
        <f t="shared" si="33"/>
        <v>0</v>
      </c>
      <c r="F46" s="207">
        <f t="shared" si="36"/>
        <v>0</v>
      </c>
      <c r="G46" s="651"/>
      <c r="H46" s="652"/>
      <c r="I46" s="906">
        <v>0</v>
      </c>
      <c r="J46" s="906">
        <f t="shared" si="31"/>
        <v>0</v>
      </c>
      <c r="K46" s="207">
        <f t="shared" si="37"/>
        <v>0</v>
      </c>
      <c r="L46" s="569"/>
      <c r="M46" s="570"/>
      <c r="N46" s="906">
        <v>0</v>
      </c>
      <c r="O46" s="906">
        <f t="shared" si="32"/>
        <v>0</v>
      </c>
      <c r="P46" s="207">
        <f t="shared" si="38"/>
        <v>0</v>
      </c>
      <c r="Q46" s="569"/>
      <c r="R46" s="570"/>
      <c r="S46" s="906">
        <v>2329464</v>
      </c>
      <c r="T46" s="906">
        <f t="shared" si="34"/>
        <v>1164732</v>
      </c>
      <c r="U46" s="207">
        <f t="shared" si="35"/>
        <v>8.7914005303896339</v>
      </c>
    </row>
    <row r="47" spans="1:21" s="208" customFormat="1" ht="15.75" thickBot="1">
      <c r="A47" s="258" t="s">
        <v>2</v>
      </c>
      <c r="B47" s="231">
        <f>SUM(B37:B46)</f>
        <v>0</v>
      </c>
      <c r="C47" s="232">
        <f t="shared" ref="C47:U47" si="39">SUM(C37:C46)</f>
        <v>0</v>
      </c>
      <c r="D47" s="909">
        <f t="shared" si="39"/>
        <v>13200301</v>
      </c>
      <c r="E47" s="909">
        <f t="shared" si="39"/>
        <v>6600150.5</v>
      </c>
      <c r="F47" s="224">
        <f t="shared" si="39"/>
        <v>18.400000459989521</v>
      </c>
      <c r="G47" s="225">
        <f t="shared" si="39"/>
        <v>0</v>
      </c>
      <c r="H47" s="226">
        <f t="shared" si="39"/>
        <v>0</v>
      </c>
      <c r="I47" s="909">
        <f t="shared" si="39"/>
        <v>3332963</v>
      </c>
      <c r="J47" s="909">
        <f t="shared" si="39"/>
        <v>1666481.5</v>
      </c>
      <c r="K47" s="224">
        <f t="shared" si="39"/>
        <v>28.870002858447858</v>
      </c>
      <c r="L47" s="231">
        <f t="shared" si="39"/>
        <v>0</v>
      </c>
      <c r="M47" s="232">
        <f t="shared" si="39"/>
        <v>0</v>
      </c>
      <c r="N47" s="909">
        <f t="shared" si="39"/>
        <v>2750430</v>
      </c>
      <c r="O47" s="909">
        <f t="shared" si="39"/>
        <v>1375215</v>
      </c>
      <c r="P47" s="224">
        <f t="shared" si="39"/>
        <v>13.640001388583013</v>
      </c>
      <c r="Q47" s="231">
        <f t="shared" si="39"/>
        <v>0</v>
      </c>
      <c r="R47" s="232">
        <f t="shared" si="39"/>
        <v>0</v>
      </c>
      <c r="S47" s="909">
        <f t="shared" si="39"/>
        <v>3464156</v>
      </c>
      <c r="T47" s="909">
        <f t="shared" si="39"/>
        <v>1732078</v>
      </c>
      <c r="U47" s="224">
        <f t="shared" si="39"/>
        <v>13.073729791811521</v>
      </c>
    </row>
  </sheetData>
  <sheetProtection algorithmName="SHA-512" hashValue="c3KZUqdujNkX9QSyXe2iTeCO5WIPz3dBYMoKrK8fPV0uoFTV8nsLRF2Sp5cjJdJMX82mRnXYqCnAYlbeZSDr6w==" saltValue="3FHso8GPbpo707JSf2QP9w==" spinCount="100000" sheet="1" objects="1" scenarios="1"/>
  <mergeCells count="5">
    <mergeCell ref="A1:A2"/>
    <mergeCell ref="B1:F1"/>
    <mergeCell ref="G1:K1"/>
    <mergeCell ref="L1:P1"/>
    <mergeCell ref="Q1:U1"/>
  </mergeCells>
  <conditionalFormatting sqref="A20:XFD31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L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7" sqref="L7"/>
    </sheetView>
  </sheetViews>
  <sheetFormatPr defaultRowHeight="15"/>
  <cols>
    <col min="1" max="1" width="47.28515625" customWidth="1"/>
    <col min="2" max="12" width="12" customWidth="1"/>
  </cols>
  <sheetData>
    <row r="1" spans="1:12" ht="15.75" thickBot="1"/>
    <row r="2" spans="1:12" ht="60.75" thickBot="1">
      <c r="A2" s="918"/>
      <c r="B2" s="925" t="s">
        <v>365</v>
      </c>
      <c r="C2" s="926" t="s">
        <v>361</v>
      </c>
      <c r="D2" s="926" t="s">
        <v>362</v>
      </c>
      <c r="E2" s="927" t="s">
        <v>366</v>
      </c>
      <c r="F2" s="926" t="s">
        <v>363</v>
      </c>
      <c r="G2" s="927" t="s">
        <v>367</v>
      </c>
      <c r="H2" s="927" t="s">
        <v>368</v>
      </c>
      <c r="I2" s="927" t="s">
        <v>364</v>
      </c>
      <c r="J2" s="926" t="s">
        <v>344</v>
      </c>
      <c r="K2" s="927" t="s">
        <v>345</v>
      </c>
      <c r="L2" s="928" t="s">
        <v>369</v>
      </c>
    </row>
    <row r="3" spans="1:12">
      <c r="A3" s="510" t="s">
        <v>2</v>
      </c>
      <c r="B3" s="929">
        <v>399423.87</v>
      </c>
      <c r="C3" s="930">
        <v>0</v>
      </c>
      <c r="D3" s="930">
        <v>500770</v>
      </c>
      <c r="E3" s="930">
        <v>357440.42000000004</v>
      </c>
      <c r="F3" s="930">
        <v>41983.45</v>
      </c>
      <c r="G3" s="930">
        <v>109849.58</v>
      </c>
      <c r="H3" s="930">
        <v>467290</v>
      </c>
      <c r="I3" s="931">
        <v>432903.87</v>
      </c>
      <c r="J3" s="931"/>
      <c r="K3" s="931">
        <v>212669</v>
      </c>
      <c r="L3" s="931">
        <v>212669</v>
      </c>
    </row>
    <row r="4" spans="1:12">
      <c r="A4" s="486" t="s">
        <v>6</v>
      </c>
      <c r="B4" s="932">
        <v>52845.31</v>
      </c>
      <c r="C4" s="919">
        <v>0</v>
      </c>
      <c r="D4" s="919">
        <v>64283</v>
      </c>
      <c r="E4" s="919">
        <v>52845.31</v>
      </c>
      <c r="F4" s="919">
        <v>0</v>
      </c>
      <c r="G4" s="919">
        <v>7524.69</v>
      </c>
      <c r="H4" s="919">
        <f>E4+G4</f>
        <v>60370</v>
      </c>
      <c r="I4" s="823">
        <f>B4+D4-H4</f>
        <v>56758.31</v>
      </c>
      <c r="J4" s="936">
        <f>H4/H$3</f>
        <v>0.12919172248496652</v>
      </c>
      <c r="K4" s="823">
        <f>J4*(K$3+I$3)-I4</f>
        <v>26644.361064863377</v>
      </c>
      <c r="L4" s="933">
        <f>IF(K4&gt;0,K4*K$3/K$15,0)</f>
        <v>25360.917383681983</v>
      </c>
    </row>
    <row r="5" spans="1:12">
      <c r="A5" s="486" t="s">
        <v>3</v>
      </c>
      <c r="B5" s="932">
        <v>79095.869999999966</v>
      </c>
      <c r="C5" s="919">
        <v>0</v>
      </c>
      <c r="D5" s="919">
        <v>43466</v>
      </c>
      <c r="E5" s="919">
        <v>76400</v>
      </c>
      <c r="F5" s="919">
        <v>2695.8699999999662</v>
      </c>
      <c r="G5" s="919">
        <v>0</v>
      </c>
      <c r="H5" s="919">
        <f t="shared" ref="H5:H13" si="0">E5+G5</f>
        <v>76400</v>
      </c>
      <c r="I5" s="823">
        <f t="shared" ref="I5:I13" si="1">B5+D5-H5</f>
        <v>46161.869999999966</v>
      </c>
      <c r="J5" s="936">
        <f t="shared" ref="J5:J13" si="2">H5/H$3</f>
        <v>0.16349590190245886</v>
      </c>
      <c r="K5" s="823">
        <f t="shared" ref="K5:K13" si="3">J5*(K$3+I$3)-I5</f>
        <v>59386.648624408859</v>
      </c>
      <c r="L5" s="933">
        <f t="shared" ref="L5:L13" si="4">IF(K5&gt;0,K5*K$3/K$15,0)</f>
        <v>56526.027619537024</v>
      </c>
    </row>
    <row r="6" spans="1:12">
      <c r="A6" s="486" t="s">
        <v>5</v>
      </c>
      <c r="B6" s="932">
        <v>56606</v>
      </c>
      <c r="C6" s="919">
        <v>0</v>
      </c>
      <c r="D6" s="919">
        <v>180494</v>
      </c>
      <c r="E6" s="919">
        <v>56606</v>
      </c>
      <c r="F6" s="919">
        <v>0</v>
      </c>
      <c r="G6" s="919">
        <v>39869</v>
      </c>
      <c r="H6" s="919">
        <f t="shared" si="0"/>
        <v>96475</v>
      </c>
      <c r="I6" s="823">
        <f t="shared" si="1"/>
        <v>140625</v>
      </c>
      <c r="J6" s="936">
        <f t="shared" si="2"/>
        <v>0.20645637612617432</v>
      </c>
      <c r="K6" s="823">
        <f t="shared" si="3"/>
        <v>-7342.3647344261699</v>
      </c>
      <c r="L6" s="933">
        <f t="shared" si="4"/>
        <v>0</v>
      </c>
    </row>
    <row r="7" spans="1:12">
      <c r="A7" s="486" t="s">
        <v>7</v>
      </c>
      <c r="B7" s="932">
        <v>21145.770000000033</v>
      </c>
      <c r="C7" s="919">
        <v>0</v>
      </c>
      <c r="D7" s="919">
        <v>59678</v>
      </c>
      <c r="E7" s="919">
        <v>21145.77</v>
      </c>
      <c r="F7" s="919">
        <v>3.2741809263825417E-11</v>
      </c>
      <c r="G7" s="919">
        <v>27959.23</v>
      </c>
      <c r="H7" s="919">
        <f t="shared" si="0"/>
        <v>49105</v>
      </c>
      <c r="I7" s="823">
        <f t="shared" si="1"/>
        <v>31718.770000000033</v>
      </c>
      <c r="J7" s="936">
        <f t="shared" si="2"/>
        <v>0.10508463694921782</v>
      </c>
      <c r="K7" s="823">
        <f t="shared" si="3"/>
        <v>36121.020668214565</v>
      </c>
      <c r="L7" s="933">
        <f t="shared" si="4"/>
        <v>34381.091697068106</v>
      </c>
    </row>
    <row r="8" spans="1:12">
      <c r="A8" s="486" t="s">
        <v>0</v>
      </c>
      <c r="B8" s="932">
        <v>122355.33000000002</v>
      </c>
      <c r="C8" s="919">
        <v>0</v>
      </c>
      <c r="D8" s="919">
        <v>64466</v>
      </c>
      <c r="E8" s="919">
        <v>113505</v>
      </c>
      <c r="F8" s="919">
        <v>8850.3300000000163</v>
      </c>
      <c r="G8" s="919">
        <v>0</v>
      </c>
      <c r="H8" s="919">
        <f t="shared" si="0"/>
        <v>113505</v>
      </c>
      <c r="I8" s="823">
        <f t="shared" si="1"/>
        <v>73316.330000000016</v>
      </c>
      <c r="J8" s="936">
        <f t="shared" si="2"/>
        <v>0.24290055425966744</v>
      </c>
      <c r="K8" s="823">
        <f t="shared" si="3"/>
        <v>83493.677938004228</v>
      </c>
      <c r="L8" s="933">
        <f t="shared" si="4"/>
        <v>79471.835075746974</v>
      </c>
    </row>
    <row r="9" spans="1:12">
      <c r="A9" s="486" t="s">
        <v>1</v>
      </c>
      <c r="B9" s="932">
        <v>26786.989999999991</v>
      </c>
      <c r="C9" s="919">
        <v>0</v>
      </c>
      <c r="D9" s="919">
        <v>18922</v>
      </c>
      <c r="E9" s="919">
        <v>0</v>
      </c>
      <c r="F9" s="919">
        <v>26786.989999999991</v>
      </c>
      <c r="G9" s="919">
        <v>23050</v>
      </c>
      <c r="H9" s="919">
        <f t="shared" si="0"/>
        <v>23050</v>
      </c>
      <c r="I9" s="823">
        <f t="shared" si="1"/>
        <v>22658.989999999991</v>
      </c>
      <c r="J9" s="936">
        <f t="shared" si="2"/>
        <v>4.9326970403817755E-2</v>
      </c>
      <c r="K9" s="823">
        <f t="shared" si="3"/>
        <v>9185.163851997695</v>
      </c>
      <c r="L9" s="933">
        <f t="shared" si="4"/>
        <v>8742.7197461786891</v>
      </c>
    </row>
    <row r="10" spans="1:12">
      <c r="A10" s="486" t="s">
        <v>4</v>
      </c>
      <c r="B10" s="932">
        <v>34018.339999999997</v>
      </c>
      <c r="C10" s="919">
        <v>0</v>
      </c>
      <c r="D10" s="919">
        <v>65657</v>
      </c>
      <c r="E10" s="919">
        <v>34018.339999999997</v>
      </c>
      <c r="F10" s="919">
        <v>0</v>
      </c>
      <c r="G10" s="919">
        <v>11446.66</v>
      </c>
      <c r="H10" s="919">
        <f t="shared" si="0"/>
        <v>45465</v>
      </c>
      <c r="I10" s="823">
        <f t="shared" si="1"/>
        <v>54210.34</v>
      </c>
      <c r="J10" s="936">
        <f t="shared" si="2"/>
        <v>9.7295041622975031E-2</v>
      </c>
      <c r="K10" s="823">
        <f t="shared" si="3"/>
        <v>8600.6992573134485</v>
      </c>
      <c r="L10" s="933">
        <f t="shared" si="4"/>
        <v>8186.4084777872231</v>
      </c>
    </row>
    <row r="11" spans="1:12">
      <c r="A11" s="486" t="s">
        <v>17</v>
      </c>
      <c r="B11" s="932">
        <v>6570.2599999999984</v>
      </c>
      <c r="C11" s="919">
        <v>0</v>
      </c>
      <c r="D11" s="919">
        <v>3804</v>
      </c>
      <c r="E11" s="919">
        <v>2920</v>
      </c>
      <c r="F11" s="919">
        <v>3650.2599999999984</v>
      </c>
      <c r="G11" s="919">
        <v>0</v>
      </c>
      <c r="H11" s="919">
        <f t="shared" si="0"/>
        <v>2920</v>
      </c>
      <c r="I11" s="823">
        <f t="shared" si="1"/>
        <v>7454.2599999999984</v>
      </c>
      <c r="J11" s="936">
        <f t="shared" si="2"/>
        <v>6.2487962507222494E-3</v>
      </c>
      <c r="K11" s="823">
        <f t="shared" si="3"/>
        <v>-3420.2066703759965</v>
      </c>
      <c r="L11" s="933">
        <f t="shared" si="4"/>
        <v>0</v>
      </c>
    </row>
    <row r="12" spans="1:12">
      <c r="A12" s="486" t="s">
        <v>205</v>
      </c>
      <c r="B12" s="932">
        <v>0</v>
      </c>
      <c r="C12" s="919">
        <v>0</v>
      </c>
      <c r="D12" s="919">
        <v>0</v>
      </c>
      <c r="E12" s="919">
        <v>0</v>
      </c>
      <c r="F12" s="919">
        <v>0</v>
      </c>
      <c r="G12" s="919">
        <v>0</v>
      </c>
      <c r="H12" s="919">
        <f t="shared" si="0"/>
        <v>0</v>
      </c>
      <c r="I12" s="823">
        <f t="shared" si="1"/>
        <v>0</v>
      </c>
      <c r="J12" s="936">
        <f t="shared" si="2"/>
        <v>0</v>
      </c>
      <c r="K12" s="823">
        <f t="shared" si="3"/>
        <v>0</v>
      </c>
      <c r="L12" s="934">
        <f t="shared" si="4"/>
        <v>0</v>
      </c>
    </row>
    <row r="13" spans="1:12">
      <c r="A13" s="517" t="s">
        <v>64</v>
      </c>
      <c r="B13" s="935">
        <v>0</v>
      </c>
      <c r="C13" s="924">
        <v>0</v>
      </c>
      <c r="D13" s="924">
        <v>0</v>
      </c>
      <c r="E13" s="924">
        <v>0</v>
      </c>
      <c r="F13" s="924">
        <v>0</v>
      </c>
      <c r="G13" s="924">
        <v>0</v>
      </c>
      <c r="H13" s="924">
        <f t="shared" si="0"/>
        <v>0</v>
      </c>
      <c r="I13" s="823">
        <f t="shared" si="1"/>
        <v>0</v>
      </c>
      <c r="J13" s="936">
        <f t="shared" si="2"/>
        <v>0</v>
      </c>
      <c r="K13" s="823">
        <f t="shared" si="3"/>
        <v>0</v>
      </c>
      <c r="L13" s="933">
        <f t="shared" si="4"/>
        <v>0</v>
      </c>
    </row>
    <row r="14" spans="1:12" ht="15.75" thickBot="1">
      <c r="A14" s="539" t="s">
        <v>2</v>
      </c>
      <c r="B14" s="632">
        <f>SUM(B4:B13)</f>
        <v>399423.87</v>
      </c>
      <c r="C14" s="637">
        <f t="shared" ref="C14:I14" si="5">SUM(C4:C13)</f>
        <v>0</v>
      </c>
      <c r="D14" s="637">
        <f t="shared" si="5"/>
        <v>500770</v>
      </c>
      <c r="E14" s="637">
        <f t="shared" si="5"/>
        <v>357440.41999999993</v>
      </c>
      <c r="F14" s="637">
        <f t="shared" si="5"/>
        <v>41983.45</v>
      </c>
      <c r="G14" s="637">
        <f t="shared" si="5"/>
        <v>109849.58</v>
      </c>
      <c r="H14" s="637">
        <f t="shared" si="5"/>
        <v>467290</v>
      </c>
      <c r="I14" s="637">
        <f t="shared" si="5"/>
        <v>432903.87</v>
      </c>
      <c r="J14" s="637">
        <f t="shared" ref="J14:K14" si="6">SUM(J4:J13)</f>
        <v>0.99999999999999978</v>
      </c>
      <c r="K14" s="637">
        <f t="shared" si="6"/>
        <v>212669</v>
      </c>
      <c r="L14" s="634">
        <f>SUM(L4:L13)</f>
        <v>212668.99999999997</v>
      </c>
    </row>
    <row r="15" spans="1:12">
      <c r="J15" s="938"/>
      <c r="K15" s="937">
        <f>SUMIFS(K4:K13,K4:K13,"&gt;0")</f>
        <v>223431.57140480218</v>
      </c>
    </row>
  </sheetData>
  <sheetProtection algorithmName="SHA-512" hashValue="sT5Xwd8xK0msyYCtsTAAh0mqPQiLgN9ETFGz0UB3pONOj/yDy00daw4LPWW/PpL+8vp34Nw+9pReRgtHtW7KVQ==" saltValue="wWJkb5poSyAYRF5XWw5sVA==" spinCount="100000" sheet="1" objects="1" scenario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U26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ColWidth="9.42578125" defaultRowHeight="15"/>
  <cols>
    <col min="1" max="1" width="64.42578125" style="50" bestFit="1" customWidth="1"/>
    <col min="2" max="10" width="13.28515625" style="50" customWidth="1"/>
    <col min="11" max="11" width="17.7109375" style="50" bestFit="1" customWidth="1"/>
    <col min="12" max="12" width="17.7109375" style="50" customWidth="1"/>
    <col min="13" max="13" width="15.28515625" style="50" bestFit="1" customWidth="1"/>
    <col min="14" max="17" width="13.42578125" style="50" customWidth="1"/>
    <col min="18" max="16384" width="9.42578125" style="50"/>
  </cols>
  <sheetData>
    <row r="1" spans="1:21" ht="15.75" thickBot="1">
      <c r="A1" s="50" t="s">
        <v>71</v>
      </c>
      <c r="J1" s="249"/>
      <c r="N1" s="1470" t="s">
        <v>72</v>
      </c>
      <c r="O1" s="1470"/>
      <c r="P1" s="1470" t="s">
        <v>462</v>
      </c>
      <c r="Q1" s="1470"/>
    </row>
    <row r="2" spans="1:21" ht="15.75" thickBot="1">
      <c r="M2" s="50" t="s">
        <v>73</v>
      </c>
      <c r="N2" s="741">
        <v>0.5</v>
      </c>
      <c r="O2" s="742">
        <v>1</v>
      </c>
      <c r="P2" s="741">
        <v>0.5</v>
      </c>
      <c r="Q2" s="742">
        <v>1</v>
      </c>
    </row>
    <row r="3" spans="1:21" ht="15.75" thickBot="1">
      <c r="A3" s="51"/>
      <c r="B3" s="1473" t="s">
        <v>74</v>
      </c>
      <c r="C3" s="1474"/>
      <c r="D3" s="1475"/>
      <c r="E3" s="1473">
        <v>2018</v>
      </c>
      <c r="F3" s="1474"/>
      <c r="G3" s="1475"/>
      <c r="H3" s="1473">
        <v>2017</v>
      </c>
      <c r="I3" s="1474"/>
      <c r="J3" s="1475"/>
      <c r="K3" s="1476" t="s">
        <v>371</v>
      </c>
      <c r="L3" s="1476" t="s">
        <v>461</v>
      </c>
      <c r="N3" s="1471" t="s">
        <v>75</v>
      </c>
      <c r="O3" s="1472"/>
      <c r="P3" s="1471" t="s">
        <v>463</v>
      </c>
      <c r="Q3" s="1472"/>
    </row>
    <row r="4" spans="1:21" ht="75" customHeight="1" thickBot="1">
      <c r="A4" s="52"/>
      <c r="B4" s="53" t="s">
        <v>76</v>
      </c>
      <c r="C4" s="54" t="s">
        <v>77</v>
      </c>
      <c r="D4" s="55" t="s">
        <v>78</v>
      </c>
      <c r="E4" s="53" t="s">
        <v>76</v>
      </c>
      <c r="F4" s="54" t="s">
        <v>77</v>
      </c>
      <c r="G4" s="55" t="s">
        <v>78</v>
      </c>
      <c r="H4" s="53" t="s">
        <v>76</v>
      </c>
      <c r="I4" s="54" t="s">
        <v>77</v>
      </c>
      <c r="J4" s="55" t="s">
        <v>78</v>
      </c>
      <c r="K4" s="1477"/>
      <c r="L4" s="1477"/>
      <c r="N4" s="749" t="s">
        <v>79</v>
      </c>
      <c r="O4" s="750" t="s">
        <v>80</v>
      </c>
      <c r="P4" s="749" t="s">
        <v>79</v>
      </c>
      <c r="Q4" s="750" t="s">
        <v>80</v>
      </c>
    </row>
    <row r="5" spans="1:21" s="56" customFormat="1">
      <c r="A5" s="510" t="s">
        <v>2</v>
      </c>
      <c r="B5" s="757">
        <v>14.852546085627266</v>
      </c>
      <c r="C5" s="1007">
        <v>1302</v>
      </c>
      <c r="D5" s="1065">
        <v>1.1407485472832001E-2</v>
      </c>
      <c r="E5" s="585">
        <v>15.316129281966873</v>
      </c>
      <c r="F5" s="1007">
        <v>1323.9</v>
      </c>
      <c r="G5" s="1065">
        <f t="shared" ref="G5:G15" si="0">+E5/F5</f>
        <v>1.156894726336345E-2</v>
      </c>
      <c r="H5" s="585">
        <v>15.92792787146136</v>
      </c>
      <c r="I5" s="1007">
        <v>1328.2</v>
      </c>
      <c r="J5" s="1065">
        <v>1.1992115548457581E-2</v>
      </c>
      <c r="K5" s="1068">
        <v>1.156894726336345E-2</v>
      </c>
      <c r="L5" s="1068">
        <f>MEDIAN(D5,G5,J5)</f>
        <v>1.156894726336345E-2</v>
      </c>
      <c r="M5" s="746" t="s">
        <v>16</v>
      </c>
      <c r="N5" s="753">
        <f t="shared" ref="N5:N13" si="1">$N$2*K5/$K$17+1-$N$2</f>
        <v>1.1346030329692485</v>
      </c>
      <c r="O5" s="754">
        <f t="shared" ref="O5:O13" si="2">K5/$K$17</f>
        <v>1.2692060659384967</v>
      </c>
      <c r="P5" s="753">
        <f>$P$2*L5/$L$17+1-$P$2</f>
        <v>1.1346030329692485</v>
      </c>
      <c r="Q5" s="754">
        <f>L5/$L$17</f>
        <v>1.2692060659384967</v>
      </c>
      <c r="R5" s="57"/>
      <c r="U5" s="58"/>
    </row>
    <row r="6" spans="1:21">
      <c r="A6" s="486" t="s">
        <v>6</v>
      </c>
      <c r="B6" s="758">
        <v>0.71496554884272245</v>
      </c>
      <c r="C6" s="602">
        <v>105.21</v>
      </c>
      <c r="D6" s="1066">
        <f t="shared" ref="D6:D15" si="3">+B6/C6</f>
        <v>6.7956044942754732E-3</v>
      </c>
      <c r="E6" s="1062">
        <v>0.78891014422934669</v>
      </c>
      <c r="F6" s="1064">
        <v>101.26</v>
      </c>
      <c r="G6" s="1239">
        <f t="shared" si="0"/>
        <v>7.7909356530648493E-3</v>
      </c>
      <c r="H6" s="759">
        <v>0.81250480351823495</v>
      </c>
      <c r="I6" s="602">
        <v>104.07</v>
      </c>
      <c r="J6" s="1066">
        <f t="shared" ref="J6:J15" si="4">+H6/I6</f>
        <v>7.8072912800829734E-3</v>
      </c>
      <c r="K6" s="1069">
        <f t="shared" ref="K6:K15" si="5">G6*G$5/G$16</f>
        <v>7.7909356530648476E-3</v>
      </c>
      <c r="L6" s="1183">
        <f t="shared" ref="L6:L16" si="6">MEDIAN(D6,G6,J6)</f>
        <v>7.7909356530648493E-3</v>
      </c>
      <c r="M6" s="747" t="s">
        <v>56</v>
      </c>
      <c r="N6" s="743">
        <f t="shared" si="1"/>
        <v>0.92736398416823507</v>
      </c>
      <c r="O6" s="744">
        <f t="shared" si="2"/>
        <v>0.85472796833647025</v>
      </c>
      <c r="P6" s="1185">
        <f t="shared" ref="P6:P17" si="7">$P$2*L6/$L$17+1-$P$2</f>
        <v>0.92736398416823507</v>
      </c>
      <c r="Q6" s="1186">
        <f t="shared" ref="Q6:Q17" si="8">L6/$L$17</f>
        <v>0.85472796833647036</v>
      </c>
      <c r="R6" s="59"/>
      <c r="U6" s="60"/>
    </row>
    <row r="7" spans="1:21">
      <c r="A7" s="486" t="s">
        <v>3</v>
      </c>
      <c r="B7" s="758">
        <v>3.604338142929377</v>
      </c>
      <c r="C7" s="602">
        <v>228.01</v>
      </c>
      <c r="D7" s="1240">
        <f t="shared" si="3"/>
        <v>1.5807807302001566E-2</v>
      </c>
      <c r="E7" s="1062">
        <v>3.7734882178823508</v>
      </c>
      <c r="F7" s="1064">
        <v>236.31</v>
      </c>
      <c r="G7" s="1067">
        <f t="shared" si="0"/>
        <v>1.5968381439136519E-2</v>
      </c>
      <c r="H7" s="759">
        <v>3.6611614175941098</v>
      </c>
      <c r="I7" s="602">
        <v>243.06</v>
      </c>
      <c r="J7" s="1066">
        <f t="shared" si="4"/>
        <v>1.5062788684251253E-2</v>
      </c>
      <c r="K7" s="1069">
        <f t="shared" si="5"/>
        <v>1.5968381439136516E-2</v>
      </c>
      <c r="L7" s="1183">
        <f t="shared" si="6"/>
        <v>1.5807807302001566E-2</v>
      </c>
      <c r="M7" s="747" t="s">
        <v>57</v>
      </c>
      <c r="N7" s="743">
        <f t="shared" si="1"/>
        <v>1.3759295951652337</v>
      </c>
      <c r="O7" s="744">
        <f t="shared" si="2"/>
        <v>1.7518591903304672</v>
      </c>
      <c r="P7" s="1185">
        <f t="shared" si="7"/>
        <v>1.3671214614498213</v>
      </c>
      <c r="Q7" s="1186">
        <f t="shared" si="8"/>
        <v>1.7342429228996425</v>
      </c>
      <c r="R7" s="59"/>
      <c r="U7" s="60"/>
    </row>
    <row r="8" spans="1:21">
      <c r="A8" s="486" t="s">
        <v>5</v>
      </c>
      <c r="B8" s="758">
        <v>3.468814657647334</v>
      </c>
      <c r="C8" s="602">
        <v>315.26</v>
      </c>
      <c r="D8" s="1066">
        <f t="shared" si="3"/>
        <v>1.1003028159764429E-2</v>
      </c>
      <c r="E8" s="1062">
        <v>3.6804700705866704</v>
      </c>
      <c r="F8" s="1064">
        <v>321.5</v>
      </c>
      <c r="G8" s="1239">
        <f t="shared" si="0"/>
        <v>1.1447807373519971E-2</v>
      </c>
      <c r="H8" s="759">
        <v>4.1236284738902116</v>
      </c>
      <c r="I8" s="602">
        <v>316.76</v>
      </c>
      <c r="J8" s="1066">
        <f t="shared" si="4"/>
        <v>1.3018147726639133E-2</v>
      </c>
      <c r="K8" s="1069">
        <f t="shared" si="5"/>
        <v>1.1447807373519969E-2</v>
      </c>
      <c r="L8" s="1183">
        <f t="shared" si="6"/>
        <v>1.1447807373519971E-2</v>
      </c>
      <c r="M8" s="747" t="s">
        <v>58</v>
      </c>
      <c r="N8" s="743">
        <f t="shared" si="1"/>
        <v>1.1279580254540285</v>
      </c>
      <c r="O8" s="744">
        <f t="shared" si="2"/>
        <v>1.2559160509080569</v>
      </c>
      <c r="P8" s="1187">
        <f t="shared" si="7"/>
        <v>1.1279580254540287</v>
      </c>
      <c r="Q8" s="1188">
        <f t="shared" si="8"/>
        <v>1.2559160509080571</v>
      </c>
      <c r="R8" s="59"/>
      <c r="U8" s="60"/>
    </row>
    <row r="9" spans="1:21">
      <c r="A9" s="486" t="s">
        <v>7</v>
      </c>
      <c r="B9" s="758">
        <v>0.51063855405737957</v>
      </c>
      <c r="C9" s="602">
        <v>48.47</v>
      </c>
      <c r="D9" s="1066">
        <f t="shared" si="3"/>
        <v>1.0535146566069313E-2</v>
      </c>
      <c r="E9" s="1062">
        <v>0.47079696336559723</v>
      </c>
      <c r="F9" s="1064">
        <v>44.58</v>
      </c>
      <c r="G9" s="1239">
        <f t="shared" si="0"/>
        <v>1.0560721475226497E-2</v>
      </c>
      <c r="H9" s="759">
        <v>0.44550274895468839</v>
      </c>
      <c r="I9" s="602">
        <v>41.8</v>
      </c>
      <c r="J9" s="1066">
        <f t="shared" si="4"/>
        <v>1.0657960501308336E-2</v>
      </c>
      <c r="K9" s="1069">
        <f t="shared" si="5"/>
        <v>1.0560721475226496E-2</v>
      </c>
      <c r="L9" s="1183">
        <f t="shared" si="6"/>
        <v>1.0560721475226497E-2</v>
      </c>
      <c r="M9" s="747" t="s">
        <v>59</v>
      </c>
      <c r="N9" s="743">
        <f t="shared" si="1"/>
        <v>1.0792978156055462</v>
      </c>
      <c r="O9" s="744">
        <f t="shared" si="2"/>
        <v>1.1585956312110925</v>
      </c>
      <c r="P9" s="1185">
        <f t="shared" si="7"/>
        <v>1.0792978156055464</v>
      </c>
      <c r="Q9" s="1186">
        <f t="shared" si="8"/>
        <v>1.1585956312110928</v>
      </c>
      <c r="R9" s="59"/>
      <c r="U9" s="60"/>
    </row>
    <row r="10" spans="1:21">
      <c r="A10" s="486" t="s">
        <v>0</v>
      </c>
      <c r="B10" s="758">
        <v>3.218099183356947</v>
      </c>
      <c r="C10" s="602">
        <v>244.42</v>
      </c>
      <c r="D10" s="1240">
        <f t="shared" si="3"/>
        <v>1.3166267831425198E-2</v>
      </c>
      <c r="E10" s="1062">
        <v>3.147451953342447</v>
      </c>
      <c r="F10" s="1064">
        <v>249.35</v>
      </c>
      <c r="G10" s="1067">
        <f t="shared" si="0"/>
        <v>1.2622626642640654E-2</v>
      </c>
      <c r="H10" s="759">
        <v>3.3978191311835277</v>
      </c>
      <c r="I10" s="602">
        <v>250.05</v>
      </c>
      <c r="J10" s="1066">
        <f t="shared" si="4"/>
        <v>1.3588558812971515E-2</v>
      </c>
      <c r="K10" s="1069">
        <f t="shared" si="5"/>
        <v>1.2622626642640652E-2</v>
      </c>
      <c r="L10" s="1183">
        <f t="shared" si="6"/>
        <v>1.3166267831425198E-2</v>
      </c>
      <c r="M10" s="747" t="s">
        <v>60</v>
      </c>
      <c r="N10" s="743">
        <f t="shared" si="1"/>
        <v>1.1924015616205117</v>
      </c>
      <c r="O10" s="744">
        <f t="shared" si="2"/>
        <v>1.3848031232410236</v>
      </c>
      <c r="P10" s="1187">
        <f t="shared" si="7"/>
        <v>1.2222224553799825</v>
      </c>
      <c r="Q10" s="1188">
        <f t="shared" si="8"/>
        <v>1.4444449107599651</v>
      </c>
      <c r="R10" s="59"/>
      <c r="U10" s="60"/>
    </row>
    <row r="11" spans="1:21">
      <c r="A11" s="486" t="s">
        <v>1</v>
      </c>
      <c r="B11" s="758">
        <v>1.3329621696168199</v>
      </c>
      <c r="C11" s="602">
        <v>115.62</v>
      </c>
      <c r="D11" s="1066">
        <f t="shared" si="3"/>
        <v>1.1528820010524302E-2</v>
      </c>
      <c r="E11" s="1062">
        <v>1.2973044184418197</v>
      </c>
      <c r="F11" s="1064">
        <v>119.79</v>
      </c>
      <c r="G11" s="1239">
        <f t="shared" si="0"/>
        <v>1.0829822342781698E-2</v>
      </c>
      <c r="H11" s="759">
        <v>1.3494307896955842</v>
      </c>
      <c r="I11" s="602">
        <v>125.7</v>
      </c>
      <c r="J11" s="1066">
        <f t="shared" si="4"/>
        <v>1.0735328478087384E-2</v>
      </c>
      <c r="K11" s="1069">
        <f t="shared" si="5"/>
        <v>1.0829822342781698E-2</v>
      </c>
      <c r="L11" s="1183">
        <f t="shared" si="6"/>
        <v>1.0829822342781698E-2</v>
      </c>
      <c r="M11" s="747" t="s">
        <v>61</v>
      </c>
      <c r="N11" s="743">
        <f t="shared" si="1"/>
        <v>1.0940590745894117</v>
      </c>
      <c r="O11" s="744">
        <f t="shared" si="2"/>
        <v>1.1881181491788233</v>
      </c>
      <c r="P11" s="1187">
        <f t="shared" si="7"/>
        <v>1.0940590745894117</v>
      </c>
      <c r="Q11" s="1188">
        <f t="shared" si="8"/>
        <v>1.1881181491788233</v>
      </c>
      <c r="R11" s="59"/>
      <c r="U11" s="60"/>
    </row>
    <row r="12" spans="1:21">
      <c r="A12" s="486" t="s">
        <v>4</v>
      </c>
      <c r="B12" s="758">
        <v>1.7144215505470277</v>
      </c>
      <c r="C12" s="602">
        <v>206.81</v>
      </c>
      <c r="D12" s="1240">
        <f t="shared" si="3"/>
        <v>8.2898387435183397E-3</v>
      </c>
      <c r="E12" s="1062">
        <v>1.8650979731208104</v>
      </c>
      <c r="F12" s="1064">
        <v>208.72</v>
      </c>
      <c r="G12" s="1067">
        <f t="shared" si="0"/>
        <v>8.9358852679226261E-3</v>
      </c>
      <c r="H12" s="759">
        <v>1.5835208142400596</v>
      </c>
      <c r="I12" s="602">
        <v>201.68</v>
      </c>
      <c r="J12" s="1066">
        <f t="shared" si="4"/>
        <v>7.851650209440994E-3</v>
      </c>
      <c r="K12" s="1069">
        <f t="shared" si="5"/>
        <v>8.9358852679226244E-3</v>
      </c>
      <c r="L12" s="1183">
        <f t="shared" si="6"/>
        <v>8.2898387435183397E-3</v>
      </c>
      <c r="M12" s="747" t="s">
        <v>62</v>
      </c>
      <c r="N12" s="743">
        <f t="shared" si="1"/>
        <v>0.99016905032033686</v>
      </c>
      <c r="O12" s="744">
        <f t="shared" si="2"/>
        <v>0.98033810064067373</v>
      </c>
      <c r="P12" s="1185">
        <f t="shared" si="7"/>
        <v>0.95473081428268669</v>
      </c>
      <c r="Q12" s="1186">
        <f t="shared" si="8"/>
        <v>0.90946162856537338</v>
      </c>
      <c r="R12" s="59"/>
      <c r="U12" s="60"/>
    </row>
    <row r="13" spans="1:21">
      <c r="A13" s="486" t="s">
        <v>17</v>
      </c>
      <c r="B13" s="758">
        <v>0.16400183188886108</v>
      </c>
      <c r="C13" s="602">
        <v>31.44</v>
      </c>
      <c r="D13" s="1066">
        <f t="shared" si="3"/>
        <v>5.2163432534625027E-3</v>
      </c>
      <c r="E13" s="1062">
        <v>0.2090710210410851</v>
      </c>
      <c r="F13" s="1064">
        <v>34.01</v>
      </c>
      <c r="G13" s="1239">
        <f t="shared" si="0"/>
        <v>6.1473396366093832E-3</v>
      </c>
      <c r="H13" s="759">
        <v>0.22556839862657424</v>
      </c>
      <c r="I13" s="602">
        <v>36.229999999999997</v>
      </c>
      <c r="J13" s="1066">
        <f t="shared" si="4"/>
        <v>6.226011554694294E-3</v>
      </c>
      <c r="K13" s="1069">
        <f t="shared" si="5"/>
        <v>6.1473396366093823E-3</v>
      </c>
      <c r="L13" s="1183">
        <f t="shared" si="6"/>
        <v>6.1473396366093832E-3</v>
      </c>
      <c r="M13" s="747" t="s">
        <v>66</v>
      </c>
      <c r="N13" s="743">
        <f t="shared" si="1"/>
        <v>0.8372061683121732</v>
      </c>
      <c r="O13" s="744">
        <f t="shared" si="2"/>
        <v>0.67441233662434641</v>
      </c>
      <c r="P13" s="1187">
        <f t="shared" si="7"/>
        <v>0.8372061683121732</v>
      </c>
      <c r="Q13" s="1188">
        <f t="shared" si="8"/>
        <v>0.67441233662434652</v>
      </c>
      <c r="R13" s="59"/>
      <c r="U13" s="60"/>
    </row>
    <row r="14" spans="1:21">
      <c r="A14" s="486" t="s">
        <v>205</v>
      </c>
      <c r="B14" s="1173">
        <v>0.1130229591144884</v>
      </c>
      <c r="C14" s="1174">
        <v>6.12</v>
      </c>
      <c r="D14" s="1175">
        <f t="shared" si="3"/>
        <v>1.8467803776877189E-2</v>
      </c>
      <c r="E14" s="1176">
        <v>2.2060734631262464E-2</v>
      </c>
      <c r="F14" s="1177">
        <v>6.6</v>
      </c>
      <c r="G14" s="1178">
        <f t="shared" si="0"/>
        <v>3.3425355501912825E-3</v>
      </c>
      <c r="H14" s="1179">
        <v>3.1568216632679369E-3</v>
      </c>
      <c r="I14" s="1174">
        <v>6.43</v>
      </c>
      <c r="J14" s="1175">
        <f t="shared" si="4"/>
        <v>4.9095204716453141E-4</v>
      </c>
      <c r="K14" s="1180">
        <f t="shared" si="5"/>
        <v>3.3425355501912821E-3</v>
      </c>
      <c r="L14" s="1184">
        <f t="shared" si="6"/>
        <v>3.3425355501912825E-3</v>
      </c>
      <c r="M14" s="747" t="s">
        <v>67</v>
      </c>
      <c r="N14" s="1181">
        <f t="shared" ref="N14:N15" si="9">$N$2*K14/$K$17+1-$N$2</f>
        <v>0.68335144500799028</v>
      </c>
      <c r="O14" s="1182">
        <f t="shared" ref="O14:O15" si="10">K14/$K$17</f>
        <v>0.3667028900159805</v>
      </c>
      <c r="P14" s="1189">
        <f t="shared" si="7"/>
        <v>0.68335144500799028</v>
      </c>
      <c r="Q14" s="1190">
        <f t="shared" si="8"/>
        <v>0.36670289001598055</v>
      </c>
      <c r="R14" s="59"/>
      <c r="U14" s="60"/>
    </row>
    <row r="15" spans="1:21">
      <c r="A15" s="517" t="s">
        <v>64</v>
      </c>
      <c r="B15" s="1173">
        <v>1.1281487626304609E-2</v>
      </c>
      <c r="C15" s="1174">
        <v>0.64</v>
      </c>
      <c r="D15" s="1175">
        <f t="shared" si="3"/>
        <v>1.7627324416100952E-2</v>
      </c>
      <c r="E15" s="1176">
        <v>6.1477785325482773E-2</v>
      </c>
      <c r="F15" s="1177">
        <v>1.78</v>
      </c>
      <c r="G15" s="1178">
        <f t="shared" si="0"/>
        <v>3.4538081643529644E-2</v>
      </c>
      <c r="H15" s="1179">
        <v>0.32563447209510077</v>
      </c>
      <c r="I15" s="1174">
        <v>2.42</v>
      </c>
      <c r="J15" s="1175">
        <f t="shared" si="4"/>
        <v>0.13455969921285157</v>
      </c>
      <c r="K15" s="1180">
        <f t="shared" si="5"/>
        <v>3.4538081643529638E-2</v>
      </c>
      <c r="L15" s="1184">
        <f t="shared" si="6"/>
        <v>3.4538081643529644E-2</v>
      </c>
      <c r="M15" s="747" t="s">
        <v>68</v>
      </c>
      <c r="N15" s="1181">
        <f t="shared" si="9"/>
        <v>2.3945519298314446</v>
      </c>
      <c r="O15" s="1182">
        <f t="shared" si="10"/>
        <v>3.7891038596628888</v>
      </c>
      <c r="P15" s="1189">
        <f t="shared" si="7"/>
        <v>2.3945519298314446</v>
      </c>
      <c r="Q15" s="1190">
        <f t="shared" si="8"/>
        <v>3.7891038596628897</v>
      </c>
      <c r="R15" s="59"/>
      <c r="U15" s="60"/>
    </row>
    <row r="16" spans="1:21" s="56" customFormat="1" ht="15.75" thickBot="1">
      <c r="A16" s="539" t="s">
        <v>2</v>
      </c>
      <c r="B16" s="1010">
        <f>SUM(B6:B15)</f>
        <v>14.85254608562726</v>
      </c>
      <c r="C16" s="1008">
        <f>SUM(C6:C15)</f>
        <v>1302</v>
      </c>
      <c r="D16" s="720">
        <f>SUMPRODUCT(C6:C15,D6:D15)/C16</f>
        <v>1.1407485472831998E-2</v>
      </c>
      <c r="E16" s="1010">
        <f>SUM(E6:E15)</f>
        <v>15.316129281966873</v>
      </c>
      <c r="F16" s="1008">
        <f>SUM(F6:F15)</f>
        <v>1323.8999999999999</v>
      </c>
      <c r="G16" s="720">
        <f>SUMPRODUCT(F6:F15,G6:G15)/F16</f>
        <v>1.1568947263363452E-2</v>
      </c>
      <c r="H16" s="1010">
        <f>SUM(H6:H15)</f>
        <v>15.92792787146136</v>
      </c>
      <c r="I16" s="1008">
        <f>SUM(I6:I15)</f>
        <v>1328.2000000000003</v>
      </c>
      <c r="J16" s="720">
        <f>SUMPRODUCT(I6:I15,J6:J15)/I16</f>
        <v>1.1992115548457579E-2</v>
      </c>
      <c r="K16" s="1070">
        <f>G16*G$5/G$16</f>
        <v>1.156894726336345E-2</v>
      </c>
      <c r="L16" s="1070">
        <f t="shared" si="6"/>
        <v>1.1568947263363452E-2</v>
      </c>
      <c r="M16" s="748" t="s">
        <v>16</v>
      </c>
      <c r="N16" s="755">
        <f>$N$2*K16/$K$17+1-$N$2</f>
        <v>1.1346030329692485</v>
      </c>
      <c r="O16" s="756">
        <f>K16/$K$17</f>
        <v>1.2692060659384967</v>
      </c>
      <c r="P16" s="755">
        <f t="shared" si="7"/>
        <v>1.1346030329692485</v>
      </c>
      <c r="Q16" s="756">
        <f t="shared" si="8"/>
        <v>1.2692060659384969</v>
      </c>
      <c r="R16" s="57"/>
      <c r="U16" s="58"/>
    </row>
    <row r="17" spans="2:18" ht="15.75" thickBot="1">
      <c r="B17" s="66"/>
      <c r="C17" s="67"/>
      <c r="D17" s="68"/>
      <c r="E17" s="67"/>
      <c r="F17" s="69"/>
      <c r="G17" s="68"/>
      <c r="H17" s="67"/>
      <c r="I17" s="70"/>
      <c r="J17" s="68"/>
      <c r="K17" s="1071">
        <v>9.1151055560146198E-3</v>
      </c>
      <c r="L17" s="1071">
        <v>9.1151055560146198E-3</v>
      </c>
      <c r="M17" s="745"/>
      <c r="N17" s="751">
        <f>$N$2*K17/$K$17+1-$N$2</f>
        <v>1</v>
      </c>
      <c r="O17" s="752">
        <f>$O$2*K17/$K$17</f>
        <v>1</v>
      </c>
      <c r="P17" s="751">
        <f t="shared" si="7"/>
        <v>1</v>
      </c>
      <c r="Q17" s="752">
        <f t="shared" si="8"/>
        <v>1</v>
      </c>
      <c r="R17" s="59"/>
    </row>
    <row r="18" spans="2:18">
      <c r="N18" s="63"/>
      <c r="O18" s="63"/>
    </row>
    <row r="19" spans="2:18">
      <c r="B19" s="64"/>
    </row>
    <row r="20" spans="2:18">
      <c r="B20" s="2" t="s">
        <v>81</v>
      </c>
    </row>
    <row r="21" spans="2:18">
      <c r="B21" s="2" t="s">
        <v>82</v>
      </c>
    </row>
    <row r="22" spans="2:18">
      <c r="B22" s="65"/>
    </row>
    <row r="26" spans="2:18">
      <c r="F26" s="1063"/>
    </row>
  </sheetData>
  <sheetProtection algorithmName="SHA-512" hashValue="S/IhVf6GOdP5sNXpN1M7LXLsU4521oEhYrxrK7bdWkM0WTdBWk+jY8Tw8uucEQvvADX015faNM4ohKDy9GUCaA==" saltValue="zCxPMhl5Rw/d3uPzltujgw==" spinCount="100000" sheet="1" objects="1" scenarios="1"/>
  <mergeCells count="9">
    <mergeCell ref="P1:Q1"/>
    <mergeCell ref="P3:Q3"/>
    <mergeCell ref="N1:O1"/>
    <mergeCell ref="B3:D3"/>
    <mergeCell ref="E3:G3"/>
    <mergeCell ref="H3:J3"/>
    <mergeCell ref="K3:K4"/>
    <mergeCell ref="N3:O3"/>
    <mergeCell ref="L3:L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G16"/>
  <sheetViews>
    <sheetView workbookViewId="0">
      <selection activeCell="F24" sqref="F24"/>
    </sheetView>
  </sheetViews>
  <sheetFormatPr defaultRowHeight="15"/>
  <cols>
    <col min="1" max="1" width="46" customWidth="1"/>
    <col min="2" max="7" width="13.85546875" customWidth="1"/>
  </cols>
  <sheetData>
    <row r="1" spans="1:7" ht="15.75" thickBot="1"/>
    <row r="2" spans="1:7" ht="15.75" thickBot="1">
      <c r="A2" s="1481" t="s">
        <v>500</v>
      </c>
      <c r="B2" s="1483"/>
      <c r="C2" s="1484"/>
      <c r="D2" s="1484"/>
      <c r="E2" s="1484"/>
      <c r="F2" s="1484"/>
      <c r="G2" s="1485"/>
    </row>
    <row r="3" spans="1:7" ht="105.75" thickBot="1">
      <c r="A3" s="1482"/>
      <c r="B3" s="1262" t="s">
        <v>486</v>
      </c>
      <c r="C3" s="1260" t="s">
        <v>487</v>
      </c>
      <c r="D3" s="1260" t="s">
        <v>488</v>
      </c>
      <c r="E3" s="1261" t="s">
        <v>489</v>
      </c>
      <c r="F3" s="1279" t="s">
        <v>490</v>
      </c>
      <c r="G3" s="1276" t="s">
        <v>491</v>
      </c>
    </row>
    <row r="4" spans="1:7">
      <c r="A4" s="1486" t="s">
        <v>492</v>
      </c>
      <c r="B4" s="1274" t="s">
        <v>493</v>
      </c>
      <c r="C4" s="1275" t="s">
        <v>494</v>
      </c>
      <c r="D4" s="1275" t="s">
        <v>495</v>
      </c>
      <c r="E4" s="1277" t="s">
        <v>496</v>
      </c>
      <c r="F4" s="1486" t="s">
        <v>497</v>
      </c>
      <c r="G4" s="1488" t="s">
        <v>498</v>
      </c>
    </row>
    <row r="5" spans="1:7" ht="65.099999999999994" customHeight="1" thickBot="1">
      <c r="A5" s="1487"/>
      <c r="B5" s="1280">
        <f>KKS_prof</f>
        <v>2</v>
      </c>
      <c r="C5" s="1281">
        <f>KKS_doc</f>
        <v>1.66</v>
      </c>
      <c r="D5" s="1282">
        <f>KKS_phd</f>
        <v>1.33</v>
      </c>
      <c r="E5" s="1283">
        <f>KKS_ost</f>
        <v>1</v>
      </c>
      <c r="F5" s="1487"/>
      <c r="G5" s="1489"/>
    </row>
    <row r="6" spans="1:7">
      <c r="A6" s="1288" t="s">
        <v>6</v>
      </c>
      <c r="B6" s="1289">
        <v>9.5500000000000007</v>
      </c>
      <c r="C6" s="1290">
        <v>31.47</v>
      </c>
      <c r="D6" s="1290">
        <v>38.93</v>
      </c>
      <c r="E6" s="1291">
        <v>10.466699999999999</v>
      </c>
      <c r="F6" s="1266">
        <f>SUM(B6:E6)</f>
        <v>90.416699999999992</v>
      </c>
      <c r="G6" s="1296">
        <f t="shared" ref="G6:G13" si="0">+(KKS_prof*B6+KKS_doc*C6+KKS_phd*D6+KKS_ost*E6)/F6</f>
        <v>1.4774239714566004</v>
      </c>
    </row>
    <row r="7" spans="1:7">
      <c r="A7" s="1271" t="s">
        <v>3</v>
      </c>
      <c r="B7" s="1272">
        <v>33.5</v>
      </c>
      <c r="C7" s="1270">
        <v>40.4</v>
      </c>
      <c r="D7" s="1270">
        <v>70.760000000000005</v>
      </c>
      <c r="E7" s="1278">
        <v>15.63</v>
      </c>
      <c r="F7" s="1267">
        <f t="shared" ref="F7:F13" si="1">SUM(B7:E7)</f>
        <v>160.29000000000002</v>
      </c>
      <c r="G7" s="1273">
        <f t="shared" si="0"/>
        <v>1.5210231455486929</v>
      </c>
    </row>
    <row r="8" spans="1:7">
      <c r="A8" s="1271" t="s">
        <v>5</v>
      </c>
      <c r="B8" s="1272">
        <v>37.450000000000003</v>
      </c>
      <c r="C8" s="1270">
        <v>67.260000000000005</v>
      </c>
      <c r="D8" s="1270">
        <v>78.91</v>
      </c>
      <c r="E8" s="1278">
        <v>9.18</v>
      </c>
      <c r="F8" s="1267">
        <f t="shared" si="1"/>
        <v>192.8</v>
      </c>
      <c r="G8" s="1273">
        <f t="shared" si="0"/>
        <v>1.5595534232365142</v>
      </c>
    </row>
    <row r="9" spans="1:7">
      <c r="A9" s="1271" t="s">
        <v>7</v>
      </c>
      <c r="B9" s="1272">
        <v>5.5</v>
      </c>
      <c r="C9" s="1270">
        <v>12.35</v>
      </c>
      <c r="D9" s="1270">
        <v>23.72</v>
      </c>
      <c r="E9" s="1278">
        <v>2.77</v>
      </c>
      <c r="F9" s="1267">
        <f t="shared" si="1"/>
        <v>44.34</v>
      </c>
      <c r="G9" s="1273">
        <f t="shared" si="0"/>
        <v>1.4844068561118626</v>
      </c>
    </row>
    <row r="10" spans="1:7">
      <c r="A10" s="1271" t="s">
        <v>0</v>
      </c>
      <c r="B10" s="1272">
        <v>36.4</v>
      </c>
      <c r="C10" s="1270">
        <v>61.4</v>
      </c>
      <c r="D10" s="1270">
        <v>97.8</v>
      </c>
      <c r="E10" s="1278">
        <v>10.6</v>
      </c>
      <c r="F10" s="1267">
        <f t="shared" si="1"/>
        <v>206.2</v>
      </c>
      <c r="G10" s="1273">
        <f t="shared" si="0"/>
        <v>1.5295732298739091</v>
      </c>
    </row>
    <row r="11" spans="1:7">
      <c r="A11" s="1271" t="s">
        <v>1</v>
      </c>
      <c r="B11" s="1272">
        <v>14.333299999999999</v>
      </c>
      <c r="C11" s="1270">
        <v>27.95</v>
      </c>
      <c r="D11" s="1270">
        <v>47.14</v>
      </c>
      <c r="E11" s="1278">
        <v>6.6</v>
      </c>
      <c r="F11" s="1267">
        <f t="shared" si="1"/>
        <v>96.023299999999992</v>
      </c>
      <c r="G11" s="1273">
        <f t="shared" si="0"/>
        <v>1.5033830330763469</v>
      </c>
    </row>
    <row r="12" spans="1:7">
      <c r="A12" s="1271" t="s">
        <v>4</v>
      </c>
      <c r="B12" s="1272">
        <v>21.26</v>
      </c>
      <c r="C12" s="1270">
        <v>43.66</v>
      </c>
      <c r="D12" s="1270">
        <v>78.02</v>
      </c>
      <c r="E12" s="1278">
        <v>5</v>
      </c>
      <c r="F12" s="1267">
        <f t="shared" si="1"/>
        <v>147.94</v>
      </c>
      <c r="G12" s="1273">
        <f t="shared" si="0"/>
        <v>1.5125199405164256</v>
      </c>
    </row>
    <row r="13" spans="1:7" ht="15.75" thickBot="1">
      <c r="A13" s="1292" t="s">
        <v>17</v>
      </c>
      <c r="B13" s="1293">
        <v>4.2</v>
      </c>
      <c r="C13" s="1294">
        <v>8.52</v>
      </c>
      <c r="D13" s="1294">
        <v>15.45</v>
      </c>
      <c r="E13" s="1295">
        <v>1.33</v>
      </c>
      <c r="F13" s="1268">
        <f t="shared" si="1"/>
        <v>29.5</v>
      </c>
      <c r="G13" s="1297">
        <f t="shared" si="0"/>
        <v>1.5058203389830509</v>
      </c>
    </row>
    <row r="14" spans="1:7" ht="15.75" thickBot="1">
      <c r="A14" s="539" t="s">
        <v>2</v>
      </c>
      <c r="B14" s="1284">
        <f>SUM(B6:B13)</f>
        <v>162.19329999999999</v>
      </c>
      <c r="C14" s="1285">
        <f>SUM(C6:C13)</f>
        <v>293.01</v>
      </c>
      <c r="D14" s="1285">
        <f>SUM(D6:D13)</f>
        <v>450.72999999999996</v>
      </c>
      <c r="E14" s="1286">
        <f>SUM(E6:E13)</f>
        <v>61.576700000000002</v>
      </c>
      <c r="F14" s="1287">
        <f t="shared" ref="F14" si="2">SUM(B14:E14)</f>
        <v>967.50999999999988</v>
      </c>
      <c r="G14" s="1298">
        <f t="shared" ref="G14" si="3">+(KKS_prof*B14+KKS_doc*C14+KKS_phd*D14+KKS_ost*E14)/F14</f>
        <v>1.5212564211222628</v>
      </c>
    </row>
    <row r="15" spans="1:7" ht="15.75" thickBot="1">
      <c r="A15" s="1263" t="s">
        <v>499</v>
      </c>
      <c r="B15" s="1478">
        <v>1.5214788404738191</v>
      </c>
      <c r="C15" s="1479"/>
      <c r="D15" s="1479"/>
      <c r="E15" s="1479"/>
      <c r="F15" s="1479"/>
      <c r="G15" s="1480"/>
    </row>
    <row r="16" spans="1:7">
      <c r="A16" s="1264"/>
      <c r="B16" s="1269"/>
      <c r="C16" s="1269"/>
      <c r="D16" s="1269"/>
      <c r="E16" s="1269"/>
      <c r="F16" s="1269"/>
      <c r="G16" s="1265"/>
    </row>
  </sheetData>
  <sheetProtection algorithmName="SHA-512" hashValue="3piAI9U02KOweB9XwkqFsxUOaoGsVNAxA8XEk34ybel2k6cAaAw1cv4QT5sFVvYZE29Tj1GfkhSQ+5p0DXfr1g==" saltValue="LfoEepx9LqYLX29mjWlUzA==" spinCount="100000" sheet="1" objects="1" scenarios="1"/>
  <mergeCells count="6">
    <mergeCell ref="B15:G15"/>
    <mergeCell ref="A2:A3"/>
    <mergeCell ref="B2:G2"/>
    <mergeCell ref="A4:A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G4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8.7109375" defaultRowHeight="15"/>
  <cols>
    <col min="1" max="1" width="54.28515625" style="50" customWidth="1"/>
    <col min="2" max="5" width="15.28515625" style="50" customWidth="1"/>
    <col min="6" max="16384" width="8.7109375" style="50"/>
  </cols>
  <sheetData>
    <row r="1" spans="1:7" ht="15.75" thickBot="1">
      <c r="A1" s="663"/>
      <c r="B1" s="474" t="s">
        <v>259</v>
      </c>
      <c r="C1" s="474" t="s">
        <v>260</v>
      </c>
      <c r="D1" s="474" t="s">
        <v>261</v>
      </c>
      <c r="E1" s="474" t="s">
        <v>262</v>
      </c>
      <c r="F1" s="17"/>
    </row>
    <row r="2" spans="1:7" ht="60.75" thickBot="1">
      <c r="A2" s="461"/>
      <c r="B2" s="462" t="s">
        <v>263</v>
      </c>
      <c r="C2" s="463" t="s">
        <v>264</v>
      </c>
      <c r="D2" s="464" t="s">
        <v>265</v>
      </c>
      <c r="E2" s="465" t="s">
        <v>266</v>
      </c>
      <c r="F2" s="466">
        <v>0.15</v>
      </c>
      <c r="G2" s="50" t="s">
        <v>397</v>
      </c>
    </row>
    <row r="3" spans="1:7">
      <c r="A3" s="475" t="s">
        <v>2</v>
      </c>
      <c r="B3" s="476">
        <v>10211</v>
      </c>
      <c r="C3" s="458">
        <v>510550</v>
      </c>
      <c r="D3" s="477">
        <v>7589</v>
      </c>
      <c r="E3" s="1061">
        <v>1366020</v>
      </c>
      <c r="G3" s="50" t="s">
        <v>440</v>
      </c>
    </row>
    <row r="4" spans="1:7">
      <c r="A4" s="478" t="s">
        <v>6</v>
      </c>
      <c r="B4" s="479">
        <v>943</v>
      </c>
      <c r="C4" s="459">
        <f>B4/B$14*(C$3-C$13)</f>
        <v>43835.463231774571</v>
      </c>
      <c r="D4" s="480">
        <f>'T6b-vykon'!K4</f>
        <v>0</v>
      </c>
      <c r="E4" s="459">
        <f>D4/D$3*E$3</f>
        <v>0</v>
      </c>
    </row>
    <row r="5" spans="1:7">
      <c r="A5" s="478" t="s">
        <v>3</v>
      </c>
      <c r="B5" s="479">
        <v>2433</v>
      </c>
      <c r="C5" s="459">
        <f t="shared" ref="C5:C11" si="0">B5/B$14*(C$3-C$13)</f>
        <v>113098.28424486483</v>
      </c>
      <c r="D5" s="480">
        <v>2427</v>
      </c>
      <c r="E5" s="459">
        <f>D5/D$14*E$3</f>
        <v>359385.42439024389</v>
      </c>
    </row>
    <row r="6" spans="1:7">
      <c r="A6" s="478" t="s">
        <v>5</v>
      </c>
      <c r="B6" s="479">
        <v>1333</v>
      </c>
      <c r="C6" s="459">
        <f t="shared" si="0"/>
        <v>61964.657993590146</v>
      </c>
      <c r="D6" s="480">
        <v>1333</v>
      </c>
      <c r="E6" s="459">
        <f t="shared" ref="E6:E10" si="1">D6/D$14*E$3</f>
        <v>197388.03902439025</v>
      </c>
    </row>
    <row r="7" spans="1:7">
      <c r="A7" s="478" t="s">
        <v>7</v>
      </c>
      <c r="B7" s="479">
        <v>1141</v>
      </c>
      <c r="C7" s="459">
        <f t="shared" si="0"/>
        <v>53039.51595700402</v>
      </c>
      <c r="D7" s="480">
        <v>1141</v>
      </c>
      <c r="E7" s="459">
        <f t="shared" si="1"/>
        <v>168957.05365853658</v>
      </c>
    </row>
    <row r="8" spans="1:7">
      <c r="A8" s="478" t="s">
        <v>0</v>
      </c>
      <c r="B8" s="479">
        <v>2112</v>
      </c>
      <c r="C8" s="459">
        <f t="shared" si="0"/>
        <v>98176.562402447395</v>
      </c>
      <c r="D8" s="480">
        <v>1896</v>
      </c>
      <c r="E8" s="459">
        <f t="shared" si="1"/>
        <v>280755.98048780486</v>
      </c>
    </row>
    <row r="9" spans="1:7">
      <c r="A9" s="478" t="s">
        <v>1</v>
      </c>
      <c r="B9" s="479">
        <v>776</v>
      </c>
      <c r="C9" s="459">
        <f t="shared" si="0"/>
        <v>36072.449064535598</v>
      </c>
      <c r="D9" s="480">
        <v>776</v>
      </c>
      <c r="E9" s="459">
        <f t="shared" si="1"/>
        <v>114908.56585365854</v>
      </c>
    </row>
    <row r="10" spans="1:7">
      <c r="A10" s="478" t="s">
        <v>4</v>
      </c>
      <c r="B10" s="479">
        <v>1786</v>
      </c>
      <c r="C10" s="459">
        <f t="shared" si="0"/>
        <v>83022.41498616054</v>
      </c>
      <c r="D10" s="480">
        <v>1652</v>
      </c>
      <c r="E10" s="459">
        <f t="shared" si="1"/>
        <v>244624.93658536585</v>
      </c>
    </row>
    <row r="11" spans="1:7">
      <c r="A11" s="478" t="s">
        <v>17</v>
      </c>
      <c r="B11" s="479">
        <v>154</v>
      </c>
      <c r="C11" s="459">
        <f t="shared" si="0"/>
        <v>7158.7076751784562</v>
      </c>
      <c r="D11" s="480">
        <f>'T6b-vykon'!K11</f>
        <v>0</v>
      </c>
      <c r="E11" s="459">
        <f t="shared" ref="E11:E13" si="2">D11/D$3*E$3</f>
        <v>0</v>
      </c>
    </row>
    <row r="12" spans="1:7">
      <c r="A12" s="481" t="s">
        <v>205</v>
      </c>
      <c r="B12" s="479">
        <f>'T6b-vykon'!D12</f>
        <v>0</v>
      </c>
      <c r="C12" s="459">
        <v>0</v>
      </c>
      <c r="D12" s="480">
        <f>'T6b-vykon'!K12</f>
        <v>0</v>
      </c>
      <c r="E12" s="459">
        <f t="shared" si="2"/>
        <v>0</v>
      </c>
    </row>
    <row r="13" spans="1:7">
      <c r="A13" s="482" t="s">
        <v>431</v>
      </c>
      <c r="B13" s="479">
        <f>'T6b-vykon'!D13</f>
        <v>0</v>
      </c>
      <c r="C13" s="1077">
        <f>2/9*1/8*$C$3</f>
        <v>14181.944444444443</v>
      </c>
      <c r="D13" s="480">
        <f>'T6b-vykon'!K13</f>
        <v>0</v>
      </c>
      <c r="E13" s="459">
        <f t="shared" si="2"/>
        <v>0</v>
      </c>
    </row>
    <row r="14" spans="1:7" ht="15.75" thickBot="1">
      <c r="A14" s="483" t="s">
        <v>2</v>
      </c>
      <c r="B14" s="476">
        <f>SUM(B4:B13)</f>
        <v>10678</v>
      </c>
      <c r="C14" s="458">
        <f t="shared" ref="C14:E14" si="3">SUM(C4:C13)</f>
        <v>510550</v>
      </c>
      <c r="D14" s="477">
        <f t="shared" si="3"/>
        <v>9225</v>
      </c>
      <c r="E14" s="458">
        <f t="shared" si="3"/>
        <v>1366020</v>
      </c>
      <c r="G14" s="50" t="s">
        <v>441</v>
      </c>
    </row>
    <row r="15" spans="1:7" ht="15.75" thickBot="1">
      <c r="A15" s="467" t="s">
        <v>90</v>
      </c>
      <c r="B15" s="468">
        <v>96520.5</v>
      </c>
      <c r="C15" s="469">
        <v>4826025</v>
      </c>
      <c r="D15" s="470">
        <v>22634.5</v>
      </c>
      <c r="E15" s="471">
        <v>4074210</v>
      </c>
    </row>
    <row r="16" spans="1:7" ht="15.75" thickBot="1">
      <c r="A16" s="472" t="s">
        <v>267</v>
      </c>
      <c r="B16" s="17"/>
      <c r="C16" s="17"/>
      <c r="D16" s="17"/>
      <c r="E16" s="473">
        <v>8900235</v>
      </c>
    </row>
    <row r="20" spans="1:5" ht="15.75" thickBot="1">
      <c r="A20" s="1" t="s">
        <v>270</v>
      </c>
    </row>
    <row r="21" spans="1:5">
      <c r="A21" s="529" t="s">
        <v>2</v>
      </c>
      <c r="B21" s="657">
        <f>B3-B37</f>
        <v>0</v>
      </c>
      <c r="C21" s="658">
        <f t="shared" ref="C21:E21" si="4">C3-C37</f>
        <v>-6850</v>
      </c>
      <c r="D21" s="659">
        <f t="shared" si="4"/>
        <v>0</v>
      </c>
      <c r="E21" s="658">
        <f t="shared" si="4"/>
        <v>-255960</v>
      </c>
    </row>
    <row r="22" spans="1:5">
      <c r="A22" s="531" t="s">
        <v>6</v>
      </c>
      <c r="B22" s="479">
        <f t="shared" ref="B22:E22" si="5">B4-B38</f>
        <v>101</v>
      </c>
      <c r="C22" s="459">
        <f t="shared" si="5"/>
        <v>1901.4632317745709</v>
      </c>
      <c r="D22" s="480">
        <f t="shared" si="5"/>
        <v>0</v>
      </c>
      <c r="E22" s="459">
        <f t="shared" si="5"/>
        <v>-98168</v>
      </c>
    </row>
    <row r="23" spans="1:5">
      <c r="A23" s="531" t="s">
        <v>3</v>
      </c>
      <c r="B23" s="479">
        <f t="shared" ref="B23:E23" si="6">B5-B39</f>
        <v>283</v>
      </c>
      <c r="C23" s="459">
        <f t="shared" si="6"/>
        <v>8423.2842448648298</v>
      </c>
      <c r="D23" s="480">
        <f t="shared" si="6"/>
        <v>294</v>
      </c>
      <c r="E23" s="459">
        <f t="shared" si="6"/>
        <v>291832.42439024389</v>
      </c>
    </row>
    <row r="24" spans="1:5">
      <c r="A24" s="531" t="s">
        <v>5</v>
      </c>
      <c r="B24" s="479">
        <f t="shared" ref="B24:E24" si="7">B6-B40</f>
        <v>31</v>
      </c>
      <c r="C24" s="459">
        <f t="shared" si="7"/>
        <v>-5588.3420064098536</v>
      </c>
      <c r="D24" s="480">
        <f t="shared" si="7"/>
        <v>36</v>
      </c>
      <c r="E24" s="459">
        <f t="shared" si="7"/>
        <v>137901.03902439025</v>
      </c>
    </row>
    <row r="25" spans="1:5">
      <c r="A25" s="531" t="s">
        <v>7</v>
      </c>
      <c r="B25" s="479">
        <f t="shared" ref="B25:E25" si="8">B7-B41</f>
        <v>-107</v>
      </c>
      <c r="C25" s="459">
        <f t="shared" si="8"/>
        <v>-6447.4840429959804</v>
      </c>
      <c r="D25" s="480">
        <f t="shared" si="8"/>
        <v>-67</v>
      </c>
      <c r="E25" s="459">
        <f t="shared" si="8"/>
        <v>83163.053658536577</v>
      </c>
    </row>
    <row r="26" spans="1:5">
      <c r="A26" s="531" t="s">
        <v>0</v>
      </c>
      <c r="B26" s="479">
        <f t="shared" ref="B26:E26" si="9">B8-B42</f>
        <v>134</v>
      </c>
      <c r="C26" s="459">
        <f t="shared" si="9"/>
        <v>8.562402447394561</v>
      </c>
      <c r="D26" s="480">
        <f t="shared" si="9"/>
        <v>44</v>
      </c>
      <c r="E26" s="459">
        <f t="shared" si="9"/>
        <v>238821.98048780486</v>
      </c>
    </row>
    <row r="27" spans="1:5">
      <c r="A27" s="531" t="s">
        <v>1</v>
      </c>
      <c r="B27" s="479">
        <f t="shared" ref="B27:E27" si="10">B9-B43</f>
        <v>-12</v>
      </c>
      <c r="C27" s="459">
        <f t="shared" si="10"/>
        <v>-2882.5509354644018</v>
      </c>
      <c r="D27" s="480">
        <f t="shared" si="10"/>
        <v>-46</v>
      </c>
      <c r="E27" s="459">
        <f t="shared" si="10"/>
        <v>10233.56585365854</v>
      </c>
    </row>
    <row r="28" spans="1:5">
      <c r="A28" s="531" t="s">
        <v>4</v>
      </c>
      <c r="B28" s="479">
        <f t="shared" ref="B28:E28" si="11">B10-B44</f>
        <v>3</v>
      </c>
      <c r="C28" s="459">
        <f t="shared" si="11"/>
        <v>-2771.5850138394599</v>
      </c>
      <c r="D28" s="480">
        <f t="shared" si="11"/>
        <v>-47</v>
      </c>
      <c r="E28" s="459">
        <f t="shared" si="11"/>
        <v>205669.93658536585</v>
      </c>
    </row>
    <row r="29" spans="1:5">
      <c r="A29" s="531" t="s">
        <v>17</v>
      </c>
      <c r="B29" s="479">
        <f t="shared" ref="B29:E29" si="12">B11-B45</f>
        <v>34</v>
      </c>
      <c r="C29" s="459">
        <f t="shared" si="12"/>
        <v>696.70767517845616</v>
      </c>
      <c r="D29" s="480">
        <f t="shared" si="12"/>
        <v>0</v>
      </c>
      <c r="E29" s="459">
        <f t="shared" si="12"/>
        <v>-6462</v>
      </c>
    </row>
    <row r="30" spans="1:5">
      <c r="A30" s="537" t="s">
        <v>205</v>
      </c>
      <c r="B30" s="479">
        <f t="shared" ref="B30:E30" si="13">B12-B46</f>
        <v>0</v>
      </c>
      <c r="C30" s="459">
        <f t="shared" si="13"/>
        <v>0</v>
      </c>
      <c r="D30" s="480">
        <f t="shared" si="13"/>
        <v>0</v>
      </c>
      <c r="E30" s="459">
        <f t="shared" si="13"/>
        <v>0</v>
      </c>
    </row>
    <row r="31" spans="1:5">
      <c r="A31" s="538" t="s">
        <v>64</v>
      </c>
      <c r="B31" s="479">
        <f t="shared" ref="B31:E31" si="14">B13-B47</f>
        <v>0</v>
      </c>
      <c r="C31" s="459">
        <f t="shared" si="14"/>
        <v>-190.05555555555657</v>
      </c>
      <c r="D31" s="480">
        <f t="shared" si="14"/>
        <v>0</v>
      </c>
      <c r="E31" s="459">
        <f t="shared" si="14"/>
        <v>-14372</v>
      </c>
    </row>
    <row r="32" spans="1:5" ht="15.75" thickBot="1">
      <c r="A32" s="539" t="s">
        <v>2</v>
      </c>
      <c r="B32" s="660">
        <f>SUM(B22:B31)</f>
        <v>467</v>
      </c>
      <c r="C32" s="661">
        <f t="shared" ref="C32:E32" si="15">SUM(C22:C31)</f>
        <v>-6850.0000000000009</v>
      </c>
      <c r="D32" s="662">
        <f t="shared" si="15"/>
        <v>214</v>
      </c>
      <c r="E32" s="661">
        <f t="shared" si="15"/>
        <v>848620</v>
      </c>
    </row>
    <row r="36" spans="1:6" ht="15.75" thickBot="1">
      <c r="A36" s="50" t="s">
        <v>229</v>
      </c>
    </row>
    <row r="37" spans="1:6">
      <c r="A37" s="529" t="s">
        <v>2</v>
      </c>
      <c r="B37" s="657">
        <v>10211</v>
      </c>
      <c r="C37" s="658">
        <v>517400</v>
      </c>
      <c r="D37" s="657">
        <v>7589</v>
      </c>
      <c r="E37" s="658">
        <v>1621980</v>
      </c>
    </row>
    <row r="38" spans="1:6">
      <c r="A38" s="531" t="s">
        <v>6</v>
      </c>
      <c r="B38" s="479">
        <v>842</v>
      </c>
      <c r="C38" s="459">
        <v>41934</v>
      </c>
      <c r="D38" s="479">
        <f>'T6b-vykon'!K38</f>
        <v>0</v>
      </c>
      <c r="E38" s="459">
        <f>C42</f>
        <v>98168</v>
      </c>
    </row>
    <row r="39" spans="1:6">
      <c r="A39" s="531" t="s">
        <v>3</v>
      </c>
      <c r="B39" s="479">
        <v>2150</v>
      </c>
      <c r="C39" s="459">
        <v>104675</v>
      </c>
      <c r="D39" s="479">
        <f>'T6b-vykon'!K39</f>
        <v>2133</v>
      </c>
      <c r="E39" s="459">
        <f>C40</f>
        <v>67553</v>
      </c>
    </row>
    <row r="40" spans="1:6">
      <c r="A40" s="531" t="s">
        <v>5</v>
      </c>
      <c r="B40" s="479">
        <v>1302</v>
      </c>
      <c r="C40" s="459">
        <v>67553</v>
      </c>
      <c r="D40" s="479">
        <f>'T6b-vykon'!K40</f>
        <v>1297</v>
      </c>
      <c r="E40" s="459">
        <f>C41</f>
        <v>59487</v>
      </c>
    </row>
    <row r="41" spans="1:6">
      <c r="A41" s="531" t="s">
        <v>7</v>
      </c>
      <c r="B41" s="479">
        <v>1248</v>
      </c>
      <c r="C41" s="459">
        <v>59487</v>
      </c>
      <c r="D41" s="479">
        <f>'T6b-vykon'!K41</f>
        <v>1208</v>
      </c>
      <c r="E41" s="459">
        <f>C44</f>
        <v>85794</v>
      </c>
    </row>
    <row r="42" spans="1:6">
      <c r="A42" s="531" t="s">
        <v>0</v>
      </c>
      <c r="B42" s="479">
        <v>1978</v>
      </c>
      <c r="C42" s="459">
        <v>98168</v>
      </c>
      <c r="D42" s="479">
        <f>'T6b-vykon'!K42</f>
        <v>1852</v>
      </c>
      <c r="E42" s="459">
        <f>C38</f>
        <v>41934</v>
      </c>
    </row>
    <row r="43" spans="1:6">
      <c r="A43" s="531" t="s">
        <v>1</v>
      </c>
      <c r="B43" s="479">
        <v>788</v>
      </c>
      <c r="C43" s="459">
        <v>38955</v>
      </c>
      <c r="D43" s="479">
        <f>'T6b-vykon'!K43</f>
        <v>822</v>
      </c>
      <c r="E43" s="459">
        <f>C39</f>
        <v>104675</v>
      </c>
    </row>
    <row r="44" spans="1:6">
      <c r="A44" s="531" t="s">
        <v>4</v>
      </c>
      <c r="B44" s="479">
        <v>1783</v>
      </c>
      <c r="C44" s="459">
        <v>85794</v>
      </c>
      <c r="D44" s="479">
        <f>'T6b-vykon'!K44</f>
        <v>1699</v>
      </c>
      <c r="E44" s="459">
        <f>C43</f>
        <v>38955</v>
      </c>
    </row>
    <row r="45" spans="1:6">
      <c r="A45" s="531" t="s">
        <v>17</v>
      </c>
      <c r="B45" s="479">
        <v>120</v>
      </c>
      <c r="C45" s="459">
        <v>6462</v>
      </c>
      <c r="D45" s="479">
        <f>'T6b-vykon'!K45</f>
        <v>0</v>
      </c>
      <c r="E45" s="459">
        <f>C45</f>
        <v>6462</v>
      </c>
    </row>
    <row r="46" spans="1:6">
      <c r="A46" s="537" t="s">
        <v>205</v>
      </c>
      <c r="B46" s="479">
        <v>0</v>
      </c>
      <c r="C46" s="459">
        <v>0</v>
      </c>
      <c r="D46" s="479">
        <f>'T6b-vykon'!K46</f>
        <v>0</v>
      </c>
      <c r="E46" s="459">
        <v>0</v>
      </c>
    </row>
    <row r="47" spans="1:6">
      <c r="A47" s="538" t="s">
        <v>64</v>
      </c>
      <c r="B47" s="479">
        <v>0</v>
      </c>
      <c r="C47" s="459">
        <v>14372</v>
      </c>
      <c r="D47" s="479">
        <f>'T6b-vykon'!K47</f>
        <v>0</v>
      </c>
      <c r="E47" s="459">
        <f>C47</f>
        <v>14372</v>
      </c>
      <c r="F47" s="460"/>
    </row>
    <row r="48" spans="1:6" ht="15.75" thickBot="1">
      <c r="A48" s="539" t="s">
        <v>2</v>
      </c>
      <c r="B48" s="660">
        <f>SUM(B38:B47)</f>
        <v>10211</v>
      </c>
      <c r="C48" s="661">
        <f t="shared" ref="C48:E48" si="16">SUM(C38:C47)</f>
        <v>517400</v>
      </c>
      <c r="D48" s="660">
        <f t="shared" si="16"/>
        <v>9011</v>
      </c>
      <c r="E48" s="661">
        <f t="shared" si="16"/>
        <v>517400</v>
      </c>
      <c r="F48" s="460"/>
    </row>
  </sheetData>
  <sheetProtection algorithmName="SHA-512" hashValue="udz8MCOXvKEXDYVDjEmGfwdOyoLKA4S+fV9ZxECmYFOE+NxVydI0JWr+NNV2LgTQzn+ot0u1rwPOfx7xOwQefg==" saltValue="YCN+BHbqsEao+rwDkISo3Q==" spinCount="100000" sheet="1" objects="1" scenarios="1"/>
  <conditionalFormatting sqref="A21:E3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7"/>
  <dimension ref="A1:M5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0" sqref="M10"/>
    </sheetView>
  </sheetViews>
  <sheetFormatPr defaultColWidth="9.42578125" defaultRowHeight="15"/>
  <cols>
    <col min="1" max="1" width="48.28515625" style="50" customWidth="1"/>
    <col min="2" max="9" width="12.7109375" style="50" customWidth="1"/>
    <col min="10" max="10" width="4.42578125" style="50" customWidth="1"/>
    <col min="11" max="11" width="11.28515625" style="50" customWidth="1"/>
    <col min="12" max="12" width="14.28515625" style="50" customWidth="1"/>
    <col min="13" max="13" width="13.42578125" style="50" customWidth="1"/>
    <col min="14" max="16" width="9.42578125" style="50"/>
    <col min="17" max="17" width="16.28515625" style="50" customWidth="1"/>
    <col min="18" max="16384" width="9.42578125" style="50"/>
  </cols>
  <sheetData>
    <row r="1" spans="1:13" ht="24" customHeight="1" thickBot="1">
      <c r="A1" s="1492" t="s">
        <v>277</v>
      </c>
      <c r="B1" s="1492"/>
      <c r="C1" s="1492"/>
      <c r="D1" s="1492"/>
      <c r="E1" s="1492"/>
      <c r="F1" s="1492"/>
      <c r="G1" s="1492"/>
      <c r="H1" s="1492"/>
      <c r="I1" s="1492"/>
      <c r="J1" s="664"/>
      <c r="K1" s="1492" t="s">
        <v>278</v>
      </c>
      <c r="L1" s="1492"/>
      <c r="M1" s="686"/>
    </row>
    <row r="2" spans="1:13" ht="24" customHeight="1" thickBot="1">
      <c r="A2" s="680"/>
      <c r="B2" s="1499" t="s">
        <v>287</v>
      </c>
      <c r="C2" s="1500"/>
      <c r="D2" s="1500"/>
      <c r="E2" s="1501"/>
      <c r="F2" s="1499" t="s">
        <v>286</v>
      </c>
      <c r="G2" s="1500"/>
      <c r="H2" s="1500"/>
      <c r="I2" s="1501"/>
      <c r="K2" s="680"/>
      <c r="L2" s="681"/>
      <c r="M2" s="680"/>
    </row>
    <row r="3" spans="1:13" ht="73.5" customHeight="1">
      <c r="A3" s="1502"/>
      <c r="B3" s="1493" t="s">
        <v>282</v>
      </c>
      <c r="C3" s="1504" t="s">
        <v>283</v>
      </c>
      <c r="D3" s="1493" t="s">
        <v>284</v>
      </c>
      <c r="E3" s="1493" t="s">
        <v>285</v>
      </c>
      <c r="F3" s="1506" t="s">
        <v>282</v>
      </c>
      <c r="G3" s="1495" t="s">
        <v>283</v>
      </c>
      <c r="H3" s="1493" t="s">
        <v>284</v>
      </c>
      <c r="I3" s="1493" t="s">
        <v>285</v>
      </c>
      <c r="K3" s="1497" t="s">
        <v>279</v>
      </c>
      <c r="L3" s="1490" t="s">
        <v>280</v>
      </c>
      <c r="M3" s="664"/>
    </row>
    <row r="4" spans="1:13" ht="36" customHeight="1" thickBot="1">
      <c r="A4" s="1503"/>
      <c r="B4" s="1494"/>
      <c r="C4" s="1505"/>
      <c r="D4" s="1494"/>
      <c r="E4" s="1494"/>
      <c r="F4" s="1507"/>
      <c r="G4" s="1496"/>
      <c r="H4" s="1494"/>
      <c r="I4" s="1494"/>
      <c r="J4" s="679"/>
      <c r="K4" s="1498"/>
      <c r="L4" s="1491"/>
    </row>
    <row r="5" spans="1:13">
      <c r="A5" s="475" t="s">
        <v>2</v>
      </c>
      <c r="B5" s="1161">
        <v>10.855061657976481</v>
      </c>
      <c r="C5" s="1162"/>
      <c r="D5" s="1161"/>
      <c r="E5" s="1162">
        <v>12.030314167325002</v>
      </c>
      <c r="F5" s="1163">
        <v>10.855061657976481</v>
      </c>
      <c r="G5" s="1164"/>
      <c r="H5" s="1165"/>
      <c r="I5" s="1165">
        <v>12.030314167325002</v>
      </c>
      <c r="J5" s="665"/>
      <c r="K5" s="666" t="s">
        <v>16</v>
      </c>
      <c r="L5" s="682">
        <v>8.0598080722868648</v>
      </c>
    </row>
    <row r="6" spans="1:13">
      <c r="A6" s="478" t="s">
        <v>6</v>
      </c>
      <c r="B6" s="687">
        <v>0.3776082342388119</v>
      </c>
      <c r="C6" s="688">
        <v>0.20138201088902966</v>
      </c>
      <c r="D6" s="687">
        <v>4.2643923240938166</v>
      </c>
      <c r="E6" s="687">
        <f>C6*C$18+D6*D$18</f>
        <v>0.23713650164523176</v>
      </c>
      <c r="F6" s="690">
        <v>0.37589042574084264</v>
      </c>
      <c r="G6" s="689">
        <v>0.20519534433800199</v>
      </c>
      <c r="H6" s="689">
        <v>4.2643923240938166</v>
      </c>
      <c r="I6" s="689">
        <f>G6*G$18+H6*H$18</f>
        <v>0.24091627775985314</v>
      </c>
      <c r="J6" s="667"/>
      <c r="K6" s="668" t="s">
        <v>56</v>
      </c>
      <c r="L6" s="683">
        <v>6.2154685810368999</v>
      </c>
    </row>
    <row r="7" spans="1:13">
      <c r="A7" s="478" t="s">
        <v>3</v>
      </c>
      <c r="B7" s="687">
        <v>1.8603495004542101</v>
      </c>
      <c r="C7" s="688">
        <v>2.1163794420310427</v>
      </c>
      <c r="D7" s="687">
        <v>2.4520255863539444</v>
      </c>
      <c r="E7" s="687">
        <f t="shared" ref="E7:E15" si="0">C7*C$18+D7*D$18</f>
        <v>2.1193331281010841</v>
      </c>
      <c r="F7" s="690">
        <v>1.8656492509402876</v>
      </c>
      <c r="G7" s="689">
        <v>2.121608535347173</v>
      </c>
      <c r="H7" s="689">
        <v>2.5373134328358211</v>
      </c>
      <c r="I7" s="689">
        <f t="shared" ref="I7:I15" si="1">G7*G$18+H7*H$18</f>
        <v>2.125266738445073</v>
      </c>
      <c r="J7" s="667"/>
      <c r="K7" s="669" t="s">
        <v>57</v>
      </c>
      <c r="L7" s="683">
        <v>0</v>
      </c>
    </row>
    <row r="8" spans="1:13">
      <c r="A8" s="478" t="s">
        <v>5</v>
      </c>
      <c r="B8" s="687">
        <v>3.5593672353196699</v>
      </c>
      <c r="C8" s="688">
        <v>4.340654041631967</v>
      </c>
      <c r="D8" s="687">
        <v>1.6702203269367448</v>
      </c>
      <c r="E8" s="687">
        <f t="shared" si="0"/>
        <v>4.3171542249426489</v>
      </c>
      <c r="F8" s="690">
        <v>3.5912250839895115</v>
      </c>
      <c r="G8" s="689">
        <v>4.3788329100431698</v>
      </c>
      <c r="H8" s="689">
        <v>1.5671641791044779</v>
      </c>
      <c r="I8" s="689">
        <f t="shared" si="1"/>
        <v>4.3540902252109088</v>
      </c>
      <c r="J8" s="667"/>
      <c r="K8" s="668" t="s">
        <v>58</v>
      </c>
      <c r="L8" s="683">
        <v>0</v>
      </c>
    </row>
    <row r="9" spans="1:13">
      <c r="A9" s="478" t="s">
        <v>7</v>
      </c>
      <c r="B9" s="687">
        <v>0.27577050571358686</v>
      </c>
      <c r="C9" s="688">
        <v>0.32795108031999515</v>
      </c>
      <c r="D9" s="687">
        <v>0</v>
      </c>
      <c r="E9" s="687">
        <f t="shared" si="0"/>
        <v>0.32506511081317918</v>
      </c>
      <c r="F9" s="690">
        <v>0.27479187975290087</v>
      </c>
      <c r="G9" s="689">
        <v>0.32661997525152708</v>
      </c>
      <c r="H9" s="689">
        <v>0</v>
      </c>
      <c r="I9" s="689">
        <f t="shared" si="1"/>
        <v>0.32374571946931363</v>
      </c>
      <c r="J9" s="667"/>
      <c r="K9" s="668" t="s">
        <v>59</v>
      </c>
      <c r="L9" s="683">
        <v>0</v>
      </c>
    </row>
    <row r="10" spans="1:13">
      <c r="A10" s="478" t="s">
        <v>0</v>
      </c>
      <c r="B10" s="687">
        <v>2.1767231153300237</v>
      </c>
      <c r="C10" s="688">
        <v>2.2066523262534194</v>
      </c>
      <c r="D10" s="687">
        <v>0.31982942430703626</v>
      </c>
      <c r="E10" s="687">
        <f t="shared" si="0"/>
        <v>2.1900482847162914</v>
      </c>
      <c r="F10" s="690">
        <v>2.1676702742495855</v>
      </c>
      <c r="G10" s="689">
        <v>2.1965126597850984</v>
      </c>
      <c r="H10" s="689">
        <v>0.31982942430703626</v>
      </c>
      <c r="I10" s="689">
        <f t="shared" si="1"/>
        <v>2.1799978473128916</v>
      </c>
      <c r="J10" s="667"/>
      <c r="K10" s="668" t="s">
        <v>60</v>
      </c>
      <c r="L10" s="683">
        <v>1.8443394912499647</v>
      </c>
    </row>
    <row r="11" spans="1:13">
      <c r="A11" s="478" t="s">
        <v>1</v>
      </c>
      <c r="B11" s="687">
        <v>0.58715862583649436</v>
      </c>
      <c r="C11" s="688">
        <v>0.51047137256550379</v>
      </c>
      <c r="D11" s="687">
        <v>5.4371002132196162</v>
      </c>
      <c r="E11" s="687">
        <f t="shared" si="0"/>
        <v>0.55382570636326001</v>
      </c>
      <c r="F11" s="690">
        <v>0.58771688746699513</v>
      </c>
      <c r="G11" s="689">
        <v>0.51050527816953839</v>
      </c>
      <c r="H11" s="689">
        <v>5.4371002132196162</v>
      </c>
      <c r="I11" s="689">
        <f t="shared" si="1"/>
        <v>0.55385931359797913</v>
      </c>
      <c r="J11" s="667"/>
      <c r="K11" s="668" t="s">
        <v>61</v>
      </c>
      <c r="L11" s="683">
        <v>0</v>
      </c>
    </row>
    <row r="12" spans="1:13">
      <c r="A12" s="478" t="s">
        <v>4</v>
      </c>
      <c r="B12" s="687">
        <v>1.6380989294231283</v>
      </c>
      <c r="C12" s="688">
        <v>1.7890289884205286</v>
      </c>
      <c r="D12" s="687">
        <v>8.6709310589907584</v>
      </c>
      <c r="E12" s="687">
        <f t="shared" si="0"/>
        <v>1.8495897266415466</v>
      </c>
      <c r="F12" s="690">
        <v>1.6389632282759712</v>
      </c>
      <c r="G12" s="689">
        <v>1.7882713675275337</v>
      </c>
      <c r="H12" s="689">
        <v>8.6886993603411504</v>
      </c>
      <c r="I12" s="689">
        <f t="shared" si="1"/>
        <v>1.8489951338642936</v>
      </c>
      <c r="J12" s="667"/>
      <c r="K12" s="668" t="s">
        <v>62</v>
      </c>
      <c r="L12" s="683">
        <v>0</v>
      </c>
    </row>
    <row r="13" spans="1:13">
      <c r="A13" s="478" t="s">
        <v>17</v>
      </c>
      <c r="B13" s="687">
        <v>0.14105816583455522</v>
      </c>
      <c r="C13" s="688">
        <v>0.12814352177635971</v>
      </c>
      <c r="D13" s="687">
        <v>0</v>
      </c>
      <c r="E13" s="687">
        <f t="shared" si="0"/>
        <v>0.12701585878472774</v>
      </c>
      <c r="F13" s="690">
        <v>0.1390166904084025</v>
      </c>
      <c r="G13" s="689">
        <v>0.12594120788046118</v>
      </c>
      <c r="H13" s="689">
        <v>0</v>
      </c>
      <c r="I13" s="689">
        <f t="shared" si="1"/>
        <v>0.12483292525111311</v>
      </c>
      <c r="J13" s="667"/>
      <c r="K13" s="670" t="s">
        <v>66</v>
      </c>
      <c r="L13" s="683">
        <v>0</v>
      </c>
    </row>
    <row r="14" spans="1:13">
      <c r="A14" s="481" t="s">
        <v>205</v>
      </c>
      <c r="B14" s="687">
        <v>0.23892734582600239</v>
      </c>
      <c r="C14" s="688">
        <v>0.31390801585657224</v>
      </c>
      <c r="D14" s="687">
        <v>0</v>
      </c>
      <c r="E14" s="687">
        <f t="shared" si="0"/>
        <v>0.31114562531703438</v>
      </c>
      <c r="F14" s="690">
        <v>0.21413793715200302</v>
      </c>
      <c r="G14" s="689">
        <v>0.28094057596115601</v>
      </c>
      <c r="H14" s="689">
        <v>0</v>
      </c>
      <c r="I14" s="689">
        <f t="shared" si="1"/>
        <v>0.27846829889269781</v>
      </c>
      <c r="J14" s="667"/>
      <c r="K14" s="671" t="s">
        <v>67</v>
      </c>
      <c r="L14" s="683">
        <v>0</v>
      </c>
    </row>
    <row r="15" spans="1:13">
      <c r="A15" s="482" t="s">
        <v>64</v>
      </c>
      <c r="B15" s="687">
        <v>0</v>
      </c>
      <c r="C15" s="688">
        <v>0</v>
      </c>
      <c r="D15" s="687">
        <v>0</v>
      </c>
      <c r="E15" s="687">
        <f t="shared" si="0"/>
        <v>0</v>
      </c>
      <c r="F15" s="690">
        <v>0</v>
      </c>
      <c r="G15" s="689">
        <v>0</v>
      </c>
      <c r="H15" s="689">
        <v>0</v>
      </c>
      <c r="I15" s="689">
        <f t="shared" si="1"/>
        <v>0</v>
      </c>
      <c r="J15" s="667"/>
      <c r="K15" s="668" t="s">
        <v>281</v>
      </c>
      <c r="L15" s="683">
        <v>0</v>
      </c>
    </row>
    <row r="16" spans="1:13" ht="15.75" thickBot="1">
      <c r="A16" s="483" t="s">
        <v>2</v>
      </c>
      <c r="B16" s="1166">
        <f>SUM(B6:B15)</f>
        <v>10.855061657976485</v>
      </c>
      <c r="C16" s="1167">
        <f t="shared" ref="C16:I16" si="2">SUM(C6:C15)</f>
        <v>11.934570799744419</v>
      </c>
      <c r="D16" s="1166">
        <f t="shared" si="2"/>
        <v>22.814498933901916</v>
      </c>
      <c r="E16" s="1166">
        <f t="shared" si="2"/>
        <v>12.030314167325002</v>
      </c>
      <c r="F16" s="1168">
        <f t="shared" si="2"/>
        <v>10.855061657976499</v>
      </c>
      <c r="G16" s="1169">
        <f t="shared" si="2"/>
        <v>11.934427854303658</v>
      </c>
      <c r="H16" s="1170">
        <f t="shared" si="2"/>
        <v>22.81449893390192</v>
      </c>
      <c r="I16" s="1170">
        <f t="shared" si="2"/>
        <v>12.030172479804124</v>
      </c>
      <c r="J16" s="665"/>
      <c r="K16" s="672" t="s">
        <v>16</v>
      </c>
      <c r="L16" s="684">
        <f t="shared" ref="L16" si="3">SUM(L6:L15)</f>
        <v>8.0598080722868648</v>
      </c>
    </row>
    <row r="17" spans="1:13" ht="17.25" customHeight="1" thickBot="1">
      <c r="A17" s="467" t="s">
        <v>90</v>
      </c>
      <c r="B17" s="675">
        <v>99.999999999999986</v>
      </c>
      <c r="C17" s="674">
        <v>99.999999999999972</v>
      </c>
      <c r="D17" s="675"/>
      <c r="E17" s="675"/>
      <c r="F17" s="673">
        <v>99.999999999999972</v>
      </c>
      <c r="G17" s="674"/>
      <c r="H17" s="675"/>
      <c r="I17" s="675">
        <v>99.999999999999986</v>
      </c>
      <c r="J17" s="676"/>
      <c r="K17" s="677" t="s">
        <v>90</v>
      </c>
      <c r="L17" s="685">
        <v>100</v>
      </c>
    </row>
    <row r="18" spans="1:13" ht="15.75" customHeight="1">
      <c r="C18" s="50">
        <v>0.99119999999999997</v>
      </c>
      <c r="D18" s="50">
        <v>8.8000000000000005E-3</v>
      </c>
      <c r="G18" s="50">
        <v>0.99119999999999997</v>
      </c>
      <c r="H18" s="50">
        <v>8.8000000000000005E-3</v>
      </c>
      <c r="K18" s="492"/>
      <c r="M18" s="678"/>
    </row>
    <row r="22" spans="1:13" ht="15.75" thickBot="1">
      <c r="A22" s="1" t="s">
        <v>270</v>
      </c>
    </row>
    <row r="23" spans="1:13">
      <c r="A23" s="529" t="s">
        <v>2</v>
      </c>
      <c r="B23" s="691">
        <f>B5-B39</f>
        <v>-0.71493834202351891</v>
      </c>
      <c r="C23" s="693"/>
      <c r="D23" s="691"/>
      <c r="E23" s="693">
        <f>E5-E39</f>
        <v>-4.9685832674997599E-2</v>
      </c>
      <c r="F23" s="694">
        <f>F5-F39</f>
        <v>-0.71493834202351891</v>
      </c>
      <c r="G23" s="691"/>
      <c r="H23" s="691"/>
      <c r="I23" s="691">
        <f>I5-I39</f>
        <v>-4.9685832674997599E-2</v>
      </c>
      <c r="J23" s="695"/>
      <c r="K23" s="696" t="s">
        <v>16</v>
      </c>
      <c r="L23" s="697">
        <f>L5-L39</f>
        <v>2.3098080722868648</v>
      </c>
    </row>
    <row r="24" spans="1:13">
      <c r="A24" s="531" t="s">
        <v>6</v>
      </c>
      <c r="B24" s="687">
        <f t="shared" ref="B24:I33" si="4">B6-B40</f>
        <v>-3.9365390571483028E-3</v>
      </c>
      <c r="C24" s="688">
        <f t="shared" si="4"/>
        <v>1.9135471423368577E-2</v>
      </c>
      <c r="D24" s="687">
        <f t="shared" si="4"/>
        <v>1.7757045412883867</v>
      </c>
      <c r="E24" s="687">
        <f t="shared" si="4"/>
        <v>3.459327923818073E-2</v>
      </c>
      <c r="F24" s="690">
        <f t="shared" si="4"/>
        <v>-5.654347555117567E-3</v>
      </c>
      <c r="G24" s="689">
        <f t="shared" si="4"/>
        <v>2.2948804872340911E-2</v>
      </c>
      <c r="H24" s="689">
        <f t="shared" si="4"/>
        <v>1.7757045412883867</v>
      </c>
      <c r="I24" s="689">
        <f t="shared" si="4"/>
        <v>3.837305535280211E-2</v>
      </c>
      <c r="J24" s="698"/>
      <c r="K24" s="668" t="s">
        <v>56</v>
      </c>
      <c r="L24" s="683">
        <f>L6-L40</f>
        <v>1.4467188655027865</v>
      </c>
    </row>
    <row r="25" spans="1:13">
      <c r="A25" s="531" t="s">
        <v>3</v>
      </c>
      <c r="B25" s="687">
        <f t="shared" si="4"/>
        <v>-0.50254092472107437</v>
      </c>
      <c r="C25" s="688">
        <f t="shared" si="4"/>
        <v>-0.58680722303091937</v>
      </c>
      <c r="D25" s="687">
        <f t="shared" si="4"/>
        <v>0.45353388197988731</v>
      </c>
      <c r="E25" s="687">
        <f t="shared" si="4"/>
        <v>-0.57765222130682448</v>
      </c>
      <c r="F25" s="690">
        <f t="shared" si="4"/>
        <v>-0.49724117423499692</v>
      </c>
      <c r="G25" s="689">
        <f t="shared" si="4"/>
        <v>-0.58157812971478906</v>
      </c>
      <c r="H25" s="689">
        <f t="shared" si="4"/>
        <v>0.53882172846176402</v>
      </c>
      <c r="I25" s="689">
        <f t="shared" si="4"/>
        <v>-0.5717186109628356</v>
      </c>
      <c r="J25" s="698"/>
      <c r="K25" s="669" t="s">
        <v>57</v>
      </c>
      <c r="L25" s="683">
        <f t="shared" ref="L25:L33" si="5">L7-L41</f>
        <v>0</v>
      </c>
    </row>
    <row r="26" spans="1:13">
      <c r="A26" s="531" t="s">
        <v>5</v>
      </c>
      <c r="B26" s="687">
        <f t="shared" si="4"/>
        <v>0.21272393479759844</v>
      </c>
      <c r="C26" s="688">
        <f t="shared" si="4"/>
        <v>0.34962458620357184</v>
      </c>
      <c r="D26" s="687">
        <f t="shared" si="4"/>
        <v>0.1242173103454931</v>
      </c>
      <c r="E26" s="687">
        <f t="shared" si="4"/>
        <v>0.34764100217602056</v>
      </c>
      <c r="F26" s="690">
        <f t="shared" si="4"/>
        <v>0.24458178346743997</v>
      </c>
      <c r="G26" s="689">
        <f t="shared" si="4"/>
        <v>0.38780345461477461</v>
      </c>
      <c r="H26" s="689">
        <f t="shared" si="4"/>
        <v>2.1161162513226195E-2</v>
      </c>
      <c r="I26" s="689">
        <f t="shared" si="4"/>
        <v>0.3845770024442805</v>
      </c>
      <c r="J26" s="698"/>
      <c r="K26" s="668" t="s">
        <v>58</v>
      </c>
      <c r="L26" s="683">
        <f t="shared" si="5"/>
        <v>0</v>
      </c>
    </row>
    <row r="27" spans="1:13">
      <c r="A27" s="531" t="s">
        <v>7</v>
      </c>
      <c r="B27" s="687">
        <f t="shared" si="4"/>
        <v>0.10299497819951223</v>
      </c>
      <c r="C27" s="688">
        <f t="shared" si="4"/>
        <v>0.14702614146776419</v>
      </c>
      <c r="D27" s="687">
        <f t="shared" si="4"/>
        <v>0</v>
      </c>
      <c r="E27" s="687">
        <f t="shared" si="4"/>
        <v>0.14573231142284787</v>
      </c>
      <c r="F27" s="690">
        <f t="shared" si="4"/>
        <v>0.10201635223882624</v>
      </c>
      <c r="G27" s="689">
        <f t="shared" si="4"/>
        <v>0.14569503639929612</v>
      </c>
      <c r="H27" s="689">
        <f t="shared" si="4"/>
        <v>0</v>
      </c>
      <c r="I27" s="689">
        <f t="shared" si="4"/>
        <v>0.14441292007898232</v>
      </c>
      <c r="J27" s="698"/>
      <c r="K27" s="668" t="s">
        <v>59</v>
      </c>
      <c r="L27" s="683">
        <f t="shared" si="5"/>
        <v>0</v>
      </c>
    </row>
    <row r="28" spans="1:13">
      <c r="A28" s="531" t="s">
        <v>0</v>
      </c>
      <c r="B28" s="687">
        <f t="shared" si="4"/>
        <v>-0.47432880997975779</v>
      </c>
      <c r="C28" s="688">
        <f t="shared" si="4"/>
        <v>3.9536758620501988E-2</v>
      </c>
      <c r="D28" s="687">
        <f t="shared" si="4"/>
        <v>9.3585080415633515E-2</v>
      </c>
      <c r="E28" s="687">
        <f t="shared" si="4"/>
        <v>4.0012383852299216E-2</v>
      </c>
      <c r="F28" s="690">
        <f t="shared" si="4"/>
        <v>-0.48338165106019604</v>
      </c>
      <c r="G28" s="689">
        <f t="shared" si="4"/>
        <v>2.9397092152180893E-2</v>
      </c>
      <c r="H28" s="689">
        <f t="shared" si="4"/>
        <v>9.3585080415633515E-2</v>
      </c>
      <c r="I28" s="689">
        <f t="shared" si="4"/>
        <v>2.9961946448899379E-2</v>
      </c>
      <c r="J28" s="698"/>
      <c r="K28" s="668" t="s">
        <v>60</v>
      </c>
      <c r="L28" s="683">
        <f>L10-L44</f>
        <v>0.86308920678407786</v>
      </c>
    </row>
    <row r="29" spans="1:13">
      <c r="A29" s="531" t="s">
        <v>1</v>
      </c>
      <c r="B29" s="687">
        <f t="shared" si="4"/>
        <v>-5.5758143319145304E-2</v>
      </c>
      <c r="C29" s="688">
        <f t="shared" si="4"/>
        <v>-8.3696452299077295E-2</v>
      </c>
      <c r="D29" s="687">
        <f t="shared" si="4"/>
        <v>-0.59608229055112272</v>
      </c>
      <c r="E29" s="687">
        <f t="shared" si="4"/>
        <v>-8.820544767569527E-2</v>
      </c>
      <c r="F29" s="690">
        <f t="shared" si="4"/>
        <v>-5.5199881688644536E-2</v>
      </c>
      <c r="G29" s="689">
        <f t="shared" si="4"/>
        <v>-8.3662546695042694E-2</v>
      </c>
      <c r="H29" s="689">
        <f t="shared" si="4"/>
        <v>-0.59608229055112272</v>
      </c>
      <c r="I29" s="689">
        <f t="shared" si="4"/>
        <v>-8.8171840440976146E-2</v>
      </c>
      <c r="J29" s="698"/>
      <c r="K29" s="668" t="s">
        <v>61</v>
      </c>
      <c r="L29" s="683">
        <f t="shared" si="5"/>
        <v>0</v>
      </c>
    </row>
    <row r="30" spans="1:13">
      <c r="A30" s="531" t="s">
        <v>4</v>
      </c>
      <c r="B30" s="687">
        <f t="shared" si="4"/>
        <v>0.13306069393947162</v>
      </c>
      <c r="C30" s="688">
        <f t="shared" si="4"/>
        <v>0.14105105022672149</v>
      </c>
      <c r="D30" s="687">
        <f t="shared" si="4"/>
        <v>2.0344303048429442</v>
      </c>
      <c r="E30" s="687">
        <f t="shared" si="4"/>
        <v>0.15771278766734431</v>
      </c>
      <c r="F30" s="690">
        <f t="shared" si="4"/>
        <v>0.13392499279231451</v>
      </c>
      <c r="G30" s="689">
        <f t="shared" si="4"/>
        <v>0.14029342933372657</v>
      </c>
      <c r="H30" s="689">
        <f t="shared" si="4"/>
        <v>2.0521986061933362</v>
      </c>
      <c r="I30" s="689">
        <f t="shared" si="4"/>
        <v>0.15711819489009127</v>
      </c>
      <c r="J30" s="698"/>
      <c r="K30" s="668" t="s">
        <v>62</v>
      </c>
      <c r="L30" s="683">
        <f t="shared" si="5"/>
        <v>0</v>
      </c>
    </row>
    <row r="31" spans="1:13">
      <c r="A31" s="531" t="s">
        <v>17</v>
      </c>
      <c r="B31" s="687">
        <f t="shared" si="4"/>
        <v>8.9218174242424703E-2</v>
      </c>
      <c r="C31" s="688">
        <f t="shared" si="4"/>
        <v>8.8068052235466293E-2</v>
      </c>
      <c r="D31" s="687">
        <f t="shared" si="4"/>
        <v>0</v>
      </c>
      <c r="E31" s="687">
        <f t="shared" si="4"/>
        <v>8.7293053375794183E-2</v>
      </c>
      <c r="F31" s="690">
        <f t="shared" si="4"/>
        <v>8.7176698816271991E-2</v>
      </c>
      <c r="G31" s="689">
        <f t="shared" si="4"/>
        <v>8.586573833956776E-2</v>
      </c>
      <c r="H31" s="689">
        <f t="shared" si="4"/>
        <v>0</v>
      </c>
      <c r="I31" s="689">
        <f t="shared" si="4"/>
        <v>8.511011984217956E-2</v>
      </c>
      <c r="J31" s="698"/>
      <c r="K31" s="670" t="s">
        <v>66</v>
      </c>
      <c r="L31" s="683">
        <f t="shared" si="5"/>
        <v>0</v>
      </c>
    </row>
    <row r="32" spans="1:13">
      <c r="A32" s="537" t="s">
        <v>205</v>
      </c>
      <c r="B32" s="687">
        <f t="shared" si="4"/>
        <v>0.14906989013309702</v>
      </c>
      <c r="C32" s="688">
        <f t="shared" si="4"/>
        <v>0.19689926930185658</v>
      </c>
      <c r="D32" s="687">
        <f t="shared" si="4"/>
        <v>-7.5414781297134234E-2</v>
      </c>
      <c r="E32" s="687">
        <f t="shared" si="4"/>
        <v>0.19450290565658543</v>
      </c>
      <c r="F32" s="690">
        <f t="shared" si="4"/>
        <v>0.12428048145909763</v>
      </c>
      <c r="G32" s="689">
        <f t="shared" si="4"/>
        <v>0.16393182940644035</v>
      </c>
      <c r="H32" s="689">
        <f t="shared" si="4"/>
        <v>-7.5414781297134234E-2</v>
      </c>
      <c r="I32" s="689">
        <f t="shared" si="4"/>
        <v>0.16182557923224886</v>
      </c>
      <c r="J32" s="698"/>
      <c r="K32" s="671" t="s">
        <v>67</v>
      </c>
      <c r="L32" s="683">
        <f t="shared" si="5"/>
        <v>0</v>
      </c>
    </row>
    <row r="33" spans="1:12">
      <c r="A33" s="538" t="s">
        <v>64</v>
      </c>
      <c r="B33" s="687">
        <f t="shared" si="4"/>
        <v>-0.3694462598678363</v>
      </c>
      <c r="C33" s="688">
        <f t="shared" si="4"/>
        <v>-0.39098106782642805</v>
      </c>
      <c r="D33" s="687">
        <f t="shared" si="4"/>
        <v>0</v>
      </c>
      <c r="E33" s="687">
        <f t="shared" si="4"/>
        <v>-0.38754043442955549</v>
      </c>
      <c r="F33" s="690">
        <f t="shared" si="4"/>
        <v>-0.3694462598678363</v>
      </c>
      <c r="G33" s="689">
        <f t="shared" si="4"/>
        <v>-0.39098106782642805</v>
      </c>
      <c r="H33" s="689">
        <f t="shared" si="4"/>
        <v>0</v>
      </c>
      <c r="I33" s="689">
        <f t="shared" si="4"/>
        <v>-0.38754043442955549</v>
      </c>
      <c r="J33" s="698"/>
      <c r="K33" s="668" t="s">
        <v>281</v>
      </c>
      <c r="L33" s="683">
        <f t="shared" si="5"/>
        <v>0</v>
      </c>
    </row>
    <row r="34" spans="1:12" ht="15.75" thickBot="1">
      <c r="A34" s="539" t="s">
        <v>2</v>
      </c>
      <c r="B34" s="699">
        <f>SUM(B24:B33)</f>
        <v>-0.71894300563285807</v>
      </c>
      <c r="C34" s="700">
        <f t="shared" ref="C34:I34" si="6">SUM(C24:C33)</f>
        <v>-8.0143413677173758E-2</v>
      </c>
      <c r="D34" s="699">
        <f t="shared" si="6"/>
        <v>3.8099740470240877</v>
      </c>
      <c r="E34" s="699">
        <f t="shared" si="6"/>
        <v>-4.5910380023003017E-2</v>
      </c>
      <c r="F34" s="701">
        <f t="shared" si="6"/>
        <v>-0.71894300563284108</v>
      </c>
      <c r="G34" s="692">
        <f t="shared" si="6"/>
        <v>-8.0286359117932526E-2</v>
      </c>
      <c r="H34" s="692">
        <f t="shared" si="6"/>
        <v>3.8099740470240895</v>
      </c>
      <c r="I34" s="692">
        <f t="shared" si="6"/>
        <v>-4.6052067543883246E-2</v>
      </c>
      <c r="J34" s="702"/>
      <c r="K34" s="703" t="s">
        <v>16</v>
      </c>
      <c r="L34" s="704">
        <f t="shared" ref="L34" si="7">SUM(L24:L33)</f>
        <v>2.3098080722868644</v>
      </c>
    </row>
    <row r="38" spans="1:12" ht="15.75" thickBot="1">
      <c r="A38" s="50" t="s">
        <v>229</v>
      </c>
    </row>
    <row r="39" spans="1:12">
      <c r="A39" s="529" t="s">
        <v>2</v>
      </c>
      <c r="B39" s="691">
        <v>11.57</v>
      </c>
      <c r="C39" s="693"/>
      <c r="D39" s="691"/>
      <c r="E39" s="693">
        <v>12.08</v>
      </c>
      <c r="F39" s="694">
        <v>11.57</v>
      </c>
      <c r="G39" s="691"/>
      <c r="H39" s="691"/>
      <c r="I39" s="691">
        <v>12.08</v>
      </c>
      <c r="J39" s="695"/>
      <c r="K39" s="696" t="s">
        <v>16</v>
      </c>
      <c r="L39" s="697">
        <v>5.75</v>
      </c>
    </row>
    <row r="40" spans="1:12">
      <c r="A40" s="531" t="s">
        <v>6</v>
      </c>
      <c r="B40" s="687">
        <v>0.3815447732959602</v>
      </c>
      <c r="C40" s="688">
        <v>0.18224653946566108</v>
      </c>
      <c r="D40" s="687">
        <v>2.4886877828054299</v>
      </c>
      <c r="E40" s="687">
        <f t="shared" ref="E40:E49" si="8">C40*C$18+D40*D$18</f>
        <v>0.20254322240705103</v>
      </c>
      <c r="F40" s="690">
        <v>0.3815447732959602</v>
      </c>
      <c r="G40" s="689">
        <v>0.18224653946566108</v>
      </c>
      <c r="H40" s="689">
        <v>2.4886877828054299</v>
      </c>
      <c r="I40" s="689">
        <f t="shared" ref="I40:I49" si="9">G40*G$18+H40*H$18</f>
        <v>0.20254322240705103</v>
      </c>
      <c r="J40" s="698"/>
      <c r="K40" s="668" t="s">
        <v>56</v>
      </c>
      <c r="L40" s="683">
        <v>4.7687497155341134</v>
      </c>
    </row>
    <row r="41" spans="1:12">
      <c r="A41" s="531" t="s">
        <v>3</v>
      </c>
      <c r="B41" s="687">
        <v>2.3628904251752845</v>
      </c>
      <c r="C41" s="688">
        <v>2.703186665061962</v>
      </c>
      <c r="D41" s="687">
        <v>1.9984917043740571</v>
      </c>
      <c r="E41" s="687">
        <f t="shared" si="8"/>
        <v>2.6969853494079086</v>
      </c>
      <c r="F41" s="690">
        <v>2.3628904251752845</v>
      </c>
      <c r="G41" s="689">
        <v>2.703186665061962</v>
      </c>
      <c r="H41" s="689">
        <v>1.9984917043740571</v>
      </c>
      <c r="I41" s="689">
        <f t="shared" si="9"/>
        <v>2.6969853494079086</v>
      </c>
      <c r="J41" s="698"/>
      <c r="K41" s="669" t="s">
        <v>57</v>
      </c>
      <c r="L41" s="683"/>
    </row>
    <row r="42" spans="1:12">
      <c r="A42" s="531" t="s">
        <v>5</v>
      </c>
      <c r="B42" s="687">
        <v>3.3466433005220715</v>
      </c>
      <c r="C42" s="688">
        <v>3.9910294554283952</v>
      </c>
      <c r="D42" s="687">
        <v>1.5460030165912517</v>
      </c>
      <c r="E42" s="687">
        <f t="shared" si="8"/>
        <v>3.9695132227666283</v>
      </c>
      <c r="F42" s="690">
        <v>3.3466433005220715</v>
      </c>
      <c r="G42" s="689">
        <v>3.9910294554283952</v>
      </c>
      <c r="H42" s="689">
        <v>1.5460030165912517</v>
      </c>
      <c r="I42" s="689">
        <f t="shared" si="9"/>
        <v>3.9695132227666283</v>
      </c>
      <c r="J42" s="698"/>
      <c r="K42" s="668" t="s">
        <v>58</v>
      </c>
      <c r="L42" s="683"/>
    </row>
    <row r="43" spans="1:12">
      <c r="A43" s="531" t="s">
        <v>7</v>
      </c>
      <c r="B43" s="687">
        <v>0.17277552751407463</v>
      </c>
      <c r="C43" s="688">
        <v>0.18092493885223096</v>
      </c>
      <c r="D43" s="687">
        <v>0</v>
      </c>
      <c r="E43" s="687">
        <f t="shared" si="8"/>
        <v>0.17933279939033131</v>
      </c>
      <c r="F43" s="690">
        <v>0.17277552751407463</v>
      </c>
      <c r="G43" s="689">
        <v>0.18092493885223096</v>
      </c>
      <c r="H43" s="689">
        <v>0</v>
      </c>
      <c r="I43" s="689">
        <f t="shared" si="9"/>
        <v>0.17933279939033131</v>
      </c>
      <c r="J43" s="698"/>
      <c r="K43" s="668" t="s">
        <v>59</v>
      </c>
      <c r="L43" s="683"/>
    </row>
    <row r="44" spans="1:12">
      <c r="A44" s="531" t="s">
        <v>0</v>
      </c>
      <c r="B44" s="687">
        <v>2.6510519253097815</v>
      </c>
      <c r="C44" s="688">
        <v>2.1671155676329175</v>
      </c>
      <c r="D44" s="687">
        <v>0.22624434389140274</v>
      </c>
      <c r="E44" s="687">
        <f t="shared" si="8"/>
        <v>2.1500359008639922</v>
      </c>
      <c r="F44" s="690">
        <v>2.6510519253097815</v>
      </c>
      <c r="G44" s="689">
        <v>2.1671155676329175</v>
      </c>
      <c r="H44" s="689">
        <v>0.22624434389140274</v>
      </c>
      <c r="I44" s="689">
        <f t="shared" si="9"/>
        <v>2.1500359008639922</v>
      </c>
      <c r="J44" s="698"/>
      <c r="K44" s="668" t="s">
        <v>60</v>
      </c>
      <c r="L44" s="683">
        <v>0.9812502844658868</v>
      </c>
    </row>
    <row r="45" spans="1:12">
      <c r="A45" s="531" t="s">
        <v>1</v>
      </c>
      <c r="B45" s="687">
        <v>0.64291676915563967</v>
      </c>
      <c r="C45" s="688">
        <v>0.59416782486458108</v>
      </c>
      <c r="D45" s="687">
        <v>6.0331825037707389</v>
      </c>
      <c r="E45" s="687">
        <f t="shared" si="8"/>
        <v>0.64203115403895528</v>
      </c>
      <c r="F45" s="690">
        <v>0.64291676915563967</v>
      </c>
      <c r="G45" s="689">
        <v>0.59416782486458108</v>
      </c>
      <c r="H45" s="689">
        <v>6.0331825037707389</v>
      </c>
      <c r="I45" s="689">
        <f t="shared" si="9"/>
        <v>0.64203115403895528</v>
      </c>
      <c r="J45" s="698"/>
      <c r="K45" s="668" t="s">
        <v>61</v>
      </c>
      <c r="L45" s="683"/>
    </row>
    <row r="46" spans="1:12">
      <c r="A46" s="531" t="s">
        <v>4</v>
      </c>
      <c r="B46" s="687">
        <v>1.5050382354836567</v>
      </c>
      <c r="C46" s="688">
        <v>1.6479779381938071</v>
      </c>
      <c r="D46" s="687">
        <v>6.6365007541478143</v>
      </c>
      <c r="E46" s="687">
        <f t="shared" si="8"/>
        <v>1.6918769389742023</v>
      </c>
      <c r="F46" s="690">
        <v>1.5050382354836567</v>
      </c>
      <c r="G46" s="689">
        <v>1.6479779381938071</v>
      </c>
      <c r="H46" s="689">
        <v>6.6365007541478143</v>
      </c>
      <c r="I46" s="689">
        <f t="shared" si="9"/>
        <v>1.6918769389742023</v>
      </c>
      <c r="J46" s="698"/>
      <c r="K46" s="668" t="s">
        <v>62</v>
      </c>
      <c r="L46" s="683"/>
    </row>
    <row r="47" spans="1:12">
      <c r="A47" s="531" t="s">
        <v>17</v>
      </c>
      <c r="B47" s="687">
        <v>5.1839991592130506E-2</v>
      </c>
      <c r="C47" s="688">
        <v>4.0075469540893423E-2</v>
      </c>
      <c r="D47" s="687">
        <v>0</v>
      </c>
      <c r="E47" s="687">
        <f t="shared" si="8"/>
        <v>3.9722805408933561E-2</v>
      </c>
      <c r="F47" s="690">
        <v>5.1839991592130506E-2</v>
      </c>
      <c r="G47" s="689">
        <v>4.0075469540893423E-2</v>
      </c>
      <c r="H47" s="689">
        <v>0</v>
      </c>
      <c r="I47" s="689">
        <f t="shared" si="9"/>
        <v>3.9722805408933561E-2</v>
      </c>
      <c r="J47" s="698"/>
      <c r="K47" s="670" t="s">
        <v>66</v>
      </c>
      <c r="L47" s="683"/>
    </row>
    <row r="48" spans="1:12">
      <c r="A48" s="537" t="s">
        <v>205</v>
      </c>
      <c r="B48" s="687">
        <v>8.9857455692905389E-2</v>
      </c>
      <c r="C48" s="688">
        <v>0.11700874655471566</v>
      </c>
      <c r="D48" s="687">
        <v>7.5414781297134234E-2</v>
      </c>
      <c r="E48" s="687">
        <f t="shared" si="8"/>
        <v>0.11664271966044895</v>
      </c>
      <c r="F48" s="690">
        <v>8.9857455692905389E-2</v>
      </c>
      <c r="G48" s="689">
        <v>0.11700874655471566</v>
      </c>
      <c r="H48" s="689">
        <v>7.5414781297134234E-2</v>
      </c>
      <c r="I48" s="689">
        <f t="shared" si="9"/>
        <v>0.11664271966044895</v>
      </c>
      <c r="J48" s="698"/>
      <c r="K48" s="671" t="s">
        <v>67</v>
      </c>
      <c r="L48" s="683"/>
    </row>
    <row r="49" spans="1:12">
      <c r="A49" s="538" t="s">
        <v>64</v>
      </c>
      <c r="B49" s="687">
        <v>0.3694462598678363</v>
      </c>
      <c r="C49" s="688">
        <v>0.39098106782642805</v>
      </c>
      <c r="D49" s="687">
        <v>0</v>
      </c>
      <c r="E49" s="687">
        <f t="shared" si="8"/>
        <v>0.38754043442955549</v>
      </c>
      <c r="F49" s="690">
        <v>0.3694462598678363</v>
      </c>
      <c r="G49" s="689">
        <v>0.39098106782642805</v>
      </c>
      <c r="H49" s="689">
        <v>0</v>
      </c>
      <c r="I49" s="689">
        <f t="shared" si="9"/>
        <v>0.38754043442955549</v>
      </c>
      <c r="J49" s="698"/>
      <c r="K49" s="668" t="s">
        <v>281</v>
      </c>
      <c r="L49" s="683"/>
    </row>
    <row r="50" spans="1:12" ht="15.75" thickBot="1">
      <c r="A50" s="539" t="s">
        <v>2</v>
      </c>
      <c r="B50" s="699">
        <f>SUM(B40:B49)</f>
        <v>11.57400466360934</v>
      </c>
      <c r="C50" s="700">
        <f t="shared" ref="C50:I50" si="10">SUM(C40:C49)</f>
        <v>12.014714213421591</v>
      </c>
      <c r="D50" s="699">
        <f t="shared" si="10"/>
        <v>19.004524886877828</v>
      </c>
      <c r="E50" s="699">
        <f t="shared" si="10"/>
        <v>12.076224547348007</v>
      </c>
      <c r="F50" s="701">
        <f t="shared" si="10"/>
        <v>11.57400466360934</v>
      </c>
      <c r="G50" s="692">
        <f t="shared" si="10"/>
        <v>12.014714213421591</v>
      </c>
      <c r="H50" s="692">
        <f t="shared" si="10"/>
        <v>19.004524886877828</v>
      </c>
      <c r="I50" s="692">
        <f t="shared" si="10"/>
        <v>12.076224547348007</v>
      </c>
      <c r="J50" s="702"/>
      <c r="K50" s="703" t="s">
        <v>16</v>
      </c>
      <c r="L50" s="704">
        <f t="shared" ref="L50" si="11">SUM(L40:L49)</f>
        <v>5.75</v>
      </c>
    </row>
  </sheetData>
  <sheetProtection algorithmName="SHA-512" hashValue="RGpyu9nJ2le2hpbkltuaFpBDZSnHymkgEYXk5A68h+zraSZgXfrsTCOMyRDqKaZ50dWosxSSgow5wKhRINgl7Q==" saltValue="TEvUtar2JH+EW1nj/ZMpKQ==" spinCount="100000" sheet="1" objects="1" scenarios="1"/>
  <mergeCells count="15">
    <mergeCell ref="L3:L4"/>
    <mergeCell ref="K1:L1"/>
    <mergeCell ref="E3:E4"/>
    <mergeCell ref="G3:G4"/>
    <mergeCell ref="D3:D4"/>
    <mergeCell ref="H3:H4"/>
    <mergeCell ref="K3:K4"/>
    <mergeCell ref="B2:E2"/>
    <mergeCell ref="F2:I2"/>
    <mergeCell ref="A1:I1"/>
    <mergeCell ref="A3:A4"/>
    <mergeCell ref="B3:B4"/>
    <mergeCell ref="C3:C4"/>
    <mergeCell ref="F3:F4"/>
    <mergeCell ref="I3:I4"/>
  </mergeCells>
  <conditionalFormatting sqref="A23:XFD34">
    <cfRule type="cellIs" dxfId="1" priority="2" operator="lessThan">
      <formula>0</formula>
    </cfRule>
  </conditionalFormatting>
  <conditionalFormatting sqref="K23:L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F2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ColWidth="8.7109375" defaultRowHeight="15"/>
  <cols>
    <col min="1" max="1" width="18" style="50" customWidth="1"/>
    <col min="2" max="3" width="17.5703125" style="50" customWidth="1"/>
    <col min="4" max="4" width="16.5703125" style="50" customWidth="1"/>
    <col min="5" max="5" width="18.42578125" style="50" customWidth="1"/>
    <col min="6" max="6" width="11.5703125" style="50" bestFit="1" customWidth="1"/>
    <col min="7" max="16384" width="8.7109375" style="2"/>
  </cols>
  <sheetData>
    <row r="1" spans="1:6" ht="15.75" thickBot="1">
      <c r="B1" s="234" t="s">
        <v>134</v>
      </c>
      <c r="C1" s="234" t="s">
        <v>135</v>
      </c>
      <c r="D1" s="234" t="s">
        <v>135</v>
      </c>
      <c r="E1" s="237"/>
    </row>
    <row r="2" spans="1:6" ht="15.75" thickBot="1">
      <c r="A2" s="235"/>
      <c r="B2" s="1508" t="s">
        <v>136</v>
      </c>
      <c r="C2" s="1509"/>
      <c r="D2" s="1509"/>
      <c r="E2" s="1510"/>
    </row>
    <row r="3" spans="1:6" ht="15.75" thickBot="1">
      <c r="A3" s="30"/>
      <c r="B3" s="238" t="s">
        <v>137</v>
      </c>
      <c r="C3" s="239" t="s">
        <v>138</v>
      </c>
      <c r="D3" s="236" t="s">
        <v>139</v>
      </c>
      <c r="E3" s="240" t="s">
        <v>55</v>
      </c>
    </row>
    <row r="4" spans="1:6">
      <c r="A4" s="255" t="s">
        <v>16</v>
      </c>
      <c r="B4" s="259">
        <v>5.5837087087087088E-2</v>
      </c>
      <c r="C4" s="260">
        <v>7.29111039908861E-2</v>
      </c>
      <c r="D4" s="261">
        <v>0.13696380061911681</v>
      </c>
      <c r="E4" s="267">
        <v>88538</v>
      </c>
    </row>
    <row r="5" spans="1:6">
      <c r="A5" s="256" t="s">
        <v>56</v>
      </c>
      <c r="B5" s="262">
        <v>2.7214714714714713E-3</v>
      </c>
      <c r="C5" s="251">
        <v>2.2108298622236459E-2</v>
      </c>
      <c r="D5" s="263">
        <v>1.7752226925263757E-2</v>
      </c>
      <c r="E5" s="253">
        <f t="shared" ref="E5:E14" si="0">INT(0.5+SUMPRODUCT(B5:D5,$B$16:$D$16)*$B$18)</f>
        <v>14183</v>
      </c>
    </row>
    <row r="6" spans="1:6">
      <c r="A6" s="21" t="s">
        <v>57</v>
      </c>
      <c r="B6" s="262">
        <v>1.6610360360360361E-2</v>
      </c>
      <c r="C6" s="251">
        <v>7.5830396240521188E-3</v>
      </c>
      <c r="D6" s="263">
        <v>1.137153326173479E-2</v>
      </c>
      <c r="E6" s="253">
        <f t="shared" si="0"/>
        <v>11860</v>
      </c>
    </row>
    <row r="7" spans="1:6">
      <c r="A7" s="21" t="s">
        <v>58</v>
      </c>
      <c r="B7" s="262">
        <v>9.5720720720720714E-3</v>
      </c>
      <c r="C7" s="251">
        <v>1.1783972373527001E-2</v>
      </c>
      <c r="D7" s="263">
        <v>4.3085476025017375E-2</v>
      </c>
      <c r="E7" s="253">
        <f t="shared" si="0"/>
        <v>21469</v>
      </c>
    </row>
    <row r="8" spans="1:6">
      <c r="A8" s="21" t="s">
        <v>59</v>
      </c>
      <c r="B8" s="262">
        <v>5.9121621621621625E-3</v>
      </c>
      <c r="C8" s="251">
        <v>1.0680337498664956E-3</v>
      </c>
      <c r="D8" s="263">
        <v>6.3175184787415501E-3</v>
      </c>
      <c r="E8" s="253">
        <f t="shared" si="0"/>
        <v>4434</v>
      </c>
    </row>
    <row r="9" spans="1:6">
      <c r="A9" s="21" t="s">
        <v>60</v>
      </c>
      <c r="B9" s="262">
        <v>1.0604354354354355E-2</v>
      </c>
      <c r="C9" s="251">
        <v>1.5557691623055286E-2</v>
      </c>
      <c r="D9" s="263">
        <v>2.3374818371343736E-2</v>
      </c>
      <c r="E9" s="253">
        <f t="shared" si="0"/>
        <v>16506</v>
      </c>
    </row>
    <row r="10" spans="1:6">
      <c r="A10" s="21" t="s">
        <v>61</v>
      </c>
      <c r="B10" s="262">
        <v>6.6629129129129128E-3</v>
      </c>
      <c r="C10" s="251">
        <v>5.3401687493324782E-3</v>
      </c>
      <c r="D10" s="263">
        <v>2.1669088382083514E-2</v>
      </c>
      <c r="E10" s="253">
        <f t="shared" si="0"/>
        <v>11219</v>
      </c>
    </row>
    <row r="11" spans="1:6">
      <c r="A11" s="21" t="s">
        <v>62</v>
      </c>
      <c r="B11" s="262">
        <v>3.3783783783783786E-3</v>
      </c>
      <c r="C11" s="251">
        <v>5.9097867492612756E-3</v>
      </c>
      <c r="D11" s="263">
        <v>8.3391243919388458E-3</v>
      </c>
      <c r="E11" s="253">
        <f t="shared" si="0"/>
        <v>5873</v>
      </c>
    </row>
    <row r="12" spans="1:6">
      <c r="A12" s="22" t="s">
        <v>66</v>
      </c>
      <c r="B12" s="262">
        <v>3.7537537537537537E-4</v>
      </c>
      <c r="C12" s="251">
        <v>3.5601124995549853E-3</v>
      </c>
      <c r="D12" s="263">
        <v>5.0540147829932396E-3</v>
      </c>
      <c r="E12" s="253">
        <f t="shared" si="0"/>
        <v>2994</v>
      </c>
    </row>
    <row r="13" spans="1:6">
      <c r="A13" s="343" t="s">
        <v>205</v>
      </c>
      <c r="B13" s="262">
        <v>0</v>
      </c>
      <c r="C13" s="251">
        <v>0</v>
      </c>
      <c r="D13" s="263">
        <v>0</v>
      </c>
      <c r="E13" s="253">
        <f t="shared" si="0"/>
        <v>0</v>
      </c>
    </row>
    <row r="14" spans="1:6">
      <c r="A14" s="257" t="s">
        <v>68</v>
      </c>
      <c r="B14" s="262">
        <v>0</v>
      </c>
      <c r="C14" s="251">
        <v>0</v>
      </c>
      <c r="D14" s="263">
        <v>0</v>
      </c>
      <c r="E14" s="253">
        <f t="shared" si="0"/>
        <v>0</v>
      </c>
    </row>
    <row r="15" spans="1:6" ht="15.75" thickBot="1">
      <c r="A15" s="258" t="s">
        <v>16</v>
      </c>
      <c r="B15" s="264">
        <f>SUM(B5:B14)</f>
        <v>5.5837087087087088E-2</v>
      </c>
      <c r="C15" s="265">
        <f t="shared" ref="C15:E15" si="1">SUM(C5:C14)</f>
        <v>7.29111039908861E-2</v>
      </c>
      <c r="D15" s="266">
        <f t="shared" si="1"/>
        <v>0.13696380061911681</v>
      </c>
      <c r="E15" s="268">
        <f t="shared" si="1"/>
        <v>88538</v>
      </c>
    </row>
    <row r="16" spans="1:6" ht="15.75" thickBot="1">
      <c r="A16" s="252" t="s">
        <v>90</v>
      </c>
      <c r="B16" s="241">
        <v>0.33400000000000002</v>
      </c>
      <c r="C16" s="241">
        <v>0.33300000000000002</v>
      </c>
      <c r="D16" s="242">
        <v>0.33300000000000002</v>
      </c>
      <c r="E16" s="254">
        <v>1000000</v>
      </c>
      <c r="F16" s="197"/>
    </row>
    <row r="17" spans="1:6" s="250" customFormat="1">
      <c r="A17" s="247"/>
      <c r="B17" s="248"/>
      <c r="C17" s="248"/>
      <c r="D17" s="248"/>
      <c r="E17" s="247"/>
      <c r="F17" s="249"/>
    </row>
    <row r="18" spans="1:6">
      <c r="A18" s="243" t="s">
        <v>140</v>
      </c>
      <c r="B18" s="244">
        <v>1000000</v>
      </c>
    </row>
    <row r="19" spans="1:6">
      <c r="A19" s="19" t="s">
        <v>141</v>
      </c>
      <c r="B19" s="245">
        <f>E16</f>
        <v>1000000</v>
      </c>
    </row>
    <row r="20" spans="1:6">
      <c r="A20" s="19" t="s">
        <v>142</v>
      </c>
      <c r="B20" s="245">
        <f>B18-B19</f>
        <v>0</v>
      </c>
      <c r="C20" s="246"/>
    </row>
  </sheetData>
  <sheetProtection algorithmName="SHA-512" hashValue="+piYIAUYnwZqrTUgyN3nc5Vf/VY1bOXm2gXIC1MT8dd3XDF0A8rnyoaVIosWWVFjcrCv/WAIDqAanxE1OIIhqg==" saltValue="v142p+leiSVNE0oLdnY5CQ==" spinCount="100000" sheet="1" objects="1" scenarios="1"/>
  <mergeCells count="1">
    <mergeCell ref="B2:E2"/>
  </mergeCells>
  <pageMargins left="0.7" right="0.7" top="0.75" bottom="0.75" header="0.3" footer="0.3"/>
  <pageSetup paperSize="9" orientation="portrait" r:id="rId1"/>
  <ignoredErrors>
    <ignoredError sqref="B15: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1:X1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Z18" sqref="Z18"/>
    </sheetView>
  </sheetViews>
  <sheetFormatPr defaultColWidth="9.28515625" defaultRowHeight="12.75"/>
  <cols>
    <col min="1" max="1" width="3.28515625" style="355" customWidth="1"/>
    <col min="2" max="2" width="39.42578125" style="355" customWidth="1"/>
    <col min="3" max="3" width="11.5703125" style="374" customWidth="1"/>
    <col min="4" max="12" width="10.5703125" style="355" customWidth="1"/>
    <col min="13" max="13" width="11.5703125" style="360" customWidth="1"/>
    <col min="14" max="15" width="11.5703125" style="355" customWidth="1"/>
    <col min="16" max="17" width="11.5703125" style="360" customWidth="1"/>
    <col min="18" max="18" width="12.28515625" style="360" customWidth="1"/>
    <col min="19" max="19" width="14.7109375" style="355" hidden="1" customWidth="1"/>
    <col min="20" max="20" width="13.5703125" style="355" hidden="1" customWidth="1"/>
    <col min="21" max="21" width="14.42578125" style="355" hidden="1" customWidth="1"/>
    <col min="22" max="22" width="24.28515625" style="355" hidden="1" customWidth="1"/>
    <col min="23" max="23" width="9.28515625" style="355" customWidth="1"/>
    <col min="24" max="16384" width="9.28515625" style="355"/>
  </cols>
  <sheetData>
    <row r="1" spans="2:21" ht="47.65" customHeight="1" thickBot="1">
      <c r="B1" s="1347" t="s">
        <v>269</v>
      </c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9"/>
    </row>
    <row r="2" spans="2:21" s="361" customFormat="1" ht="12.95" customHeight="1" thickBot="1">
      <c r="B2" s="362"/>
      <c r="C2" s="363"/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364"/>
      <c r="O2" s="364"/>
      <c r="P2" s="366"/>
      <c r="Q2" s="366"/>
      <c r="R2" s="366"/>
    </row>
    <row r="3" spans="2:21" ht="38.25" customHeight="1" thickBot="1">
      <c r="B3" s="375" t="s">
        <v>206</v>
      </c>
      <c r="C3" s="444" t="s">
        <v>207</v>
      </c>
      <c r="D3" s="376" t="s">
        <v>56</v>
      </c>
      <c r="E3" s="376" t="s">
        <v>57</v>
      </c>
      <c r="F3" s="376" t="s">
        <v>58</v>
      </c>
      <c r="G3" s="376" t="s">
        <v>59</v>
      </c>
      <c r="H3" s="377" t="s">
        <v>62</v>
      </c>
      <c r="I3" s="376" t="s">
        <v>60</v>
      </c>
      <c r="J3" s="376" t="s">
        <v>61</v>
      </c>
      <c r="K3" s="378" t="s">
        <v>208</v>
      </c>
      <c r="L3" s="376" t="s">
        <v>205</v>
      </c>
      <c r="M3" s="1019" t="s">
        <v>246</v>
      </c>
      <c r="N3" s="378" t="s">
        <v>360</v>
      </c>
      <c r="O3" s="379" t="s">
        <v>209</v>
      </c>
      <c r="P3" s="380" t="s">
        <v>411</v>
      </c>
      <c r="Q3" s="380" t="s">
        <v>439</v>
      </c>
      <c r="R3" s="380" t="s">
        <v>16</v>
      </c>
      <c r="S3" s="368" t="s">
        <v>211</v>
      </c>
      <c r="T3" s="368" t="s">
        <v>212</v>
      </c>
      <c r="U3" s="368" t="s">
        <v>213</v>
      </c>
    </row>
    <row r="4" spans="2:21" ht="12.95" customHeight="1" thickBot="1">
      <c r="B4" s="369"/>
      <c r="C4" s="445"/>
      <c r="D4" s="370"/>
      <c r="E4" s="371"/>
      <c r="F4" s="371"/>
      <c r="G4" s="371"/>
      <c r="H4" s="371"/>
      <c r="I4" s="371"/>
      <c r="J4" s="371"/>
      <c r="K4" s="371"/>
      <c r="L4" s="371"/>
      <c r="M4" s="372"/>
      <c r="N4" s="371"/>
      <c r="O4" s="371"/>
      <c r="P4" s="373"/>
      <c r="Q4" s="373"/>
      <c r="R4" s="373"/>
    </row>
    <row r="5" spans="2:21" ht="29.65" customHeight="1">
      <c r="B5" s="1193" t="s">
        <v>214</v>
      </c>
      <c r="C5" s="1196">
        <f>'1. RD2021'!C5-'2. RD rozdiel'!C72</f>
        <v>207043.50200000405</v>
      </c>
      <c r="D5" s="1194">
        <f>'1. RD2021'!D5-'2. RD rozdiel'!D72</f>
        <v>-197220.70983169414</v>
      </c>
      <c r="E5" s="1195">
        <f>'1. RD2021'!E5-'2. RD rozdiel'!E72</f>
        <v>954034.76094261184</v>
      </c>
      <c r="F5" s="1194">
        <f>'1. RD2021'!F5-'2. RD rozdiel'!F72</f>
        <v>-194262.96675130911</v>
      </c>
      <c r="G5" s="1195">
        <f>'1. RD2021'!G5-'2. RD rozdiel'!G72</f>
        <v>370595.20552535262</v>
      </c>
      <c r="H5" s="1194">
        <f>'1. RD2021'!H5-'2. RD rozdiel'!H72</f>
        <v>-690360.34831678495</v>
      </c>
      <c r="I5" s="1195">
        <f>'1. RD2021'!I5-'2. RD rozdiel'!I72</f>
        <v>-305933.68833423592</v>
      </c>
      <c r="J5" s="1194">
        <f>'1. RD2021'!J5-'2. RD rozdiel'!J72</f>
        <v>-358254.42672088463</v>
      </c>
      <c r="K5" s="1195">
        <f>'1. RD2021'!K5-'2. RD rozdiel'!K72</f>
        <v>9704.3539955943124</v>
      </c>
      <c r="L5" s="1194">
        <f>'1. RD2021'!L5-'2. RD rozdiel'!L72</f>
        <v>-25384.236543177831</v>
      </c>
      <c r="M5" s="1195">
        <f>'1. RD2021'!M5-'2. RD rozdiel'!M72</f>
        <v>-437082.05603453517</v>
      </c>
      <c r="N5" s="1194">
        <f>'1. RD2021'!N5-'2. RD rozdiel'!N72</f>
        <v>675589.11107370816</v>
      </c>
      <c r="O5" s="1195">
        <f>'1. RD2021'!O5-'2. RD rozdiel'!O72</f>
        <v>-110281.85000000009</v>
      </c>
      <c r="P5" s="1194">
        <f>'1. RD2021'!P5-'2. RD rozdiel'!P72</f>
        <v>-1374882.0735555557</v>
      </c>
      <c r="Q5" s="1195">
        <f>'1. RD2021'!Q5-'2. RD rozdiel'!Q72</f>
        <v>1453700.03</v>
      </c>
      <c r="R5" s="1195">
        <f>'1. RD2021'!R5-'2. RD rozdiel'!R72</f>
        <v>207043.16148361564</v>
      </c>
    </row>
    <row r="6" spans="2:21" ht="29.65" customHeight="1" thickBot="1">
      <c r="B6" s="1200" t="s">
        <v>466</v>
      </c>
      <c r="C6" s="1308">
        <f t="shared" ref="C6:P6" si="0">C5/C72</f>
        <v>3.0042569502267448E-3</v>
      </c>
      <c r="D6" s="1309">
        <f t="shared" si="0"/>
        <v>-4.4738856022030669E-2</v>
      </c>
      <c r="E6" s="1310">
        <f t="shared" si="0"/>
        <v>8.4103803760188472E-2</v>
      </c>
      <c r="F6" s="1309">
        <f t="shared" si="0"/>
        <v>-1.585991521027293E-2</v>
      </c>
      <c r="G6" s="1310">
        <f t="shared" si="0"/>
        <v>9.9055438937795517E-2</v>
      </c>
      <c r="H6" s="1309">
        <f t="shared" si="0"/>
        <v>-7.3585141787570099E-2</v>
      </c>
      <c r="I6" s="1310">
        <f t="shared" si="0"/>
        <v>-2.5028817085967263E-2</v>
      </c>
      <c r="J6" s="1309">
        <f t="shared" si="0"/>
        <v>-7.1256370157042309E-2</v>
      </c>
      <c r="K6" s="1310">
        <f t="shared" si="0"/>
        <v>9.7371457815600172E-3</v>
      </c>
      <c r="L6" s="1309">
        <f t="shared" si="0"/>
        <v>-9.4364065203894079E-2</v>
      </c>
      <c r="M6" s="1310">
        <f t="shared" si="0"/>
        <v>-7.3286561776989972E-3</v>
      </c>
      <c r="N6" s="1309">
        <f t="shared" si="0"/>
        <v>0.20984469225814301</v>
      </c>
      <c r="O6" s="1310">
        <f t="shared" si="0"/>
        <v>-3.5726234985141887E-2</v>
      </c>
      <c r="P6" s="1309">
        <f t="shared" si="0"/>
        <v>-0.46288554048981723</v>
      </c>
      <c r="Q6" s="1310"/>
      <c r="R6" s="1310">
        <f>R5/R72</f>
        <v>3.0042519800999772E-3</v>
      </c>
    </row>
    <row r="7" spans="2:21" ht="29.65" customHeight="1">
      <c r="B7" s="1311" t="s">
        <v>504</v>
      </c>
      <c r="C7" s="1316">
        <f>'1. RD2021'!C6+'1. RD2021'!C14-'2. RD rozdiel'!C73-'2. RD rozdiel'!C81</f>
        <v>934185.50200000405</v>
      </c>
      <c r="D7" s="1317">
        <f>'1. RD2021'!D6+'1. RD2021'!D14-'2. RD rozdiel'!D73-'2. RD rozdiel'!D81</f>
        <v>-158609.83499556826</v>
      </c>
      <c r="E7" s="1318">
        <f>'1. RD2021'!E6+'1. RD2021'!E14-'2. RD rozdiel'!E73-'2. RD rozdiel'!E81</f>
        <v>1015339.6401840206</v>
      </c>
      <c r="F7" s="1317">
        <f>'1. RD2021'!F6+'1. RD2021'!F14-'2. RD rozdiel'!F73-'2. RD rozdiel'!F81</f>
        <v>-41009.456461768597</v>
      </c>
      <c r="G7" s="1318">
        <f>'1. RD2021'!G6+'1. RD2021'!G14-'2. RD rozdiel'!G73-'2. RD rozdiel'!G81</f>
        <v>462489.25453137397</v>
      </c>
      <c r="H7" s="1317">
        <f>'1. RD2021'!H6+'1. RD2021'!H14-'2. RD rozdiel'!H73-'2. RD rozdiel'!H81</f>
        <v>-571923.23601605138</v>
      </c>
      <c r="I7" s="1318">
        <f>'1. RD2021'!I6+'1. RD2021'!I14-'2. RD rozdiel'!I73-'2. RD rozdiel'!I81</f>
        <v>-195643.45968169067</v>
      </c>
      <c r="J7" s="1317">
        <f>'1. RD2021'!J6+'1. RD2021'!J14-'2. RD rozdiel'!J73-'2. RD rozdiel'!J81</f>
        <v>-308623.22548188292</v>
      </c>
      <c r="K7" s="1318">
        <f>'1. RD2021'!K6+'1. RD2021'!K14-'2. RD rozdiel'!K73-'2. RD rozdiel'!K81</f>
        <v>12811.594874662289</v>
      </c>
      <c r="L7" s="1317">
        <f>'1. RD2021'!L6+'1. RD2021'!L14-'2. RD rozdiel'!L73-'2. RD rozdiel'!L81</f>
        <v>-25384.236543177802</v>
      </c>
      <c r="M7" s="1318">
        <f>'1. RD2021'!M6+'1. RD2021'!M14-'2. RD rozdiel'!M73-'2. RD rozdiel'!M81</f>
        <v>189447.04040991142</v>
      </c>
      <c r="N7" s="1317">
        <f>'1. RD2021'!N6+'1. RD2021'!N14-'2. RD rozdiel'!N73-'2. RD rozdiel'!N81</f>
        <v>675589.11107370816</v>
      </c>
      <c r="O7" s="1318">
        <f>'1. RD2021'!O6+'1. RD2021'!O14-'2. RD rozdiel'!O73-'2. RD rozdiel'!O81</f>
        <v>0.03</v>
      </c>
      <c r="P7" s="1317">
        <f>'1. RD2021'!P6+'1. RD2021'!P14-'2. RD rozdiel'!P73-'2. RD rozdiel'!P81</f>
        <v>-1364551.0180000002</v>
      </c>
      <c r="Q7" s="1318">
        <f>'1. RD2021'!Q6+'1. RD2021'!Q14-'2. RD rozdiel'!Q73-'2. RD rozdiel'!Q81</f>
        <v>1433700.03</v>
      </c>
      <c r="R7" s="1318">
        <f>'1. RD2021'!R6+'1. RD2021'!R14-'2. RD rozdiel'!R73-'2. RD rozdiel'!R81</f>
        <v>934185.19348362461</v>
      </c>
    </row>
    <row r="8" spans="2:21" ht="29.65" customHeight="1">
      <c r="B8" s="1311" t="s">
        <v>465</v>
      </c>
      <c r="C8" s="1312">
        <f t="shared" ref="C8:N8" si="1">(C10+C18)/(C73+C81)</f>
        <v>1.4999523964046248E-2</v>
      </c>
      <c r="D8" s="1313">
        <f t="shared" si="1"/>
        <v>-3.68820864274945E-2</v>
      </c>
      <c r="E8" s="1314">
        <f t="shared" si="1"/>
        <v>9.4421879710751416E-2</v>
      </c>
      <c r="F8" s="1313">
        <f t="shared" si="1"/>
        <v>-3.4647865648328811E-3</v>
      </c>
      <c r="G8" s="1314">
        <f t="shared" si="1"/>
        <v>0.13630611499375198</v>
      </c>
      <c r="H8" s="1313">
        <f t="shared" si="1"/>
        <v>-6.9671191350600598E-2</v>
      </c>
      <c r="I8" s="1314">
        <f t="shared" si="1"/>
        <v>-1.678685449704696E-2</v>
      </c>
      <c r="J8" s="1313">
        <f t="shared" si="1"/>
        <v>-6.4051935464783272E-2</v>
      </c>
      <c r="K8" s="1314">
        <f t="shared" si="1"/>
        <v>1.2988677945106422E-2</v>
      </c>
      <c r="L8" s="1313">
        <f t="shared" si="1"/>
        <v>-9.4364065203893982E-2</v>
      </c>
      <c r="M8" s="1314">
        <f t="shared" si="1"/>
        <v>3.3697492173179302E-3</v>
      </c>
      <c r="N8" s="1315">
        <f t="shared" si="1"/>
        <v>0.20984469225814292</v>
      </c>
      <c r="O8" s="1314"/>
      <c r="P8" s="1313">
        <f>(P10+P18)/(P73+P81)</f>
        <v>-0.48020246859533455</v>
      </c>
      <c r="Q8" s="1314"/>
      <c r="R8" s="1314">
        <f>(R10+R18)/(R73+R81)</f>
        <v>1.4999518849424513E-2</v>
      </c>
    </row>
    <row r="9" spans="2:21" ht="29.65" customHeight="1" thickBot="1">
      <c r="B9" s="1191" t="s">
        <v>464</v>
      </c>
      <c r="C9" s="1197"/>
      <c r="D9" s="1201">
        <f>IF('2. RD rozdiel'!D6&lt;-0.1,('2. RD rozdiel'!D73+'2. RD rozdiel'!D81)*0.9-'1. RD2021'!D6-'1. RD2021'!D14,0)</f>
        <v>0</v>
      </c>
      <c r="E9" s="1201">
        <f>IF('2. RD rozdiel'!E6&lt;-0.1,('2. RD rozdiel'!E73+'2. RD rozdiel'!E81)*0.9-'1. RD2021'!E6-'1. RD2021'!E14,0)</f>
        <v>0</v>
      </c>
      <c r="F9" s="1202">
        <f>IF('2. RD rozdiel'!F6&lt;-0.1,('2. RD rozdiel'!F73+'2. RD rozdiel'!F81)*0.9-'1. RD2021'!F6-'1. RD2021'!F14,0)</f>
        <v>0</v>
      </c>
      <c r="G9" s="1201">
        <f>IF('2. RD rozdiel'!G6&lt;-0.1,('2. RD rozdiel'!G73+'2. RD rozdiel'!G81)*0.9-'1. RD2021'!G6-'1. RD2021'!G14,0)</f>
        <v>0</v>
      </c>
      <c r="H9" s="1202">
        <f>IF('2. RD rozdiel'!H6&lt;-0.1,('2. RD rozdiel'!H73+'2. RD rozdiel'!H81)*0.9-'1. RD2021'!H6-'1. RD2021'!H14,0)</f>
        <v>0</v>
      </c>
      <c r="I9" s="1201">
        <f>IF('2. RD rozdiel'!I6&lt;-0.1,('2. RD rozdiel'!I73+'2. RD rozdiel'!I81)*0.9-'1. RD2021'!I6-'1. RD2021'!I14,0)</f>
        <v>0</v>
      </c>
      <c r="J9" s="1202">
        <f>IF('2. RD rozdiel'!J6&lt;-0.1,('2. RD rozdiel'!J73+'2. RD rozdiel'!J81)*0.9-'1. RD2021'!J6-'1. RD2021'!J14,0)</f>
        <v>0</v>
      </c>
      <c r="K9" s="1201">
        <f>IF('2. RD rozdiel'!K6&lt;-0.1,('2. RD rozdiel'!K73+'2. RD rozdiel'!K81)*0.9-'1. RD2021'!K6-'1. RD2021'!K14,0)</f>
        <v>0</v>
      </c>
      <c r="L9" s="1202">
        <f>IF('2. RD rozdiel'!L6&lt;-0.1,('2. RD rozdiel'!L73+'2. RD rozdiel'!L81)*0.9-'1. RD2021'!L6-'1. RD2021'!L14,0)</f>
        <v>0</v>
      </c>
      <c r="M9" s="1192">
        <f t="shared" ref="M9" si="2">SUM(D9:L9)</f>
        <v>0</v>
      </c>
      <c r="N9" s="1198"/>
      <c r="O9" s="1199"/>
      <c r="P9" s="1198"/>
      <c r="Q9" s="1199"/>
      <c r="R9" s="1199"/>
    </row>
    <row r="10" spans="2:21" ht="30" customHeight="1">
      <c r="B10" s="384" t="s">
        <v>215</v>
      </c>
      <c r="C10" s="447">
        <f>'1. RD2021'!C6-'2. RD rozdiel'!C73</f>
        <v>-30243.497999995947</v>
      </c>
      <c r="D10" s="386">
        <f>'1. RD2021'!D6-'2. RD rozdiel'!D73</f>
        <v>-205236.18890673574</v>
      </c>
      <c r="E10" s="385">
        <f>'1. RD2021'!E6-'2. RD rozdiel'!E73</f>
        <v>526162.62431237753</v>
      </c>
      <c r="F10" s="386">
        <f>'1. RD2021'!F6-'2. RD rozdiel'!F73</f>
        <v>-41841.706715140492</v>
      </c>
      <c r="G10" s="385">
        <f>'1. RD2021'!G6-'2. RD rozdiel'!G73</f>
        <v>417650.58827958535</v>
      </c>
      <c r="H10" s="386">
        <f>'1. RD2021'!H6-'2. RD rozdiel'!H73</f>
        <v>-368469.75441894308</v>
      </c>
      <c r="I10" s="385">
        <f>'1. RD2021'!I6-'2. RD rozdiel'!I73</f>
        <v>-178436.61943309475</v>
      </c>
      <c r="J10" s="386">
        <f>'1. RD2021'!J6-'2. RD rozdiel'!J73</f>
        <v>-253814.46751967072</v>
      </c>
      <c r="K10" s="385">
        <f>'1. RD2021'!K6-'2. RD rozdiel'!K73</f>
        <v>-114877.65299808834</v>
      </c>
      <c r="L10" s="386">
        <f>'1. RD2021'!L6-'2. RD rozdiel'!L73</f>
        <v>-3547.3903206490213</v>
      </c>
      <c r="M10" s="385">
        <f>'1. RD2021'!M6-'2. RD rozdiel'!M73</f>
        <v>-222410.5677203685</v>
      </c>
      <c r="N10" s="386">
        <f>'1. RD2021'!N6-'2. RD rozdiel'!N73</f>
        <v>356446.25157811353</v>
      </c>
      <c r="O10" s="385">
        <f>'1. RD2021'!O6-'2. RD rozdiel'!O73</f>
        <v>0.03</v>
      </c>
      <c r="P10" s="386">
        <f>'1. RD2021'!P6-'2. RD rozdiel'!P73</f>
        <v>-214280.01800000004</v>
      </c>
      <c r="Q10" s="385">
        <f>'1. RD2021'!Q6-'2. RD rozdiel'!Q73</f>
        <v>50000.03</v>
      </c>
      <c r="R10" s="385">
        <f>'1. RD2021'!R6-'2. RD rozdiel'!R73</f>
        <v>-30244.274142250419</v>
      </c>
    </row>
    <row r="11" spans="2:21" ht="20.100000000000001" customHeight="1">
      <c r="B11" s="1107" t="s">
        <v>216</v>
      </c>
      <c r="C11" s="1108">
        <f>'1. RD2021'!C7-'2. RD rozdiel'!C74</f>
        <v>-141297</v>
      </c>
      <c r="D11" s="1109">
        <f>'1. RD2021'!D7-'2. RD rozdiel'!D74</f>
        <v>-136612.52449230128</v>
      </c>
      <c r="E11" s="1096">
        <f>'1. RD2021'!E7-'2. RD rozdiel'!E74</f>
        <v>369126.19402176701</v>
      </c>
      <c r="F11" s="1109">
        <f>'1. RD2021'!F7-'2. RD rozdiel'!F74</f>
        <v>-22943.645352773368</v>
      </c>
      <c r="G11" s="1096">
        <f>'1. RD2021'!G7-'2. RD rozdiel'!G74</f>
        <v>295588.5350950826</v>
      </c>
      <c r="H11" s="1109">
        <f>'1. RD2021'!H7-'2. RD rozdiel'!H74</f>
        <v>-229798.09420685144</v>
      </c>
      <c r="I11" s="1096">
        <f>'1. RD2021'!I7-'2. RD rozdiel'!I74</f>
        <v>-95125.187474233098</v>
      </c>
      <c r="J11" s="1109">
        <f>'1. RD2021'!J7-'2. RD rozdiel'!J74</f>
        <v>-147312.4308176965</v>
      </c>
      <c r="K11" s="1096">
        <f>'1. RD2021'!K7-'2. RD rozdiel'!K74</f>
        <v>-78017.965083884192</v>
      </c>
      <c r="L11" s="1109">
        <f>'1. RD2021'!L7-'2. RD rozdiel'!L74</f>
        <v>-2155.360410449488</v>
      </c>
      <c r="M11" s="1096">
        <f>'1. RD2021'!M7-'2. RD rozdiel'!M74</f>
        <v>-47250.478721342981</v>
      </c>
      <c r="N11" s="1109">
        <f>'1. RD2021'!N7-'2. RD rozdiel'!N74</f>
        <v>-87363</v>
      </c>
      <c r="O11" s="1096">
        <f>'1. RD2021'!O7-'2. RD rozdiel'!O74</f>
        <v>0</v>
      </c>
      <c r="P11" s="1109">
        <f>'1. RD2021'!P7-'2. RD rozdiel'!P74</f>
        <v>-6684</v>
      </c>
      <c r="Q11" s="1096">
        <f>'1. RD2021'!Q7-'2. RD rozdiel'!Q74</f>
        <v>0</v>
      </c>
      <c r="R11" s="1096">
        <f>'1. RD2021'!R7-'2. RD rozdiel'!R74</f>
        <v>-141297.47872134298</v>
      </c>
    </row>
    <row r="12" spans="2:21" ht="20.100000000000001" customHeight="1">
      <c r="B12" s="1110" t="s">
        <v>354</v>
      </c>
      <c r="C12" s="1108">
        <f>'1. RD2021'!C8-'2. RD rozdiel'!C75</f>
        <v>-141297</v>
      </c>
      <c r="D12" s="1109">
        <f>'1. RD2021'!D8-'2. RD rozdiel'!D75</f>
        <v>-136612.52449230128</v>
      </c>
      <c r="E12" s="1096">
        <f>'1. RD2021'!E8-'2. RD rozdiel'!E75</f>
        <v>363246.19402176701</v>
      </c>
      <c r="F12" s="1109">
        <f>'1. RD2021'!F8-'2. RD rozdiel'!F75</f>
        <v>-22943.645352773368</v>
      </c>
      <c r="G12" s="1096">
        <f>'1. RD2021'!G8-'2. RD rozdiel'!G75</f>
        <v>289708.5350950826</v>
      </c>
      <c r="H12" s="1109">
        <f>'1. RD2021'!H8-'2. RD rozdiel'!H75</f>
        <v>-235678.09420685144</v>
      </c>
      <c r="I12" s="1096">
        <f>'1. RD2021'!I8-'2. RD rozdiel'!I75</f>
        <v>-101005.1874742331</v>
      </c>
      <c r="J12" s="1109">
        <f>'1. RD2021'!J8-'2. RD rozdiel'!J75</f>
        <v>-147312.4308176965</v>
      </c>
      <c r="K12" s="1096">
        <f>'1. RD2021'!K8-'2. RD rozdiel'!K75</f>
        <v>-78017.965083884192</v>
      </c>
      <c r="L12" s="1109">
        <f>'1. RD2021'!L8-'2. RD rozdiel'!L75</f>
        <v>-2155.360410449488</v>
      </c>
      <c r="M12" s="1096">
        <f>'1. RD2021'!M8-'2. RD rozdiel'!M75</f>
        <v>-70770.478721342981</v>
      </c>
      <c r="N12" s="1109">
        <f>'1. RD2021'!N8-'2. RD rozdiel'!N75</f>
        <v>0</v>
      </c>
      <c r="O12" s="1096">
        <f>'1. RD2021'!O8-'2. RD rozdiel'!O75</f>
        <v>0</v>
      </c>
      <c r="P12" s="1109">
        <f>'1. RD2021'!P8-'2. RD rozdiel'!P75</f>
        <v>0</v>
      </c>
      <c r="Q12" s="1096">
        <f>'1. RD2021'!Q8-'2. RD rozdiel'!Q75</f>
        <v>0</v>
      </c>
      <c r="R12" s="1096">
        <f>'1. RD2021'!R8-'2. RD rozdiel'!R75</f>
        <v>-70770.478721342981</v>
      </c>
    </row>
    <row r="13" spans="2:21" ht="20.100000000000001" customHeight="1">
      <c r="B13" s="1111" t="s">
        <v>210</v>
      </c>
      <c r="C13" s="1108"/>
      <c r="D13" s="1109">
        <f>'1. RD2021'!D9-'2. RD rozdiel'!D76</f>
        <v>0</v>
      </c>
      <c r="E13" s="1096">
        <f>'1. RD2021'!E9-'2. RD rozdiel'!E76</f>
        <v>5880</v>
      </c>
      <c r="F13" s="1109">
        <f>'1. RD2021'!F9-'2. RD rozdiel'!F76</f>
        <v>0</v>
      </c>
      <c r="G13" s="1096">
        <f>'1. RD2021'!G9-'2. RD rozdiel'!G76</f>
        <v>5880</v>
      </c>
      <c r="H13" s="1109">
        <f>'1. RD2021'!H9-'2. RD rozdiel'!H76</f>
        <v>5880</v>
      </c>
      <c r="I13" s="1096">
        <f>'1. RD2021'!I9-'2. RD rozdiel'!I76</f>
        <v>5880</v>
      </c>
      <c r="J13" s="1109">
        <f>'1. RD2021'!J9-'2. RD rozdiel'!J76</f>
        <v>0</v>
      </c>
      <c r="K13" s="1096">
        <f>'1. RD2021'!K9-'2. RD rozdiel'!K76</f>
        <v>0</v>
      </c>
      <c r="L13" s="1109">
        <f>'1. RD2021'!L9-'2. RD rozdiel'!L76</f>
        <v>0</v>
      </c>
      <c r="M13" s="1096">
        <f>'1. RD2021'!M9-'2. RD rozdiel'!M76</f>
        <v>23520</v>
      </c>
      <c r="N13" s="1109">
        <f>'1. RD2021'!N9-'2. RD rozdiel'!N76</f>
        <v>-87363</v>
      </c>
      <c r="O13" s="1096">
        <f>'1. RD2021'!O9-'2. RD rozdiel'!O76</f>
        <v>0</v>
      </c>
      <c r="P13" s="1109">
        <f>'1. RD2021'!P9-'2. RD rozdiel'!P76</f>
        <v>-6684</v>
      </c>
      <c r="Q13" s="1096">
        <f>'1. RD2021'!Q9-'2. RD rozdiel'!Q76</f>
        <v>0</v>
      </c>
      <c r="R13" s="1096">
        <f>'1. RD2021'!R9-'2. RD rozdiel'!R76</f>
        <v>-70527</v>
      </c>
    </row>
    <row r="14" spans="2:21" ht="20.100000000000001" customHeight="1">
      <c r="B14" s="1112" t="s">
        <v>232</v>
      </c>
      <c r="C14" s="1108">
        <f>'1. RD2021'!C10-'2. RD rozdiel'!C77</f>
        <v>-49736.498000000603</v>
      </c>
      <c r="D14" s="1109">
        <f>'1. RD2021'!D10-'2. RD rozdiel'!D77</f>
        <v>-48087.578621290042</v>
      </c>
      <c r="E14" s="1096">
        <f>'1. RD2021'!E10-'2. RD rozdiel'!E77</f>
        <v>129932.45029566204</v>
      </c>
      <c r="F14" s="1109">
        <f>'1. RD2021'!F10-'2. RD rozdiel'!F77</f>
        <v>-8076.1331641762517</v>
      </c>
      <c r="G14" s="1096">
        <f>'1. RD2021'!G10-'2. RD rozdiel'!G77</f>
        <v>104047.19435346918</v>
      </c>
      <c r="H14" s="1109">
        <f>'1. RD2021'!H10-'2. RD rozdiel'!H77</f>
        <v>-80888.899160811678</v>
      </c>
      <c r="I14" s="1096">
        <f>'1. RD2021'!I10-'2. RD rozdiel'!I77</f>
        <v>-33484.03599092993</v>
      </c>
      <c r="J14" s="1109">
        <f>'1. RD2021'!J10-'2. RD rozdiel'!J77</f>
        <v>-51853.945647829212</v>
      </c>
      <c r="K14" s="1096">
        <f>'1. RD2021'!K10-'2. RD rozdiel'!K77</f>
        <v>-27462.293709527235</v>
      </c>
      <c r="L14" s="1109">
        <f>'1. RD2021'!L10-'2. RD rozdiel'!L77</f>
        <v>-758.65686447822372</v>
      </c>
      <c r="M14" s="1096">
        <f>'1. RD2021'!M10-'2. RD rozdiel'!M77</f>
        <v>-16631.898509911261</v>
      </c>
      <c r="N14" s="1109">
        <f>'1. RD2021'!N10-'2. RD rozdiel'!N77</f>
        <v>-30751.969999999972</v>
      </c>
      <c r="O14" s="1096">
        <f>'1. RD2021'!O10-'2. RD rozdiel'!O77</f>
        <v>0.03</v>
      </c>
      <c r="P14" s="1109">
        <f>'1. RD2021'!P10-'2. RD rozdiel'!P77</f>
        <v>-2353.0180000000037</v>
      </c>
      <c r="Q14" s="1096">
        <f>'1. RD2021'!Q10-'2. RD rozdiel'!Q77</f>
        <v>0.03</v>
      </c>
      <c r="R14" s="1096">
        <f>'1. RD2021'!R10-'2. RD rozdiel'!R77</f>
        <v>-49736.826509910636</v>
      </c>
    </row>
    <row r="15" spans="2:21" ht="19.350000000000001" customHeight="1">
      <c r="B15" s="1113" t="s">
        <v>231</v>
      </c>
      <c r="C15" s="1108">
        <f>'1. RD2021'!C11-'2. RD rozdiel'!C78</f>
        <v>161601</v>
      </c>
      <c r="D15" s="1109">
        <f>'1. RD2021'!D11-'2. RD rozdiel'!D78</f>
        <v>-20536.085793144186</v>
      </c>
      <c r="E15" s="1096">
        <f>'1. RD2021'!E11-'2. RD rozdiel'!E78</f>
        <v>27103.979994948488</v>
      </c>
      <c r="F15" s="1109">
        <f>'1. RD2021'!F11-'2. RD rozdiel'!F78</f>
        <v>-10821.928198191803</v>
      </c>
      <c r="G15" s="1096">
        <f>'1. RD2021'!G11-'2. RD rozdiel'!G78</f>
        <v>18014.85883103346</v>
      </c>
      <c r="H15" s="1109">
        <f>'1. RD2021'!H11-'2. RD rozdiel'!H78</f>
        <v>-57782.761051279842</v>
      </c>
      <c r="I15" s="1096">
        <f>'1. RD2021'!I11-'2. RD rozdiel'!I78</f>
        <v>-49827.395967932418</v>
      </c>
      <c r="J15" s="1109">
        <f>'1. RD2021'!J11-'2. RD rozdiel'!J78</f>
        <v>-25648.091054145305</v>
      </c>
      <c r="K15" s="1096">
        <f>'1. RD2021'!K11-'2. RD rozdiel'!K78</f>
        <v>-9397.3942046768352</v>
      </c>
      <c r="L15" s="1109">
        <f>'1. RD2021'!L11-'2. RD rozdiel'!L78</f>
        <v>-633.37304572131575</v>
      </c>
      <c r="M15" s="1096">
        <f>'1. RD2021'!M11-'2. RD rozdiel'!M78</f>
        <v>-129528.19048910961</v>
      </c>
      <c r="N15" s="1109">
        <f>'1. RD2021'!N11-'2. RD rozdiel'!N78</f>
        <v>85922.221578113589</v>
      </c>
      <c r="O15" s="1096">
        <f>'1. RD2021'!O11-'2. RD rozdiel'!O78</f>
        <v>0</v>
      </c>
      <c r="P15" s="1109">
        <f>'1. RD2021'!P11-'2. RD rozdiel'!P78</f>
        <v>0</v>
      </c>
      <c r="Q15" s="1096">
        <f>'1. RD2021'!Q11-'2. RD rozdiel'!Q78</f>
        <v>0</v>
      </c>
      <c r="R15" s="1096">
        <f>'1. RD2021'!R11-'2. RD rozdiel'!R78</f>
        <v>-43605.968910995871</v>
      </c>
    </row>
    <row r="16" spans="2:21" ht="19.350000000000001" customHeight="1">
      <c r="B16" s="1112" t="s">
        <v>230</v>
      </c>
      <c r="C16" s="1108">
        <f>'1. RD2021'!C12-'2. RD rozdiel'!C79</f>
        <v>-811</v>
      </c>
      <c r="D16" s="1109">
        <f>'1. RD2021'!D12-'2. RD rozdiel'!D79</f>
        <v>0</v>
      </c>
      <c r="E16" s="1096">
        <f>'1. RD2021'!E12-'2. RD rozdiel'!E79</f>
        <v>0</v>
      </c>
      <c r="F16" s="1109">
        <f>'1. RD2021'!F12-'2. RD rozdiel'!F79</f>
        <v>0</v>
      </c>
      <c r="G16" s="1096">
        <f>'1. RD2021'!G12-'2. RD rozdiel'!G79</f>
        <v>0</v>
      </c>
      <c r="H16" s="1109">
        <f>'1. RD2021'!H12-'2. RD rozdiel'!H79</f>
        <v>0</v>
      </c>
      <c r="I16" s="1096">
        <f>'1. RD2021'!I12-'2. RD rozdiel'!I79</f>
        <v>0</v>
      </c>
      <c r="J16" s="1109">
        <f>'1. RD2021'!J12-'2. RD rozdiel'!J79</f>
        <v>0</v>
      </c>
      <c r="K16" s="1096">
        <f>'1. RD2021'!K12-'2. RD rozdiel'!K79</f>
        <v>0</v>
      </c>
      <c r="L16" s="1109">
        <f>'1. RD2021'!L12-'2. RD rozdiel'!L79</f>
        <v>0</v>
      </c>
      <c r="M16" s="1096">
        <f>'1. RD2021'!M12-'2. RD rozdiel'!M79</f>
        <v>0</v>
      </c>
      <c r="N16" s="1109">
        <f>'1. RD2021'!N12-'2. RD rozdiel'!N79</f>
        <v>0</v>
      </c>
      <c r="O16" s="1096">
        <f>'1. RD2021'!O12-'2. RD rozdiel'!O79</f>
        <v>0</v>
      </c>
      <c r="P16" s="1109">
        <f>'1. RD2021'!P12-'2. RD rozdiel'!P79</f>
        <v>-811</v>
      </c>
      <c r="Q16" s="1096">
        <f>'1. RD2021'!Q12-'2. RD rozdiel'!Q79</f>
        <v>0</v>
      </c>
      <c r="R16" s="1096">
        <f>'1. RD2021'!R12-'2. RD rozdiel'!R79</f>
        <v>-811</v>
      </c>
    </row>
    <row r="17" spans="1:18" ht="19.350000000000001" customHeight="1" thickBot="1">
      <c r="B17" s="392" t="s">
        <v>210</v>
      </c>
      <c r="C17" s="449"/>
      <c r="D17" s="1114">
        <f>'1. RD2021'!D13-'2. RD rozdiel'!D80</f>
        <v>0</v>
      </c>
      <c r="E17" s="394">
        <f>'1. RD2021'!E13-'2. RD rozdiel'!E80</f>
        <v>0</v>
      </c>
      <c r="F17" s="1114">
        <f>'1. RD2021'!F13-'2. RD rozdiel'!F80</f>
        <v>0</v>
      </c>
      <c r="G17" s="394">
        <f>'1. RD2021'!G13-'2. RD rozdiel'!G80</f>
        <v>0</v>
      </c>
      <c r="H17" s="1114">
        <f>'1. RD2021'!H13-'2. RD rozdiel'!H80</f>
        <v>0</v>
      </c>
      <c r="I17" s="394">
        <f>'1. RD2021'!I13-'2. RD rozdiel'!I80</f>
        <v>0</v>
      </c>
      <c r="J17" s="1114">
        <f>'1. RD2021'!J13-'2. RD rozdiel'!J80</f>
        <v>-29000</v>
      </c>
      <c r="K17" s="394">
        <f>'1. RD2021'!K13-'2. RD rozdiel'!K80</f>
        <v>0</v>
      </c>
      <c r="L17" s="1114">
        <f>'1. RD2021'!L13-'2. RD rozdiel'!L80</f>
        <v>0</v>
      </c>
      <c r="M17" s="394">
        <f>'1. RD2021'!M13-'2. RD rozdiel'!M80</f>
        <v>-29000</v>
      </c>
      <c r="N17" s="1114">
        <f>'1. RD2021'!N13-'2. RD rozdiel'!N80</f>
        <v>388639</v>
      </c>
      <c r="O17" s="394">
        <f>'1. RD2021'!O13-'2. RD rozdiel'!O80</f>
        <v>0</v>
      </c>
      <c r="P17" s="1114">
        <f>'1. RD2021'!P13-'2. RD rozdiel'!P80</f>
        <v>-204432</v>
      </c>
      <c r="Q17" s="394">
        <f>'1. RD2021'!Q13-'2. RD rozdiel'!Q80</f>
        <v>50000</v>
      </c>
      <c r="R17" s="394">
        <f>'1. RD2021'!R13-'2. RD rozdiel'!R80</f>
        <v>205207</v>
      </c>
    </row>
    <row r="18" spans="1:18" ht="30" customHeight="1">
      <c r="B18" s="395" t="s">
        <v>217</v>
      </c>
      <c r="C18" s="450">
        <f>'1. RD2021'!C14-'2. RD rozdiel'!C81</f>
        <v>964429</v>
      </c>
      <c r="D18" s="397">
        <f>'1. RD2021'!D14-'2. RD rozdiel'!D81</f>
        <v>46626.353911167243</v>
      </c>
      <c r="E18" s="396">
        <f>'1. RD2021'!E14-'2. RD rozdiel'!E81</f>
        <v>489177.01587164402</v>
      </c>
      <c r="F18" s="397">
        <f>'1. RD2021'!F14-'2. RD rozdiel'!F81</f>
        <v>832.25025337096304</v>
      </c>
      <c r="G18" s="396">
        <f>'1. RD2021'!G14-'2. RD rozdiel'!G81</f>
        <v>44838.666251788847</v>
      </c>
      <c r="H18" s="397">
        <f>'1. RD2021'!H14-'2. RD rozdiel'!H81</f>
        <v>-203453.4815971083</v>
      </c>
      <c r="I18" s="396">
        <f>'1. RD2021'!I14-'2. RD rozdiel'!I81</f>
        <v>-17206.840248594992</v>
      </c>
      <c r="J18" s="397">
        <f>'1. RD2021'!J14-'2. RD rozdiel'!J81</f>
        <v>-54808.757962212432</v>
      </c>
      <c r="K18" s="396">
        <f>'1. RD2021'!K14-'2. RD rozdiel'!K81</f>
        <v>127689.24787275062</v>
      </c>
      <c r="L18" s="397">
        <f>'1. RD2021'!L14-'2. RD rozdiel'!L81</f>
        <v>-21836.84622252878</v>
      </c>
      <c r="M18" s="396">
        <f>'1. RD2021'!M14-'2. RD rozdiel'!M81</f>
        <v>411857.6081302762</v>
      </c>
      <c r="N18" s="397">
        <f>'1. RD2021'!N14-'2. RD rozdiel'!N81</f>
        <v>319142.8594955944</v>
      </c>
      <c r="O18" s="396">
        <f>'1. RD2021'!O14-'2. RD rozdiel'!O81</f>
        <v>0</v>
      </c>
      <c r="P18" s="397">
        <f>'1. RD2021'!P14-'2. RD rozdiel'!P81</f>
        <v>-1150271</v>
      </c>
      <c r="Q18" s="396">
        <f>'1. RD2021'!Q14-'2. RD rozdiel'!Q81</f>
        <v>1383700</v>
      </c>
      <c r="R18" s="396">
        <f>'1. RD2021'!R14-'2. RD rozdiel'!R81</f>
        <v>964429.4676258713</v>
      </c>
    </row>
    <row r="19" spans="1:18" ht="18" customHeight="1">
      <c r="B19" s="1115" t="s">
        <v>218</v>
      </c>
      <c r="C19" s="1116">
        <f>'1. RD2021'!C15-'2. RD rozdiel'!C82</f>
        <v>955736</v>
      </c>
      <c r="D19" s="1117">
        <f>'1. RD2021'!D15-'2. RD rozdiel'!D82</f>
        <v>68373.614204384154</v>
      </c>
      <c r="E19" s="1097">
        <f>'1. RD2021'!E15-'2. RD rozdiel'!E82</f>
        <v>613027.08667083178</v>
      </c>
      <c r="F19" s="1117">
        <f>'1. RD2021'!F15-'2. RD rozdiel'!F82</f>
        <v>218486.92294099927</v>
      </c>
      <c r="G19" s="1097">
        <f>'1. RD2021'!G15-'2. RD rozdiel'!G82</f>
        <v>69499.891185846296</v>
      </c>
      <c r="H19" s="1117">
        <f>'1. RD2021'!H15-'2. RD rozdiel'!H82</f>
        <v>-77144.481597108301</v>
      </c>
      <c r="I19" s="1097">
        <f>'1. RD2021'!I15-'2. RD rozdiel'!I82</f>
        <v>111175.5355032282</v>
      </c>
      <c r="J19" s="1117">
        <f>'1. RD2021'!J15-'2. RD rozdiel'!J82</f>
        <v>16703.553945376538</v>
      </c>
      <c r="K19" s="1097">
        <f>'1. RD2021'!K15-'2. RD rozdiel'!K82</f>
        <v>146009.24787275062</v>
      </c>
      <c r="L19" s="1117">
        <f>'1. RD2021'!L15-'2. RD rozdiel'!L82</f>
        <v>-21363.762596031243</v>
      </c>
      <c r="M19" s="1097">
        <f>'1. RD2021'!M15-'2. RD rozdiel'!M82</f>
        <v>1144767.6081302762</v>
      </c>
      <c r="N19" s="1117">
        <f>'1. RD2021'!N15-'2. RD rozdiel'!N82</f>
        <v>-830057.1405044056</v>
      </c>
      <c r="O19" s="1097">
        <f>'1. RD2021'!O15-'2. RD rozdiel'!O82</f>
        <v>0</v>
      </c>
      <c r="P19" s="1117">
        <f>'1. RD2021'!P15-'2. RD rozdiel'!P82</f>
        <v>0</v>
      </c>
      <c r="Q19" s="1097">
        <f>'1. RD2021'!Q15-'2. RD rozdiel'!Q82</f>
        <v>0</v>
      </c>
      <c r="R19" s="1097">
        <f>'1. RD2021'!R15-'2. RD rozdiel'!R82</f>
        <v>314710.4676258713</v>
      </c>
    </row>
    <row r="20" spans="1:18" s="360" customFormat="1" ht="17.100000000000001" customHeight="1">
      <c r="A20" s="355"/>
      <c r="B20" s="1115" t="s">
        <v>230</v>
      </c>
      <c r="C20" s="1118">
        <f>'1. RD2021'!C16-'2. RD rozdiel'!C83</f>
        <v>8693</v>
      </c>
      <c r="D20" s="1117">
        <f>'1. RD2021'!D16-'2. RD rozdiel'!D83</f>
        <v>0</v>
      </c>
      <c r="E20" s="1097">
        <f>'1. RD2021'!E16-'2. RD rozdiel'!E83</f>
        <v>5108</v>
      </c>
      <c r="F20" s="1117">
        <f>'1. RD2021'!F16-'2. RD rozdiel'!F83</f>
        <v>-4675</v>
      </c>
      <c r="G20" s="1097">
        <f>'1. RD2021'!G16-'2. RD rozdiel'!G83</f>
        <v>0</v>
      </c>
      <c r="H20" s="1117">
        <f>'1. RD2021'!H16-'2. RD rozdiel'!H83</f>
        <v>0</v>
      </c>
      <c r="I20" s="1097">
        <f>'1. RD2021'!I16-'2. RD rozdiel'!I83</f>
        <v>8260</v>
      </c>
      <c r="J20" s="1117">
        <f>'1. RD2021'!J16-'2. RD rozdiel'!J83</f>
        <v>0</v>
      </c>
      <c r="K20" s="1097">
        <f>'1. RD2021'!K16-'2. RD rozdiel'!K83</f>
        <v>0</v>
      </c>
      <c r="L20" s="1117">
        <f>'1. RD2021'!L16-'2. RD rozdiel'!L83</f>
        <v>0</v>
      </c>
      <c r="M20" s="1097">
        <f>'1. RD2021'!M16-'2. RD rozdiel'!M83</f>
        <v>8693</v>
      </c>
      <c r="N20" s="1117">
        <f>'1. RD2021'!N16-'2. RD rozdiel'!N83</f>
        <v>0</v>
      </c>
      <c r="O20" s="1097">
        <f>'1. RD2021'!O16-'2. RD rozdiel'!O83</f>
        <v>0</v>
      </c>
      <c r="P20" s="1117">
        <f>'1. RD2021'!P16-'2. RD rozdiel'!P83</f>
        <v>0</v>
      </c>
      <c r="Q20" s="1097">
        <f>'1. RD2021'!Q16-'2. RD rozdiel'!Q83</f>
        <v>0</v>
      </c>
      <c r="R20" s="1097">
        <f>'1. RD2021'!R16-'2. RD rozdiel'!R83</f>
        <v>8693</v>
      </c>
    </row>
    <row r="21" spans="1:18" s="360" customFormat="1" ht="17.100000000000001" customHeight="1" thickBot="1">
      <c r="B21" s="401" t="s">
        <v>210</v>
      </c>
      <c r="C21" s="493"/>
      <c r="D21" s="1119">
        <f>'1. RD2021'!D17-'2. RD rozdiel'!D84</f>
        <v>-21747.260293216881</v>
      </c>
      <c r="E21" s="403">
        <f>'1. RD2021'!E17-'2. RD rozdiel'!E84</f>
        <v>-128958.07079918802</v>
      </c>
      <c r="F21" s="1119">
        <f>'1. RD2021'!F17-'2. RD rozdiel'!F84</f>
        <v>-212979.67268762813</v>
      </c>
      <c r="G21" s="403">
        <f>'1. RD2021'!G17-'2. RD rozdiel'!G84</f>
        <v>-24661.224934057464</v>
      </c>
      <c r="H21" s="1119">
        <f>'1. RD2021'!H17-'2. RD rozdiel'!H84</f>
        <v>-126309</v>
      </c>
      <c r="I21" s="403">
        <f>'1. RD2021'!I17-'2. RD rozdiel'!I84</f>
        <v>-136642.37575182307</v>
      </c>
      <c r="J21" s="1119">
        <f>'1. RD2021'!J17-'2. RD rozdiel'!J84</f>
        <v>-71512.311907588883</v>
      </c>
      <c r="K21" s="403">
        <f>'1. RD2021'!K17-'2. RD rozdiel'!K84</f>
        <v>-18320</v>
      </c>
      <c r="L21" s="1119">
        <f>'1. RD2021'!L17-'2. RD rozdiel'!L84</f>
        <v>-473.08362649752297</v>
      </c>
      <c r="M21" s="457">
        <f>'1. RD2021'!M17-'2. RD rozdiel'!M84</f>
        <v>-741602.99999999988</v>
      </c>
      <c r="N21" s="1119">
        <f>'1. RD2021'!N17-'2. RD rozdiel'!N84</f>
        <v>1149200</v>
      </c>
      <c r="O21" s="403">
        <f>'1. RD2021'!O17-'2. RD rozdiel'!O84</f>
        <v>0</v>
      </c>
      <c r="P21" s="1119">
        <f>'1. RD2021'!P17-'2. RD rozdiel'!P84</f>
        <v>-1150271</v>
      </c>
      <c r="Q21" s="403">
        <f>'1. RD2021'!Q17-'2. RD rozdiel'!Q84</f>
        <v>1383700</v>
      </c>
      <c r="R21" s="403">
        <f>'1. RD2021'!R17-'2. RD rozdiel'!R84</f>
        <v>641026</v>
      </c>
    </row>
    <row r="22" spans="1:18" ht="37.5" customHeight="1" thickBot="1">
      <c r="B22" s="494" t="s">
        <v>219</v>
      </c>
      <c r="C22" s="495">
        <f>'1. RD2021'!C18-'2. RD rozdiel'!C85</f>
        <v>0</v>
      </c>
      <c r="D22" s="496">
        <f>'1. RD2021'!D18-'2. RD rozdiel'!D85</f>
        <v>0</v>
      </c>
      <c r="E22" s="407">
        <f>'1. RD2021'!E18-'2. RD rozdiel'!E85</f>
        <v>0</v>
      </c>
      <c r="F22" s="496">
        <f>'1. RD2021'!F18-'2. RD rozdiel'!F85</f>
        <v>0</v>
      </c>
      <c r="G22" s="407">
        <f>'1. RD2021'!G18-'2. RD rozdiel'!G85</f>
        <v>0</v>
      </c>
      <c r="H22" s="496">
        <f>'1. RD2021'!H18-'2. RD rozdiel'!H85</f>
        <v>0</v>
      </c>
      <c r="I22" s="407">
        <f>'1. RD2021'!I18-'2. RD rozdiel'!I85</f>
        <v>0</v>
      </c>
      <c r="J22" s="496">
        <f>'1. RD2021'!J18-'2. RD rozdiel'!J85</f>
        <v>0</v>
      </c>
      <c r="K22" s="407">
        <f>'1. RD2021'!K18-'2. RD rozdiel'!K85</f>
        <v>0</v>
      </c>
      <c r="L22" s="496">
        <f>'1. RD2021'!L18-'2. RD rozdiel'!L85</f>
        <v>0</v>
      </c>
      <c r="M22" s="407">
        <f>'1. RD2021'!M18-'2. RD rozdiel'!M85</f>
        <v>0</v>
      </c>
      <c r="N22" s="496">
        <f>'1. RD2021'!N18-'2. RD rozdiel'!N85</f>
        <v>0</v>
      </c>
      <c r="O22" s="407">
        <f>'1. RD2021'!O18-'2. RD rozdiel'!O85</f>
        <v>0</v>
      </c>
      <c r="P22" s="496">
        <f>'1. RD2021'!P18-'2. RD rozdiel'!P85</f>
        <v>0</v>
      </c>
      <c r="Q22" s="407">
        <f>'1. RD2021'!Q18-'2. RD rozdiel'!Q85</f>
        <v>0</v>
      </c>
      <c r="R22" s="407">
        <f>'1. RD2021'!R18-'2. RD rozdiel'!R85</f>
        <v>0</v>
      </c>
    </row>
    <row r="23" spans="1:18" ht="30" customHeight="1">
      <c r="B23" s="408" t="s">
        <v>220</v>
      </c>
      <c r="C23" s="453">
        <f>'1. RD2021'!C19-'2. RD rozdiel'!C86</f>
        <v>-727142</v>
      </c>
      <c r="D23" s="410">
        <f>'1. RD2021'!D19-'2. RD rozdiel'!D86</f>
        <v>-38610.874836125644</v>
      </c>
      <c r="E23" s="409">
        <f>'1. RD2021'!E19-'2. RD rozdiel'!E86</f>
        <v>-61304.879241408198</v>
      </c>
      <c r="F23" s="410">
        <f>'1. RD2021'!F19-'2. RD rozdiel'!F86</f>
        <v>-153253.51028954022</v>
      </c>
      <c r="G23" s="409">
        <f>'1. RD2021'!G19-'2. RD rozdiel'!G86</f>
        <v>-91894.049006021465</v>
      </c>
      <c r="H23" s="410">
        <f>'1. RD2021'!H19-'2. RD rozdiel'!H86</f>
        <v>-118437.1123007331</v>
      </c>
      <c r="I23" s="409">
        <f>'1. RD2021'!I19-'2. RD rozdiel'!I86</f>
        <v>-110290.22865254577</v>
      </c>
      <c r="J23" s="410">
        <f>'1. RD2021'!J19-'2. RD rozdiel'!J86</f>
        <v>-49631.20123900217</v>
      </c>
      <c r="K23" s="409">
        <f>'1. RD2021'!K19-'2. RD rozdiel'!K86</f>
        <v>-3107.2408790678392</v>
      </c>
      <c r="L23" s="410">
        <f>'1. RD2021'!L19-'2. RD rozdiel'!L86</f>
        <v>0</v>
      </c>
      <c r="M23" s="409">
        <f>'1. RD2021'!M19-'2. RD rozdiel'!M86</f>
        <v>-626529.09644444473</v>
      </c>
      <c r="N23" s="410">
        <f>'1. RD2021'!N19-'2. RD rozdiel'!N86</f>
        <v>0</v>
      </c>
      <c r="O23" s="409">
        <f>'1. RD2021'!O19-'2. RD rozdiel'!O86</f>
        <v>-110281.87999999989</v>
      </c>
      <c r="P23" s="410">
        <f>'1. RD2021'!P19-'2. RD rozdiel'!P86</f>
        <v>-10331.055555555562</v>
      </c>
      <c r="Q23" s="409">
        <f>'1. RD2021'!Q19-'2. RD rozdiel'!Q86</f>
        <v>20000</v>
      </c>
      <c r="R23" s="409">
        <f>'1. RD2021'!R19-'2. RD rozdiel'!R86</f>
        <v>-727142.03199999966</v>
      </c>
    </row>
    <row r="24" spans="1:18" ht="20.100000000000001" customHeight="1">
      <c r="B24" s="1120" t="s">
        <v>221</v>
      </c>
      <c r="C24" s="1121">
        <f>'1. RD2021'!C20-'2. RD rozdiel'!C87</f>
        <v>-338101</v>
      </c>
      <c r="D24" s="1122">
        <f>'1. RD2021'!D20-'2. RD rozdiel'!D87</f>
        <v>-40512.338067900215</v>
      </c>
      <c r="E24" s="1098">
        <f>'1. RD2021'!E20-'2. RD rozdiel'!E87</f>
        <v>-41156.587876516947</v>
      </c>
      <c r="F24" s="1122">
        <f>'1. RD2021'!F20-'2. RD rozdiel'!F87</f>
        <v>-94681.207307520614</v>
      </c>
      <c r="G24" s="1098">
        <f>'1. RD2021'!G20-'2. RD rozdiel'!G87</f>
        <v>-33927.618621562033</v>
      </c>
      <c r="H24" s="1122">
        <f>'1. RD2021'!H20-'2. RD rozdiel'!H87</f>
        <v>-37739.311872259525</v>
      </c>
      <c r="I24" s="1098">
        <f>'1. RD2021'!I20-'2. RD rozdiel'!I87</f>
        <v>-69002.771542798102</v>
      </c>
      <c r="J24" s="1122">
        <f>'1. RD2021'!J20-'2. RD rozdiel'!J87</f>
        <v>-17277.216157196279</v>
      </c>
      <c r="K24" s="1098">
        <f>'1. RD2021'!K20-'2. RD rozdiel'!K87</f>
        <v>-3803.9485542462958</v>
      </c>
      <c r="L24" s="1122">
        <f>'1. RD2021'!L20-'2. RD rozdiel'!L87</f>
        <v>0</v>
      </c>
      <c r="M24" s="1098">
        <f>'1. RD2021'!M20-'2. RD rozdiel'!M87</f>
        <v>-338101</v>
      </c>
      <c r="N24" s="1122">
        <f>'1. RD2021'!N20-'2. RD rozdiel'!N87</f>
        <v>0</v>
      </c>
      <c r="O24" s="1098">
        <f>'1. RD2021'!O20-'2. RD rozdiel'!O87</f>
        <v>0</v>
      </c>
      <c r="P24" s="1122">
        <f>'1. RD2021'!P20-'2. RD rozdiel'!P87</f>
        <v>0</v>
      </c>
      <c r="Q24" s="1098">
        <f>'1. RD2021'!Q20-'2. RD rozdiel'!Q87</f>
        <v>0</v>
      </c>
      <c r="R24" s="1098">
        <f>'1. RD2021'!R20-'2. RD rozdiel'!R87</f>
        <v>-338101</v>
      </c>
    </row>
    <row r="25" spans="1:18" ht="20.100000000000001" customHeight="1">
      <c r="B25" s="1120" t="s">
        <v>222</v>
      </c>
      <c r="C25" s="1121">
        <f>'1. RD2021'!C21-'2. RD rozdiel'!C88</f>
        <v>-255960</v>
      </c>
      <c r="D25" s="1122">
        <f>'1. RD2021'!D21-'2. RD rozdiel'!D88</f>
        <v>0</v>
      </c>
      <c r="E25" s="1098">
        <f>'1. RD2021'!E21-'2. RD rozdiel'!E88</f>
        <v>-28571.57560975611</v>
      </c>
      <c r="F25" s="1122">
        <f>'1. RD2021'!F21-'2. RD rozdiel'!F88</f>
        <v>-52983.960975609749</v>
      </c>
      <c r="G25" s="1098">
        <f>'1. RD2021'!G21-'2. RD rozdiel'!G88</f>
        <v>-51518.946341463423</v>
      </c>
      <c r="H25" s="1122">
        <f>'1. RD2021'!H21-'2. RD rozdiel'!H88</f>
        <v>-52118.063414634147</v>
      </c>
      <c r="I25" s="1098">
        <f>'1. RD2021'!I21-'2. RD rozdiel'!I88</f>
        <v>-41296.01951219514</v>
      </c>
      <c r="J25" s="1122">
        <f>'1. RD2021'!J21-'2. RD rozdiel'!J88</f>
        <v>-29471.43414634146</v>
      </c>
      <c r="K25" s="1098">
        <f>'1. RD2021'!K21-'2. RD rozdiel'!K88</f>
        <v>0</v>
      </c>
      <c r="L25" s="1122">
        <f>'1. RD2021'!L21-'2. RD rozdiel'!L88</f>
        <v>0</v>
      </c>
      <c r="M25" s="1098">
        <f>'1. RD2021'!M21-'2. RD rozdiel'!M88</f>
        <v>-255960</v>
      </c>
      <c r="N25" s="1122">
        <f>'1. RD2021'!N21-'2. RD rozdiel'!N88</f>
        <v>0</v>
      </c>
      <c r="O25" s="1098">
        <f>'1. RD2021'!O21-'2. RD rozdiel'!O88</f>
        <v>0</v>
      </c>
      <c r="P25" s="1122">
        <f>'1. RD2021'!P21-'2. RD rozdiel'!P88</f>
        <v>0</v>
      </c>
      <c r="Q25" s="1098">
        <f>'1. RD2021'!Q21-'2. RD rozdiel'!Q88</f>
        <v>0</v>
      </c>
      <c r="R25" s="1098">
        <f>'1. RD2021'!R21-'2. RD rozdiel'!R88</f>
        <v>-255960</v>
      </c>
    </row>
    <row r="26" spans="1:18" ht="20.100000000000001" customHeight="1">
      <c r="B26" s="1120" t="s">
        <v>223</v>
      </c>
      <c r="C26" s="1121">
        <f>'1. RD2021'!C22-'2. RD rozdiel'!C89</f>
        <v>-6850</v>
      </c>
      <c r="D26" s="1122">
        <f>'1. RD2021'!D22-'2. RD rozdiel'!D89</f>
        <v>1901.4632317745709</v>
      </c>
      <c r="E26" s="1098">
        <f>'1. RD2021'!E22-'2. RD rozdiel'!E89</f>
        <v>8423.2842448648298</v>
      </c>
      <c r="F26" s="1122">
        <f>'1. RD2021'!F22-'2. RD rozdiel'!F89</f>
        <v>-5588.3420064098536</v>
      </c>
      <c r="G26" s="1098">
        <f>'1. RD2021'!G22-'2. RD rozdiel'!G89</f>
        <v>-6447.4840429959804</v>
      </c>
      <c r="H26" s="1122">
        <f>'1. RD2021'!H22-'2. RD rozdiel'!H89</f>
        <v>-2771.5850138394599</v>
      </c>
      <c r="I26" s="1098">
        <f>'1. RD2021'!I22-'2. RD rozdiel'!I89</f>
        <v>8.562402447394561</v>
      </c>
      <c r="J26" s="1122">
        <f>'1. RD2021'!J22-'2. RD rozdiel'!J89</f>
        <v>-2882.5509354644018</v>
      </c>
      <c r="K26" s="1098">
        <f>'1. RD2021'!K22-'2. RD rozdiel'!K89</f>
        <v>696.70767517845616</v>
      </c>
      <c r="L26" s="1122">
        <f>'1. RD2021'!L22-'2. RD rozdiel'!L89</f>
        <v>0</v>
      </c>
      <c r="M26" s="1098">
        <f>'1. RD2021'!M22-'2. RD rozdiel'!M89</f>
        <v>-6659.944444444438</v>
      </c>
      <c r="N26" s="1122">
        <f>'1. RD2021'!N22-'2. RD rozdiel'!N89</f>
        <v>0</v>
      </c>
      <c r="O26" s="1098">
        <f>'1. RD2021'!O22-'2. RD rozdiel'!O89</f>
        <v>0</v>
      </c>
      <c r="P26" s="1122">
        <f>'1. RD2021'!P22-'2. RD rozdiel'!P89</f>
        <v>-190.05555555555657</v>
      </c>
      <c r="Q26" s="1098">
        <f>'1. RD2021'!Q22-'2. RD rozdiel'!Q89</f>
        <v>0</v>
      </c>
      <c r="R26" s="1098">
        <f>'1. RD2021'!R22-'2. RD rozdiel'!R89</f>
        <v>-6850</v>
      </c>
    </row>
    <row r="27" spans="1:18" ht="29.65" customHeight="1">
      <c r="B27" s="1123" t="s">
        <v>224</v>
      </c>
      <c r="C27" s="1121">
        <f>'1. RD2021'!C23-'2. RD rozdiel'!C90</f>
        <v>-126231</v>
      </c>
      <c r="D27" s="1122">
        <f>'1. RD2021'!D23-'2. RD rozdiel'!D90</f>
        <v>0</v>
      </c>
      <c r="E27" s="1098">
        <f>'1. RD2021'!E23-'2. RD rozdiel'!E90</f>
        <v>0</v>
      </c>
      <c r="F27" s="1122">
        <f>'1. RD2021'!F23-'2. RD rozdiel'!F90</f>
        <v>0</v>
      </c>
      <c r="G27" s="1098">
        <f>'1. RD2021'!G23-'2. RD rozdiel'!G90</f>
        <v>0</v>
      </c>
      <c r="H27" s="1122">
        <f>'1. RD2021'!H23-'2. RD rozdiel'!H90</f>
        <v>-25808.152000000002</v>
      </c>
      <c r="I27" s="1098">
        <f>'1. RD2021'!I23-'2. RD rozdiel'!I90</f>
        <v>0</v>
      </c>
      <c r="J27" s="1122">
        <f>'1. RD2021'!J23-'2. RD rozdiel'!J90</f>
        <v>0</v>
      </c>
      <c r="K27" s="1098">
        <f>'1. RD2021'!K23-'2. RD rozdiel'!K90</f>
        <v>0</v>
      </c>
      <c r="L27" s="1122">
        <f>'1. RD2021'!L23-'2. RD rozdiel'!L90</f>
        <v>0</v>
      </c>
      <c r="M27" s="1098">
        <f>'1. RD2021'!M23-'2. RD rozdiel'!M90</f>
        <v>-25808.152000000002</v>
      </c>
      <c r="N27" s="1122">
        <f>'1. RD2021'!N23-'2. RD rozdiel'!N90</f>
        <v>0</v>
      </c>
      <c r="O27" s="1098">
        <f>'1. RD2021'!O23-'2. RD rozdiel'!O90</f>
        <v>-110281.87999999989</v>
      </c>
      <c r="P27" s="1122">
        <f>'1. RD2021'!P23-'2. RD rozdiel'!P90</f>
        <v>-10141</v>
      </c>
      <c r="Q27" s="1098">
        <f>'1. RD2021'!Q23-'2. RD rozdiel'!Q90</f>
        <v>20000</v>
      </c>
      <c r="R27" s="1098">
        <f>'1. RD2021'!R23-'2. RD rozdiel'!R90</f>
        <v>-126231.03199999966</v>
      </c>
    </row>
    <row r="28" spans="1:18" ht="20.100000000000001" customHeight="1">
      <c r="B28" s="1120" t="s">
        <v>225</v>
      </c>
      <c r="C28" s="1121">
        <f>'1. RD2021'!C24-'2. RD rozdiel'!C91</f>
        <v>34300</v>
      </c>
      <c r="D28" s="1122">
        <f>'1. RD2021'!D24-'2. RD rozdiel'!D91</f>
        <v>0</v>
      </c>
      <c r="E28" s="1098">
        <f>'1. RD2021'!E24-'2. RD rozdiel'!E91</f>
        <v>0</v>
      </c>
      <c r="F28" s="1122">
        <f>'1. RD2021'!F24-'2. RD rozdiel'!F91</f>
        <v>0</v>
      </c>
      <c r="G28" s="1098">
        <f>'1. RD2021'!G24-'2. RD rozdiel'!G91</f>
        <v>0</v>
      </c>
      <c r="H28" s="1122">
        <f>'1. RD2021'!H24-'2. RD rozdiel'!H91</f>
        <v>7037</v>
      </c>
      <c r="I28" s="1098">
        <f>'1. RD2021'!I24-'2. RD rozdiel'!I91</f>
        <v>0</v>
      </c>
      <c r="J28" s="1122">
        <f>'1. RD2021'!J24-'2. RD rozdiel'!J91</f>
        <v>0</v>
      </c>
      <c r="K28" s="1098">
        <f>'1. RD2021'!K24-'2. RD rozdiel'!K91</f>
        <v>0</v>
      </c>
      <c r="L28" s="1122">
        <f>'1. RD2021'!L24-'2. RD rozdiel'!L91</f>
        <v>0</v>
      </c>
      <c r="M28" s="1098">
        <f>'1. RD2021'!M24-'2. RD rozdiel'!M91</f>
        <v>7037</v>
      </c>
      <c r="N28" s="1122">
        <f>'1. RD2021'!N24-'2. RD rozdiel'!N91</f>
        <v>0</v>
      </c>
      <c r="O28" s="1098">
        <f>'1. RD2021'!O24-'2. RD rozdiel'!O91</f>
        <v>27263</v>
      </c>
      <c r="P28" s="1122">
        <f>'1. RD2021'!P24-'2. RD rozdiel'!P91</f>
        <v>0</v>
      </c>
      <c r="Q28" s="1098">
        <f>'1. RD2021'!Q24-'2. RD rozdiel'!Q91</f>
        <v>0</v>
      </c>
      <c r="R28" s="1098">
        <f>'1. RD2021'!R24-'2. RD rozdiel'!R91</f>
        <v>34300</v>
      </c>
    </row>
    <row r="29" spans="1:18" ht="20.100000000000001" customHeight="1">
      <c r="B29" s="1120" t="s">
        <v>226</v>
      </c>
      <c r="C29" s="1121">
        <f>'1. RD2021'!C25-'2. RD rozdiel'!C92</f>
        <v>12074</v>
      </c>
      <c r="D29" s="1122">
        <f>'1. RD2021'!D25-'2. RD rozdiel'!D92</f>
        <v>0</v>
      </c>
      <c r="E29" s="1098">
        <f>'1. RD2021'!E25-'2. RD rozdiel'!E92</f>
        <v>0</v>
      </c>
      <c r="F29" s="1122">
        <f>'1. RD2021'!F25-'2. RD rozdiel'!F92</f>
        <v>0</v>
      </c>
      <c r="G29" s="1098">
        <f>'1. RD2021'!G25-'2. RD rozdiel'!G92</f>
        <v>0</v>
      </c>
      <c r="H29" s="1122">
        <f>'1. RD2021'!H25-'2. RD rozdiel'!H92</f>
        <v>2476.8479999999981</v>
      </c>
      <c r="I29" s="1098">
        <f>'1. RD2021'!I25-'2. RD rozdiel'!I92</f>
        <v>0</v>
      </c>
      <c r="J29" s="1122">
        <f>'1. RD2021'!J25-'2. RD rozdiel'!J92</f>
        <v>0</v>
      </c>
      <c r="K29" s="1098">
        <f>'1. RD2021'!K25-'2. RD rozdiel'!K92</f>
        <v>0</v>
      </c>
      <c r="L29" s="1122">
        <f>'1. RD2021'!L25-'2. RD rozdiel'!L92</f>
        <v>0</v>
      </c>
      <c r="M29" s="1098">
        <f>'1. RD2021'!M25-'2. RD rozdiel'!M92</f>
        <v>2476.8479999999981</v>
      </c>
      <c r="N29" s="1122">
        <f>'1. RD2021'!N25-'2. RD rozdiel'!N92</f>
        <v>0</v>
      </c>
      <c r="O29" s="1098">
        <f>'1. RD2021'!O25-'2. RD rozdiel'!O92</f>
        <v>9596.1199999999953</v>
      </c>
      <c r="P29" s="1122">
        <f>'1. RD2021'!P25-'2. RD rozdiel'!P92</f>
        <v>0</v>
      </c>
      <c r="Q29" s="1098">
        <f>'1. RD2021'!Q25-'2. RD rozdiel'!Q92</f>
        <v>0</v>
      </c>
      <c r="R29" s="1098">
        <f>'1. RD2021'!R25-'2. RD rozdiel'!R92</f>
        <v>12072.967999999993</v>
      </c>
    </row>
    <row r="30" spans="1:18" ht="20.100000000000001" customHeight="1">
      <c r="B30" s="1120" t="s">
        <v>268</v>
      </c>
      <c r="C30" s="1121">
        <f>'1. RD2021'!C26-'2. RD rozdiel'!C93</f>
        <v>7514</v>
      </c>
      <c r="D30" s="1122">
        <f>'1. RD2021'!D26-'2. RD rozdiel'!D93</f>
        <v>0</v>
      </c>
      <c r="E30" s="1098">
        <f>'1. RD2021'!E26-'2. RD rozdiel'!E93</f>
        <v>0</v>
      </c>
      <c r="F30" s="1122">
        <f>'1. RD2021'!F26-'2. RD rozdiel'!F93</f>
        <v>0</v>
      </c>
      <c r="G30" s="1098">
        <f>'1. RD2021'!G26-'2. RD rozdiel'!G93</f>
        <v>0</v>
      </c>
      <c r="H30" s="1122">
        <f>'1. RD2021'!H26-'2. RD rozdiel'!H93</f>
        <v>276</v>
      </c>
      <c r="I30" s="1098">
        <f>'1. RD2021'!I26-'2. RD rozdiel'!I93</f>
        <v>0</v>
      </c>
      <c r="J30" s="1122">
        <f>'1. RD2021'!J26-'2. RD rozdiel'!J93</f>
        <v>0</v>
      </c>
      <c r="K30" s="1098">
        <f>'1. RD2021'!K26-'2. RD rozdiel'!K93</f>
        <v>0</v>
      </c>
      <c r="L30" s="1122">
        <f>'1. RD2021'!L26-'2. RD rozdiel'!L93</f>
        <v>0</v>
      </c>
      <c r="M30" s="1098">
        <f>'1. RD2021'!M26-'2. RD rozdiel'!M93</f>
        <v>276</v>
      </c>
      <c r="N30" s="1122">
        <f>'1. RD2021'!N26-'2. RD rozdiel'!N93</f>
        <v>0</v>
      </c>
      <c r="O30" s="1098">
        <f>'1. RD2021'!O26-'2. RD rozdiel'!O93</f>
        <v>7238</v>
      </c>
      <c r="P30" s="1122">
        <f>'1. RD2021'!P26-'2. RD rozdiel'!P93</f>
        <v>0</v>
      </c>
      <c r="Q30" s="1098">
        <f>'1. RD2021'!Q26-'2. RD rozdiel'!Q93</f>
        <v>0</v>
      </c>
      <c r="R30" s="1098">
        <f>'1. RD2021'!R26-'2. RD rozdiel'!R93</f>
        <v>7514</v>
      </c>
    </row>
    <row r="31" spans="1:18" ht="20.100000000000001" customHeight="1">
      <c r="B31" s="1120" t="s">
        <v>227</v>
      </c>
      <c r="C31" s="1121">
        <f>'1. RD2021'!C27-'2. RD rozdiel'!C94</f>
        <v>-189977</v>
      </c>
      <c r="D31" s="1122">
        <f>'1. RD2021'!D27-'2. RD rozdiel'!D94</f>
        <v>0</v>
      </c>
      <c r="E31" s="1098">
        <f>'1. RD2021'!E27-'2. RD rozdiel'!E94</f>
        <v>0</v>
      </c>
      <c r="F31" s="1122">
        <f>'1. RD2021'!F27-'2. RD rozdiel'!F94</f>
        <v>0</v>
      </c>
      <c r="G31" s="1098">
        <f>'1. RD2021'!G27-'2. RD rozdiel'!G94</f>
        <v>0</v>
      </c>
      <c r="H31" s="1122">
        <f>'1. RD2021'!H27-'2. RD rozdiel'!H94</f>
        <v>-35598</v>
      </c>
      <c r="I31" s="1098">
        <f>'1. RD2021'!I27-'2. RD rozdiel'!I94</f>
        <v>0</v>
      </c>
      <c r="J31" s="1122">
        <f>'1. RD2021'!J27-'2. RD rozdiel'!J94</f>
        <v>0</v>
      </c>
      <c r="K31" s="1098">
        <f>'1. RD2021'!K27-'2. RD rozdiel'!K94</f>
        <v>0</v>
      </c>
      <c r="L31" s="1122">
        <f>'1. RD2021'!L27-'2. RD rozdiel'!L94</f>
        <v>0</v>
      </c>
      <c r="M31" s="1098">
        <f>'1. RD2021'!M27-'2. RD rozdiel'!M94</f>
        <v>-35598</v>
      </c>
      <c r="N31" s="1122">
        <f>'1. RD2021'!N27-'2. RD rozdiel'!N94</f>
        <v>0</v>
      </c>
      <c r="O31" s="1098">
        <f>'1. RD2021'!O27-'2. RD rozdiel'!O94</f>
        <v>-154379</v>
      </c>
      <c r="P31" s="1122">
        <f>'1. RD2021'!P27-'2. RD rozdiel'!P94</f>
        <v>0</v>
      </c>
      <c r="Q31" s="1098">
        <f>'1. RD2021'!Q27-'2. RD rozdiel'!Q94</f>
        <v>0</v>
      </c>
      <c r="R31" s="1098">
        <f>'1. RD2021'!R27-'2. RD rozdiel'!R94</f>
        <v>-189977</v>
      </c>
    </row>
    <row r="32" spans="1:18" ht="20.100000000000001" customHeight="1" thickBot="1">
      <c r="B32" s="415" t="s">
        <v>228</v>
      </c>
      <c r="C32" s="455">
        <f>'1. RD2021'!C28-'2. RD rozdiel'!C95</f>
        <v>9859</v>
      </c>
      <c r="D32" s="1124">
        <f>'1. RD2021'!D28-'2. RD rozdiel'!D95</f>
        <v>0</v>
      </c>
      <c r="E32" s="417">
        <f>'1. RD2021'!E28-'2. RD rozdiel'!E95</f>
        <v>0</v>
      </c>
      <c r="F32" s="1124">
        <f>'1. RD2021'!F28-'2. RD rozdiel'!F95</f>
        <v>0</v>
      </c>
      <c r="G32" s="417">
        <f>'1. RD2021'!G28-'2. RD rozdiel'!G95</f>
        <v>0</v>
      </c>
      <c r="H32" s="1124">
        <f>'1. RD2021'!H28-'2. RD rozdiel'!H95</f>
        <v>0</v>
      </c>
      <c r="I32" s="417">
        <f>'1. RD2021'!I28-'2. RD rozdiel'!I95</f>
        <v>0</v>
      </c>
      <c r="J32" s="1125">
        <f>'1. RD2021'!J28-'2. RD rozdiel'!J95</f>
        <v>0</v>
      </c>
      <c r="K32" s="417">
        <f>'1. RD2021'!K28-'2. RD rozdiel'!K95</f>
        <v>0</v>
      </c>
      <c r="L32" s="1124">
        <f>'1. RD2021'!L28-'2. RD rozdiel'!L95</f>
        <v>0</v>
      </c>
      <c r="M32" s="417">
        <f>'1. RD2021'!M28-'2. RD rozdiel'!M95</f>
        <v>0</v>
      </c>
      <c r="N32" s="1124">
        <f>'1. RD2021'!N28-'2. RD rozdiel'!N95</f>
        <v>0</v>
      </c>
      <c r="O32" s="417">
        <f>'1. RD2021'!O28-'2. RD rozdiel'!O95</f>
        <v>0</v>
      </c>
      <c r="P32" s="1124">
        <f>'1. RD2021'!P28-'2. RD rozdiel'!P95</f>
        <v>-10141</v>
      </c>
      <c r="Q32" s="417">
        <f>'1. RD2021'!Q28-'2. RD rozdiel'!Q95</f>
        <v>20000</v>
      </c>
      <c r="R32" s="417">
        <f>'1. RD2021'!R28-'2. RD rozdiel'!R95</f>
        <v>9859</v>
      </c>
    </row>
    <row r="33" spans="1:24" ht="12.95" customHeight="1"/>
    <row r="34" spans="1:24" ht="12.95" customHeight="1"/>
    <row r="35" spans="1:24" ht="12.95" customHeight="1" thickBot="1"/>
    <row r="36" spans="1:24" ht="47.85" customHeight="1" thickBot="1">
      <c r="B36" s="1347" t="s">
        <v>437</v>
      </c>
      <c r="C36" s="1348"/>
      <c r="D36" s="1348"/>
      <c r="E36" s="1348"/>
      <c r="F36" s="1348"/>
      <c r="G36" s="1348"/>
      <c r="H36" s="1348"/>
      <c r="I36" s="1348"/>
      <c r="J36" s="1348"/>
      <c r="K36" s="1348"/>
      <c r="L36" s="1348"/>
      <c r="M36" s="1348"/>
      <c r="N36" s="1348"/>
      <c r="O36" s="1348"/>
      <c r="P36" s="1348"/>
      <c r="Q36" s="1348"/>
      <c r="R36" s="1349"/>
    </row>
    <row r="37" spans="1:24" ht="12.95" customHeight="1" thickBot="1">
      <c r="B37" s="356"/>
      <c r="C37" s="357"/>
      <c r="D37" s="358"/>
      <c r="E37" s="358"/>
      <c r="F37" s="358"/>
      <c r="G37" s="358"/>
      <c r="H37" s="358"/>
      <c r="I37" s="358"/>
      <c r="J37" s="358"/>
      <c r="K37" s="358"/>
      <c r="L37" s="358"/>
      <c r="M37" s="359"/>
      <c r="N37" s="358"/>
      <c r="O37" s="358"/>
      <c r="P37" s="359"/>
      <c r="Q37" s="359"/>
      <c r="R37" s="359"/>
    </row>
    <row r="38" spans="1:24" s="361" customFormat="1" ht="38.25" thickBot="1">
      <c r="A38" s="355"/>
      <c r="B38" s="1099" t="s">
        <v>206</v>
      </c>
      <c r="C38" s="1100" t="s">
        <v>207</v>
      </c>
      <c r="D38" s="378" t="s">
        <v>56</v>
      </c>
      <c r="E38" s="378" t="s">
        <v>57</v>
      </c>
      <c r="F38" s="378" t="s">
        <v>58</v>
      </c>
      <c r="G38" s="378" t="s">
        <v>59</v>
      </c>
      <c r="H38" s="1101" t="s">
        <v>62</v>
      </c>
      <c r="I38" s="378" t="s">
        <v>60</v>
      </c>
      <c r="J38" s="378" t="s">
        <v>61</v>
      </c>
      <c r="K38" s="378" t="s">
        <v>208</v>
      </c>
      <c r="L38" s="378" t="s">
        <v>205</v>
      </c>
      <c r="M38" s="1102" t="s">
        <v>246</v>
      </c>
      <c r="N38" s="378" t="s">
        <v>360</v>
      </c>
      <c r="O38" s="379" t="s">
        <v>209</v>
      </c>
      <c r="P38" s="380" t="s">
        <v>411</v>
      </c>
      <c r="Q38" s="380" t="s">
        <v>439</v>
      </c>
      <c r="R38" s="380" t="s">
        <v>16</v>
      </c>
    </row>
    <row r="39" spans="1:24" s="1103" customFormat="1" ht="12.95" customHeight="1" thickBot="1">
      <c r="B39" s="1105"/>
      <c r="C39" s="1106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</row>
    <row r="40" spans="1:24" s="1103" customFormat="1" ht="30" customHeight="1" thickBot="1">
      <c r="B40" s="381" t="s">
        <v>214</v>
      </c>
      <c r="C40" s="446">
        <f>'1. RD2021'!C5-'2. RD rozdiel'!C103</f>
        <v>10027757.502000004</v>
      </c>
      <c r="D40" s="383">
        <f>'1. RD2021'!D5-'2. RD rozdiel'!D103</f>
        <v>630502.91147418553</v>
      </c>
      <c r="E40" s="382">
        <f>'1. RD2021'!E5-'2. RD rozdiel'!E103</f>
        <v>3086971.4628312532</v>
      </c>
      <c r="F40" s="383">
        <f>'1. RD2021'!F5-'2. RD rozdiel'!F103</f>
        <v>2124788.2533979956</v>
      </c>
      <c r="G40" s="382">
        <f>'1. RD2021'!G5-'2. RD rozdiel'!G103</f>
        <v>1107530.8320257016</v>
      </c>
      <c r="H40" s="383">
        <f>'1. RD2021'!H5-'2. RD rozdiel'!H103</f>
        <v>828079.04150850419</v>
      </c>
      <c r="I40" s="382">
        <f>'1. RD2021'!I5-'2. RD rozdiel'!I103</f>
        <v>1797416.727919668</v>
      </c>
      <c r="J40" s="383">
        <f>'1. RD2021'!J5-'2. RD rozdiel'!J103</f>
        <v>435019.17316875979</v>
      </c>
      <c r="K40" s="382">
        <f>'1. RD2021'!K5-'2. RD rozdiel'!K103</f>
        <v>253051.78089173732</v>
      </c>
      <c r="L40" s="383">
        <f>'1. RD2021'!L5-'2. RD rozdiel'!L103</f>
        <v>-4692.1605781603721</v>
      </c>
      <c r="M40" s="382">
        <f>'1. RD2021'!M5-'2. RD rozdiel'!M103</f>
        <v>10258668.022639655</v>
      </c>
      <c r="N40" s="383">
        <f>'1. RD2021'!N5-'2. RD rozdiel'!N103</f>
        <v>1075198.8121015057</v>
      </c>
      <c r="O40" s="382">
        <f>'1. RD2021'!O5-'2. RD rozdiel'!O103</f>
        <v>301005.61223638197</v>
      </c>
      <c r="P40" s="383">
        <f>'1. RD2021'!P5-'2. RD rozdiel'!P103</f>
        <v>-3060814.393555556</v>
      </c>
      <c r="Q40" s="382">
        <f>'1. RD2021'!Q5-'2. RD rozdiel'!Q103</f>
        <v>1453700.03</v>
      </c>
      <c r="R40" s="382">
        <f>'1. RD2021'!R5-'2. RD rozdiel'!R103</f>
        <v>10027758.083421975</v>
      </c>
    </row>
    <row r="41" spans="1:24" s="1103" customFormat="1" ht="30" customHeight="1" thickBot="1">
      <c r="B41" s="1131" t="s">
        <v>443</v>
      </c>
      <c r="C41" s="1132">
        <f>C40/'1. RD2021'!C5</f>
        <v>0.14506963437365272</v>
      </c>
      <c r="D41" s="1129">
        <f>D40/'1. RD2021'!D5</f>
        <v>0.14972604086780264</v>
      </c>
      <c r="E41" s="1130">
        <f>E40/'1. RD2021'!E5</f>
        <v>0.25102280935711641</v>
      </c>
      <c r="F41" s="1129">
        <f>F40/'1. RD2021'!F5</f>
        <v>0.17626641824878794</v>
      </c>
      <c r="G41" s="1130">
        <f>G40/'1. RD2021'!G5</f>
        <v>0.26934862056153441</v>
      </c>
      <c r="H41" s="1129">
        <f>H40/'1. RD2021'!H5</f>
        <v>9.5275354397401799E-2</v>
      </c>
      <c r="I41" s="1130">
        <f>I40/'1. RD2021'!I5</f>
        <v>0.15082384963067566</v>
      </c>
      <c r="J41" s="1129">
        <f>J40/'1. RD2021'!J5</f>
        <v>9.31632607404419E-2</v>
      </c>
      <c r="K41" s="1130">
        <f>K40/'1. RD2021'!K5</f>
        <v>0.25145837617067496</v>
      </c>
      <c r="L41" s="1129">
        <f>L40/'1. RD2021'!L5</f>
        <v>-1.9260242715319762E-2</v>
      </c>
      <c r="M41" s="1130">
        <f>M40/'1. RD2021'!M5</f>
        <v>0.17327937029243767</v>
      </c>
      <c r="N41" s="1129">
        <f>N40/'1. RD2021'!N5</f>
        <v>0.27604157712563271</v>
      </c>
      <c r="O41" s="1130">
        <f>O40/'1. RD2021'!O5</f>
        <v>0.10112474734155034</v>
      </c>
      <c r="P41" s="1129">
        <f>P40/'1. RD2021'!P5</f>
        <v>-1.9185729457158605</v>
      </c>
      <c r="Q41" s="1130">
        <f>Q40/'1. RD2021'!Q5</f>
        <v>1</v>
      </c>
      <c r="R41" s="1130">
        <f>R40/'1. RD2021'!R5</f>
        <v>0.14506964209660048</v>
      </c>
    </row>
    <row r="42" spans="1:24" ht="29.65" customHeight="1">
      <c r="B42" s="384" t="s">
        <v>215</v>
      </c>
      <c r="C42" s="447">
        <f>'1. RD2021'!C6-'2. RD rozdiel'!C104</f>
        <v>6529910.5020000041</v>
      </c>
      <c r="D42" s="386">
        <f>'1. RD2021'!D6-'2. RD rozdiel'!D104</f>
        <v>404230.80390596995</v>
      </c>
      <c r="E42" s="385">
        <f>'1. RD2021'!E6-'2. RD rozdiel'!E104</f>
        <v>1919979.3554992285</v>
      </c>
      <c r="F42" s="386">
        <f>'1. RD2021'!F6-'2. RD rozdiel'!F104</f>
        <v>1364851.1584079321</v>
      </c>
      <c r="G42" s="385">
        <f>'1. RD2021'!G6-'2. RD rozdiel'!G104</f>
        <v>977218.53978571715</v>
      </c>
      <c r="H42" s="386">
        <f>'1. RD2021'!H6-'2. RD rozdiel'!H104</f>
        <v>501376.42596088164</v>
      </c>
      <c r="I42" s="385">
        <f>'1. RD2021'!I6-'2. RD rozdiel'!I104</f>
        <v>1076508.4042246062</v>
      </c>
      <c r="J42" s="386">
        <f>'1. RD2021'!J6-'2. RD rozdiel'!J104</f>
        <v>270427.81957854237</v>
      </c>
      <c r="K42" s="385">
        <f>'1. RD2021'!K6-'2. RD rozdiel'!K104</f>
        <v>14580.814884803607</v>
      </c>
      <c r="L42" s="386">
        <f>'1. RD2021'!L6-'2. RD rozdiel'!L104</f>
        <v>7191.0491490817512</v>
      </c>
      <c r="M42" s="385">
        <f>'1. RD2021'!M6-'2. RD rozdiel'!M104</f>
        <v>6536364.3713967651</v>
      </c>
      <c r="N42" s="386">
        <f>'1. RD2021'!N6-'2. RD rozdiel'!N104</f>
        <v>795065.95260591106</v>
      </c>
      <c r="O42" s="385">
        <f>'1. RD2021'!O6-'2. RD rozdiel'!O104</f>
        <v>0.03</v>
      </c>
      <c r="P42" s="386">
        <f>'1. RD2021'!P6-'2. RD rozdiel'!P104</f>
        <v>-851519.33800000011</v>
      </c>
      <c r="Q42" s="385">
        <f>'1. RD2021'!Q6-'2. RD rozdiel'!Q104</f>
        <v>50000.03</v>
      </c>
      <c r="R42" s="385">
        <f>'1. RD2021'!R6-'2. RD rozdiel'!R104</f>
        <v>6529911.0460026786</v>
      </c>
    </row>
    <row r="43" spans="1:24" ht="20.100000000000001" customHeight="1">
      <c r="B43" s="387" t="s">
        <v>216</v>
      </c>
      <c r="C43" s="448">
        <f>'1. RD2021'!C7-'2. RD rozdiel'!C105</f>
        <v>4850053</v>
      </c>
      <c r="D43" s="388">
        <f>'1. RD2021'!D7-'2. RD rozdiel'!D105</f>
        <v>280257.0203300016</v>
      </c>
      <c r="E43" s="389">
        <f>'1. RD2021'!E7-'2. RD rozdiel'!E105</f>
        <v>1308745.9870570586</v>
      </c>
      <c r="F43" s="388">
        <f>'1. RD2021'!F7-'2. RD rozdiel'!F105</f>
        <v>978812.02757500671</v>
      </c>
      <c r="G43" s="389">
        <f>'1. RD2021'!G7-'2. RD rozdiel'!G105</f>
        <v>643339.44089665823</v>
      </c>
      <c r="H43" s="388">
        <f>'1. RD2021'!H7-'2. RD rozdiel'!H105</f>
        <v>384631.78539888607</v>
      </c>
      <c r="I43" s="389">
        <f>'1. RD2021'!I7-'2. RD rozdiel'!I105</f>
        <v>786134.15836854838</v>
      </c>
      <c r="J43" s="388">
        <f>'1. RD2021'!J7-'2. RD rozdiel'!J105</f>
        <v>219099.25983690238</v>
      </c>
      <c r="K43" s="389">
        <f>'1. RD2021'!K7-'2. RD rozdiel'!K105</f>
        <v>18570.454336502473</v>
      </c>
      <c r="L43" s="388">
        <f>'1. RD2021'!L7-'2. RD rozdiel'!L105</f>
        <v>5000.8662004410871</v>
      </c>
      <c r="M43" s="389">
        <f>'1. RD2021'!M7-'2. RD rozdiel'!M105</f>
        <v>4624591.0000000037</v>
      </c>
      <c r="N43" s="388">
        <f>'1. RD2021'!N7-'2. RD rozdiel'!N105</f>
        <v>228321</v>
      </c>
      <c r="O43" s="389">
        <f>'1. RD2021'!O7-'2. RD rozdiel'!O105</f>
        <v>0</v>
      </c>
      <c r="P43" s="388">
        <f>'1. RD2021'!P7-'2. RD rozdiel'!P105</f>
        <v>-2859</v>
      </c>
      <c r="Q43" s="1096">
        <f>'1. RD2021'!Q7-'2. RD rozdiel'!Q105</f>
        <v>0</v>
      </c>
      <c r="R43" s="389">
        <f>'1. RD2021'!R7-'2. RD rozdiel'!R105</f>
        <v>4850053.0000000037</v>
      </c>
      <c r="X43" s="949"/>
    </row>
    <row r="44" spans="1:24" ht="20.100000000000001" customHeight="1">
      <c r="B44" s="854" t="s">
        <v>354</v>
      </c>
      <c r="C44" s="448">
        <f>'1. RD2021'!C8-'2. RD rozdiel'!C106</f>
        <v>4850053</v>
      </c>
      <c r="D44" s="388">
        <f>'1. RD2021'!D8-'2. RD rozdiel'!D106</f>
        <v>280257.0203300016</v>
      </c>
      <c r="E44" s="389">
        <f>'1. RD2021'!E8-'2. RD rozdiel'!E106</f>
        <v>1302865.9870570586</v>
      </c>
      <c r="F44" s="388">
        <f>'1. RD2021'!F8-'2. RD rozdiel'!F106</f>
        <v>978812.02757500671</v>
      </c>
      <c r="G44" s="389">
        <f>'1. RD2021'!G8-'2. RD rozdiel'!G106</f>
        <v>637459.44089665823</v>
      </c>
      <c r="H44" s="388">
        <f>'1. RD2021'!H8-'2. RD rozdiel'!H106</f>
        <v>378751.78539888607</v>
      </c>
      <c r="I44" s="389">
        <f>'1. RD2021'!I8-'2. RD rozdiel'!I106</f>
        <v>780254.15836854838</v>
      </c>
      <c r="J44" s="388">
        <f>'1. RD2021'!J8-'2. RD rozdiel'!J106</f>
        <v>219099.25983690238</v>
      </c>
      <c r="K44" s="389">
        <f>'1. RD2021'!K8-'2. RD rozdiel'!K106</f>
        <v>18570.454336502473</v>
      </c>
      <c r="L44" s="388">
        <f>'1. RD2021'!L8-'2. RD rozdiel'!L106</f>
        <v>5000.8662004410871</v>
      </c>
      <c r="M44" s="389">
        <f>'1. RD2021'!M8-'2. RD rozdiel'!M106</f>
        <v>4601071.0000000037</v>
      </c>
      <c r="N44" s="388">
        <f>'1. RD2021'!N8-'2. RD rozdiel'!N106</f>
        <v>0</v>
      </c>
      <c r="O44" s="389">
        <f>'1. RD2021'!O8-'2. RD rozdiel'!O106</f>
        <v>0</v>
      </c>
      <c r="P44" s="388">
        <f>'1. RD2021'!P8-'2. RD rozdiel'!P106</f>
        <v>0</v>
      </c>
      <c r="Q44" s="1096">
        <f>'1. RD2021'!Q8-'2. RD rozdiel'!Q106</f>
        <v>0</v>
      </c>
      <c r="R44" s="389">
        <f>'1. RD2021'!R8-'2. RD rozdiel'!R106</f>
        <v>4601071.0000000037</v>
      </c>
      <c r="X44" s="949"/>
    </row>
    <row r="45" spans="1:24" ht="20.100000000000001" customHeight="1">
      <c r="B45" s="855" t="s">
        <v>210</v>
      </c>
      <c r="C45" s="448"/>
      <c r="D45" s="388">
        <f>'1. RD2021'!D9-'2. RD rozdiel'!D107</f>
        <v>0</v>
      </c>
      <c r="E45" s="389">
        <f>'1. RD2021'!E9-'2. RD rozdiel'!E107</f>
        <v>5880</v>
      </c>
      <c r="F45" s="388">
        <f>'1. RD2021'!F9-'2. RD rozdiel'!F107</f>
        <v>0</v>
      </c>
      <c r="G45" s="389">
        <f>'1. RD2021'!G9-'2. RD rozdiel'!G107</f>
        <v>5880</v>
      </c>
      <c r="H45" s="388">
        <f>'1. RD2021'!H9-'2. RD rozdiel'!H107</f>
        <v>5880</v>
      </c>
      <c r="I45" s="389">
        <f>'1. RD2021'!I9-'2. RD rozdiel'!I107</f>
        <v>5880</v>
      </c>
      <c r="J45" s="388">
        <f>'1. RD2021'!J9-'2. RD rozdiel'!J107</f>
        <v>0</v>
      </c>
      <c r="K45" s="389">
        <f>'1. RD2021'!K9-'2. RD rozdiel'!K107</f>
        <v>0</v>
      </c>
      <c r="L45" s="388">
        <f>'1. RD2021'!L9-'2. RD rozdiel'!L107</f>
        <v>0</v>
      </c>
      <c r="M45" s="389">
        <f>'1. RD2021'!M9-'2. RD rozdiel'!M107</f>
        <v>23520</v>
      </c>
      <c r="N45" s="388">
        <f>'1. RD2021'!N9-'2. RD rozdiel'!N107</f>
        <v>228321</v>
      </c>
      <c r="O45" s="389">
        <f>'1. RD2021'!O9-'2. RD rozdiel'!O107</f>
        <v>0</v>
      </c>
      <c r="P45" s="388">
        <f>'1. RD2021'!P9-'2. RD rozdiel'!P107</f>
        <v>-2859</v>
      </c>
      <c r="Q45" s="1096">
        <f>'1. RD2021'!Q9-'2. RD rozdiel'!Q107</f>
        <v>0</v>
      </c>
      <c r="R45" s="389">
        <f>'1. RD2021'!R9-'2. RD rozdiel'!R107</f>
        <v>248982</v>
      </c>
      <c r="X45" s="949"/>
    </row>
    <row r="46" spans="1:24" ht="20.100000000000001" customHeight="1">
      <c r="B46" s="390" t="s">
        <v>232</v>
      </c>
      <c r="C46" s="448">
        <f>'1. RD2021'!C10-'2. RD rozdiel'!C108</f>
        <v>1707218.5019999994</v>
      </c>
      <c r="D46" s="388">
        <f>'1. RD2021'!D10-'2. RD rozdiel'!D108</f>
        <v>98650.501156160608</v>
      </c>
      <c r="E46" s="389">
        <f>'1. RD2021'!E10-'2. RD rozdiel'!E108</f>
        <v>460678.61744408461</v>
      </c>
      <c r="F46" s="388">
        <f>'1. RD2021'!F10-'2. RD rozdiel'!F108</f>
        <v>344541.86370640248</v>
      </c>
      <c r="G46" s="389">
        <f>'1. RD2021'!G10-'2. RD rozdiel'!G108</f>
        <v>226455.51319562376</v>
      </c>
      <c r="H46" s="388">
        <f>'1. RD2021'!H10-'2. RD rozdiel'!H108</f>
        <v>135390.41846040799</v>
      </c>
      <c r="I46" s="389">
        <f>'1. RD2021'!I10-'2. RD rozdiel'!I108</f>
        <v>276719.2537457291</v>
      </c>
      <c r="J46" s="388">
        <f>'1. RD2021'!J10-'2. RD rozdiel'!J108</f>
        <v>77122.969462589652</v>
      </c>
      <c r="K46" s="389">
        <f>'1. RD2021'!K10-'2. RD rozdiel'!K108</f>
        <v>6536.8299264488596</v>
      </c>
      <c r="L46" s="388">
        <f>'1. RD2021'!L10-'2. RD rozdiel'!L108</f>
        <v>1760.3349025552598</v>
      </c>
      <c r="M46" s="389">
        <f>'1. RD2021'!M10-'2. RD rozdiel'!M108</f>
        <v>1627856.302000002</v>
      </c>
      <c r="N46" s="388">
        <f>'1. RD2021'!N10-'2. RD rozdiel'!N108</f>
        <v>80369.022000000055</v>
      </c>
      <c r="O46" s="389">
        <f>'1. RD2021'!O10-'2. RD rozdiel'!O108</f>
        <v>0.03</v>
      </c>
      <c r="P46" s="388">
        <f>'1. RD2021'!P10-'2. RD rozdiel'!P108</f>
        <v>-1006.3380000000034</v>
      </c>
      <c r="Q46" s="1096">
        <f>'1. RD2021'!Q10-'2. RD rozdiel'!Q108</f>
        <v>0.03</v>
      </c>
      <c r="R46" s="389">
        <f>'1. RD2021'!R10-'2. RD rozdiel'!R108</f>
        <v>1707219.046000002</v>
      </c>
      <c r="X46" s="949"/>
    </row>
    <row r="47" spans="1:24" ht="20.100000000000001" customHeight="1">
      <c r="B47" s="391" t="s">
        <v>231</v>
      </c>
      <c r="C47" s="448">
        <f>'1. RD2021'!C11-'2. RD rozdiel'!C109</f>
        <v>-29850</v>
      </c>
      <c r="D47" s="388">
        <f>'1. RD2021'!D11-'2. RD rozdiel'!D109</f>
        <v>25323.282419807801</v>
      </c>
      <c r="E47" s="389">
        <f>'1. RD2021'!E11-'2. RD rozdiel'!E109</f>
        <v>150554.75099808536</v>
      </c>
      <c r="F47" s="388">
        <f>'1. RD2021'!F11-'2. RD rozdiel'!F109</f>
        <v>41497.267126522725</v>
      </c>
      <c r="G47" s="389">
        <f>'1. RD2021'!G11-'2. RD rozdiel'!G109</f>
        <v>107423.58569343545</v>
      </c>
      <c r="H47" s="388">
        <f>'1. RD2021'!H11-'2. RD rozdiel'!H109</f>
        <v>-18645.777898412314</v>
      </c>
      <c r="I47" s="389">
        <f>'1. RD2021'!I11-'2. RD rozdiel'!I109</f>
        <v>13654.992110328632</v>
      </c>
      <c r="J47" s="388">
        <f>'1. RD2021'!J11-'2. RD rozdiel'!J109</f>
        <v>3205.5902790502878</v>
      </c>
      <c r="K47" s="389">
        <f>'1. RD2021'!K11-'2. RD rozdiel'!K109</f>
        <v>-10526.469378147711</v>
      </c>
      <c r="L47" s="388">
        <f>'1. RD2021'!L11-'2. RD rozdiel'!L109</f>
        <v>429.84804608540207</v>
      </c>
      <c r="M47" s="389">
        <f>'1. RD2021'!M11-'2. RD rozdiel'!M109</f>
        <v>312917.06939675659</v>
      </c>
      <c r="N47" s="388">
        <f>'1. RD2021'!N11-'2. RD rozdiel'!N109</f>
        <v>-293624.06939408905</v>
      </c>
      <c r="O47" s="389">
        <f>'1. RD2021'!O11-'2. RD rozdiel'!O109</f>
        <v>0</v>
      </c>
      <c r="P47" s="388">
        <f>'1. RD2021'!P11-'2. RD rozdiel'!P109</f>
        <v>0</v>
      </c>
      <c r="Q47" s="1096">
        <f>'1. RD2021'!Q11-'2. RD rozdiel'!Q109</f>
        <v>0</v>
      </c>
      <c r="R47" s="389">
        <f>'1. RD2021'!R11-'2. RD rozdiel'!R109</f>
        <v>19293.000002667308</v>
      </c>
      <c r="X47" s="949"/>
    </row>
    <row r="48" spans="1:24" ht="20.100000000000001" customHeight="1">
      <c r="B48" s="390" t="s">
        <v>230</v>
      </c>
      <c r="C48" s="448">
        <f>'1. RD2021'!C12-'2. RD rozdiel'!C110</f>
        <v>2489</v>
      </c>
      <c r="D48" s="388">
        <f>'1. RD2021'!D12-'2. RD rozdiel'!D110</f>
        <v>0</v>
      </c>
      <c r="E48" s="389">
        <f>'1. RD2021'!E12-'2. RD rozdiel'!E110</f>
        <v>0</v>
      </c>
      <c r="F48" s="388">
        <f>'1. RD2021'!F12-'2. RD rozdiel'!F110</f>
        <v>0</v>
      </c>
      <c r="G48" s="389">
        <f>'1. RD2021'!G12-'2. RD rozdiel'!G110</f>
        <v>0</v>
      </c>
      <c r="H48" s="388">
        <f>'1. RD2021'!H12-'2. RD rozdiel'!H110</f>
        <v>0</v>
      </c>
      <c r="I48" s="389">
        <f>'1. RD2021'!I12-'2. RD rozdiel'!I110</f>
        <v>0</v>
      </c>
      <c r="J48" s="388">
        <f>'1. RD2021'!J12-'2. RD rozdiel'!J110</f>
        <v>0</v>
      </c>
      <c r="K48" s="389">
        <f>'1. RD2021'!K12-'2. RD rozdiel'!K110</f>
        <v>0</v>
      </c>
      <c r="L48" s="388">
        <f>'1. RD2021'!L12-'2. RD rozdiel'!L110</f>
        <v>0</v>
      </c>
      <c r="M48" s="389">
        <f>'1. RD2021'!M12-'2. RD rozdiel'!M110</f>
        <v>0</v>
      </c>
      <c r="N48" s="388">
        <f>'1. RD2021'!N12-'2. RD rozdiel'!N110</f>
        <v>0</v>
      </c>
      <c r="O48" s="389">
        <f>'1. RD2021'!O12-'2. RD rozdiel'!O110</f>
        <v>0</v>
      </c>
      <c r="P48" s="388">
        <f>'1. RD2021'!P12-'2. RD rozdiel'!P110</f>
        <v>2489</v>
      </c>
      <c r="Q48" s="1096">
        <f>'1. RD2021'!Q12-'2. RD rozdiel'!Q110</f>
        <v>0</v>
      </c>
      <c r="R48" s="389">
        <f>'1. RD2021'!R12-'2. RD rozdiel'!R110</f>
        <v>2489</v>
      </c>
    </row>
    <row r="49" spans="1:24" ht="20.100000000000001" customHeight="1" thickBot="1">
      <c r="B49" s="392" t="s">
        <v>210</v>
      </c>
      <c r="C49" s="449"/>
      <c r="D49" s="393">
        <f>'1. RD2021'!D13-'2. RD rozdiel'!D111</f>
        <v>0</v>
      </c>
      <c r="E49" s="394">
        <f>'1. RD2021'!E13-'2. RD rozdiel'!E111</f>
        <v>0</v>
      </c>
      <c r="F49" s="393">
        <f>'1. RD2021'!F13-'2. RD rozdiel'!F111</f>
        <v>0</v>
      </c>
      <c r="G49" s="394">
        <f>'1. RD2021'!G13-'2. RD rozdiel'!G111</f>
        <v>0</v>
      </c>
      <c r="H49" s="393">
        <f>'1. RD2021'!H13-'2. RD rozdiel'!H111</f>
        <v>0</v>
      </c>
      <c r="I49" s="394">
        <f>'1. RD2021'!I13-'2. RD rozdiel'!I111</f>
        <v>0</v>
      </c>
      <c r="J49" s="393">
        <f>'1. RD2021'!J13-'2. RD rozdiel'!J111</f>
        <v>-29000</v>
      </c>
      <c r="K49" s="394">
        <f>'1. RD2021'!K13-'2. RD rozdiel'!K111</f>
        <v>0</v>
      </c>
      <c r="L49" s="393">
        <f>'1. RD2021'!L13-'2. RD rozdiel'!L111</f>
        <v>0</v>
      </c>
      <c r="M49" s="394">
        <f>'1. RD2021'!M13-'2. RD rozdiel'!M111</f>
        <v>-29000</v>
      </c>
      <c r="N49" s="393">
        <f>'1. RD2021'!N13-'2. RD rozdiel'!N111</f>
        <v>780000</v>
      </c>
      <c r="O49" s="394">
        <f>'1. RD2021'!O13-'2. RD rozdiel'!O111</f>
        <v>0</v>
      </c>
      <c r="P49" s="393">
        <f>'1. RD2021'!P13-'2. RD rozdiel'!P111</f>
        <v>-850143</v>
      </c>
      <c r="Q49" s="394">
        <f>'1. RD2021'!Q13-'2. RD rozdiel'!Q111</f>
        <v>50000</v>
      </c>
      <c r="R49" s="394">
        <f>'1. RD2021'!R13-'2. RD rozdiel'!R111</f>
        <v>-49143</v>
      </c>
    </row>
    <row r="50" spans="1:24" ht="30" customHeight="1">
      <c r="B50" s="395" t="s">
        <v>217</v>
      </c>
      <c r="C50" s="450">
        <f>'1. RD2021'!C14-'2. RD rozdiel'!C112</f>
        <v>3557541</v>
      </c>
      <c r="D50" s="397">
        <f>'1. RD2021'!D14-'2. RD rozdiel'!D112</f>
        <v>293778.72695275838</v>
      </c>
      <c r="E50" s="396">
        <f>'1. RD2021'!E14-'2. RD rozdiel'!E112</f>
        <v>1186203.3710773792</v>
      </c>
      <c r="F50" s="397">
        <f>'1. RD2021'!F14-'2. RD rozdiel'!F112</f>
        <v>911426.39797208179</v>
      </c>
      <c r="G50" s="396">
        <f>'1. RD2021'!G14-'2. RD rozdiel'!G112</f>
        <v>204674.63092737645</v>
      </c>
      <c r="H50" s="397">
        <f>'1. RD2021'!H14-'2. RD rozdiel'!H112</f>
        <v>299713.88468671893</v>
      </c>
      <c r="I50" s="396">
        <f>'1. RD2021'!I14-'2. RD rozdiel'!I112</f>
        <v>694295.94572906289</v>
      </c>
      <c r="J50" s="397">
        <f>'1. RD2021'!J14-'2. RD rozdiel'!J112</f>
        <v>216005.61892584362</v>
      </c>
      <c r="K50" s="396">
        <f>'1. RD2021'!K14-'2. RD rozdiel'!K112</f>
        <v>246545.25833175532</v>
      </c>
      <c r="L50" s="397">
        <f>'1. RD2021'!L14-'2. RD rozdiel'!L112</f>
        <v>-11883.209727242123</v>
      </c>
      <c r="M50" s="396">
        <f>'1. RD2021'!M14-'2. RD rozdiel'!M112</f>
        <v>4040760.6248757355</v>
      </c>
      <c r="N50" s="397">
        <f>'1. RD2021'!N14-'2. RD rozdiel'!N112</f>
        <v>280132.8594955944</v>
      </c>
      <c r="O50" s="396">
        <f>'1. RD2021'!O14-'2. RD rozdiel'!O112</f>
        <v>0</v>
      </c>
      <c r="P50" s="397">
        <f>'1. RD2021'!P14-'2. RD rozdiel'!P112</f>
        <v>-2147052</v>
      </c>
      <c r="Q50" s="396">
        <f>'1. RD2021'!Q14-'2. RD rozdiel'!Q112</f>
        <v>1383700</v>
      </c>
      <c r="R50" s="396">
        <f>'1. RD2021'!R14-'2. RD rozdiel'!R112</f>
        <v>3557541.4843713306</v>
      </c>
    </row>
    <row r="51" spans="1:24" ht="20.100000000000001" customHeight="1">
      <c r="B51" s="398" t="s">
        <v>218</v>
      </c>
      <c r="C51" s="451">
        <f>'1. RD2021'!C15-'2. RD rozdiel'!C113</f>
        <v>3548848</v>
      </c>
      <c r="D51" s="400">
        <f>'1. RD2021'!D15-'2. RD rozdiel'!D113</f>
        <v>293778.72695275838</v>
      </c>
      <c r="E51" s="399">
        <f>'1. RD2021'!E15-'2. RD rozdiel'!E113</f>
        <v>1244257.3710773792</v>
      </c>
      <c r="F51" s="400">
        <f>'1. RD2021'!F15-'2. RD rozdiel'!F113</f>
        <v>1047685.3979720818</v>
      </c>
      <c r="G51" s="399">
        <f>'1. RD2021'!G15-'2. RD rozdiel'!G113</f>
        <v>214674.63092737645</v>
      </c>
      <c r="H51" s="400">
        <f>'1. RD2021'!H15-'2. RD rozdiel'!H113</f>
        <v>334978.88468671893</v>
      </c>
      <c r="I51" s="399">
        <f>'1. RD2021'!I15-'2. RD rozdiel'!I113</f>
        <v>737837.94572906289</v>
      </c>
      <c r="J51" s="400">
        <f>'1. RD2021'!J15-'2. RD rozdiel'!J113</f>
        <v>245084.61892584362</v>
      </c>
      <c r="K51" s="399">
        <f>'1. RD2021'!K15-'2. RD rozdiel'!K113</f>
        <v>246545.25833175532</v>
      </c>
      <c r="L51" s="400">
        <f>'1. RD2021'!L15-'2. RD rozdiel'!L113</f>
        <v>-11883.209727242123</v>
      </c>
      <c r="M51" s="399">
        <f>'1. RD2021'!M15-'2. RD rozdiel'!M113</f>
        <v>4352959.6248757355</v>
      </c>
      <c r="N51" s="400">
        <f>'1. RD2021'!N15-'2. RD rozdiel'!N113</f>
        <v>-24767.140504405616</v>
      </c>
      <c r="O51" s="399">
        <f>'1. RD2021'!O15-'2. RD rozdiel'!O113</f>
        <v>0</v>
      </c>
      <c r="P51" s="400">
        <f>'1. RD2021'!P15-'2. RD rozdiel'!P113</f>
        <v>0</v>
      </c>
      <c r="Q51" s="1097">
        <f>'1. RD2021'!Q15-'2. RD rozdiel'!Q113</f>
        <v>0</v>
      </c>
      <c r="R51" s="399">
        <f>'1. RD2021'!R15-'2. RD rozdiel'!R113</f>
        <v>4328192.4843713306</v>
      </c>
    </row>
    <row r="52" spans="1:24" ht="20.100000000000001" customHeight="1">
      <c r="B52" s="398" t="s">
        <v>230</v>
      </c>
      <c r="C52" s="452">
        <f>'1. RD2021'!C16-'2. RD rozdiel'!C114</f>
        <v>8693</v>
      </c>
      <c r="D52" s="400">
        <f>'1. RD2021'!D16-'2. RD rozdiel'!D114</f>
        <v>0</v>
      </c>
      <c r="E52" s="399">
        <f>'1. RD2021'!E16-'2. RD rozdiel'!E114</f>
        <v>5108</v>
      </c>
      <c r="F52" s="400">
        <f>'1. RD2021'!F16-'2. RD rozdiel'!F114</f>
        <v>-4675</v>
      </c>
      <c r="G52" s="399">
        <f>'1. RD2021'!G16-'2. RD rozdiel'!G114</f>
        <v>0</v>
      </c>
      <c r="H52" s="400">
        <f>'1. RD2021'!H16-'2. RD rozdiel'!H114</f>
        <v>0</v>
      </c>
      <c r="I52" s="399">
        <f>'1. RD2021'!I16-'2. RD rozdiel'!I114</f>
        <v>8260</v>
      </c>
      <c r="J52" s="400">
        <f>'1. RD2021'!J16-'2. RD rozdiel'!J114</f>
        <v>0</v>
      </c>
      <c r="K52" s="399">
        <f>'1. RD2021'!K16-'2. RD rozdiel'!K114</f>
        <v>0</v>
      </c>
      <c r="L52" s="400">
        <f>'1. RD2021'!L16-'2. RD rozdiel'!L114</f>
        <v>0</v>
      </c>
      <c r="M52" s="399">
        <f>'1. RD2021'!M16-'2. RD rozdiel'!M114</f>
        <v>8693</v>
      </c>
      <c r="N52" s="400">
        <f>'1. RD2021'!N16-'2. RD rozdiel'!N114</f>
        <v>0</v>
      </c>
      <c r="O52" s="399">
        <f>'1. RD2021'!O16-'2. RD rozdiel'!O114</f>
        <v>0</v>
      </c>
      <c r="P52" s="400">
        <f>'1. RD2021'!P16-'2. RD rozdiel'!P114</f>
        <v>0</v>
      </c>
      <c r="Q52" s="1097">
        <f>'1. RD2021'!Q16-'2. RD rozdiel'!Q114</f>
        <v>0</v>
      </c>
      <c r="R52" s="399">
        <f>'1. RD2021'!R16-'2. RD rozdiel'!R114</f>
        <v>8693</v>
      </c>
      <c r="X52" s="949"/>
    </row>
    <row r="53" spans="1:24" s="360" customFormat="1" ht="20.100000000000001" customHeight="1" thickBot="1">
      <c r="B53" s="401" t="s">
        <v>210</v>
      </c>
      <c r="C53" s="493"/>
      <c r="D53" s="402">
        <f>'1. RD2021'!D17-'2. RD rozdiel'!D115</f>
        <v>0</v>
      </c>
      <c r="E53" s="403">
        <f>'1. RD2021'!E17-'2. RD rozdiel'!E115</f>
        <v>-63162</v>
      </c>
      <c r="F53" s="402">
        <f>'1. RD2021'!F17-'2. RD rozdiel'!F115</f>
        <v>-131584</v>
      </c>
      <c r="G53" s="403">
        <f>'1. RD2021'!G17-'2. RD rozdiel'!G115</f>
        <v>-10000</v>
      </c>
      <c r="H53" s="402">
        <f>'1. RD2021'!H17-'2. RD rozdiel'!H115</f>
        <v>-35265</v>
      </c>
      <c r="I53" s="403">
        <f>'1. RD2021'!I17-'2. RD rozdiel'!I115</f>
        <v>-51802</v>
      </c>
      <c r="J53" s="402">
        <f>'1. RD2021'!J17-'2. RD rozdiel'!J115</f>
        <v>-29079</v>
      </c>
      <c r="K53" s="403">
        <f>'1. RD2021'!K17-'2. RD rozdiel'!K115</f>
        <v>0</v>
      </c>
      <c r="L53" s="402">
        <f>'1. RD2021'!L17-'2. RD rozdiel'!L115</f>
        <v>0</v>
      </c>
      <c r="M53" s="457">
        <f>'1. RD2021'!M17-'2. RD rozdiel'!M115</f>
        <v>-320892</v>
      </c>
      <c r="N53" s="402">
        <f>'1. RD2021'!N17-'2. RD rozdiel'!N115</f>
        <v>304900</v>
      </c>
      <c r="O53" s="403">
        <f>'1. RD2021'!O17-'2. RD rozdiel'!O115</f>
        <v>0</v>
      </c>
      <c r="P53" s="402">
        <f>'1. RD2021'!P17-'2. RD rozdiel'!P115</f>
        <v>-2147052</v>
      </c>
      <c r="Q53" s="403">
        <f>'1. RD2021'!Q17-'2. RD rozdiel'!Q115</f>
        <v>1383700</v>
      </c>
      <c r="R53" s="403">
        <f>'1. RD2021'!R17-'2. RD rozdiel'!R115</f>
        <v>-779344</v>
      </c>
    </row>
    <row r="54" spans="1:24" s="360" customFormat="1" ht="30" customHeight="1" thickBot="1">
      <c r="A54" s="355"/>
      <c r="B54" s="494" t="s">
        <v>219</v>
      </c>
      <c r="C54" s="495">
        <f>'1. RD2021'!C18-'2. RD rozdiel'!C116</f>
        <v>-68699</v>
      </c>
      <c r="D54" s="496">
        <f>'1. RD2021'!D18-'2. RD rozdiel'!D116</f>
        <v>0</v>
      </c>
      <c r="E54" s="407">
        <f>'1. RD2021'!E18-'2. RD rozdiel'!E116</f>
        <v>0</v>
      </c>
      <c r="F54" s="496">
        <f>'1. RD2021'!F18-'2. RD rozdiel'!F116</f>
        <v>0</v>
      </c>
      <c r="G54" s="407">
        <f>'1. RD2021'!G18-'2. RD rozdiel'!G116</f>
        <v>0</v>
      </c>
      <c r="H54" s="496">
        <f>'1. RD2021'!H18-'2. RD rozdiel'!H116</f>
        <v>0</v>
      </c>
      <c r="I54" s="407">
        <f>'1. RD2021'!I18-'2. RD rozdiel'!I116</f>
        <v>0</v>
      </c>
      <c r="J54" s="496">
        <f>'1. RD2021'!J18-'2. RD rozdiel'!J116</f>
        <v>0</v>
      </c>
      <c r="K54" s="407">
        <f>'1. RD2021'!K18-'2. RD rozdiel'!K116</f>
        <v>0</v>
      </c>
      <c r="L54" s="496">
        <f>'1. RD2021'!L18-'2. RD rozdiel'!L116</f>
        <v>0</v>
      </c>
      <c r="M54" s="407">
        <f>'1. RD2021'!M18-'2. RD rozdiel'!M116</f>
        <v>0</v>
      </c>
      <c r="N54" s="496">
        <f>'1. RD2021'!N18-'2. RD rozdiel'!N116</f>
        <v>0</v>
      </c>
      <c r="O54" s="407">
        <f>'1. RD2021'!O18-'2. RD rozdiel'!O116</f>
        <v>0</v>
      </c>
      <c r="P54" s="496">
        <f>'1. RD2021'!P18-'2. RD rozdiel'!P116</f>
        <v>-68699</v>
      </c>
      <c r="Q54" s="407">
        <f>'1. RD2021'!Q18-'2. RD rozdiel'!Q116</f>
        <v>0</v>
      </c>
      <c r="R54" s="407">
        <f>'1. RD2021'!R18-'2. RD rozdiel'!R116</f>
        <v>-68699</v>
      </c>
    </row>
    <row r="55" spans="1:24" ht="30" customHeight="1">
      <c r="B55" s="408" t="s">
        <v>220</v>
      </c>
      <c r="C55" s="453">
        <f>'1. RD2021'!C19-'2. RD rozdiel'!C117</f>
        <v>9005</v>
      </c>
      <c r="D55" s="410">
        <f>'1. RD2021'!D19-'2. RD rozdiel'!D117</f>
        <v>-67506.619384543446</v>
      </c>
      <c r="E55" s="409">
        <f>'1. RD2021'!E19-'2. RD rozdiel'!E117</f>
        <v>-19211.263745354256</v>
      </c>
      <c r="F55" s="410">
        <f>'1. RD2021'!F19-'2. RD rozdiel'!F117</f>
        <v>-151489.30298201961</v>
      </c>
      <c r="G55" s="409">
        <f>'1. RD2021'!G19-'2. RD rozdiel'!G117</f>
        <v>-74362.338687391311</v>
      </c>
      <c r="H55" s="410">
        <f>'1. RD2021'!H19-'2. RD rozdiel'!H117</f>
        <v>26988.730860903277</v>
      </c>
      <c r="I55" s="409">
        <f>'1. RD2021'!I19-'2. RD rozdiel'!I117</f>
        <v>26612.377965999243</v>
      </c>
      <c r="J55" s="410">
        <f>'1. RD2021'!J19-'2. RD rozdiel'!J117</f>
        <v>-51414.265335627191</v>
      </c>
      <c r="K55" s="409">
        <f>'1. RD2021'!K19-'2. RD rozdiel'!K117</f>
        <v>-8074.2923248215438</v>
      </c>
      <c r="L55" s="410">
        <f>'1. RD2021'!L19-'2. RD rozdiel'!L117</f>
        <v>0</v>
      </c>
      <c r="M55" s="409">
        <f>'1. RD2021'!M19-'2. RD rozdiel'!M117</f>
        <v>-318456.97363285488</v>
      </c>
      <c r="N55" s="410">
        <f>'1. RD2021'!N19-'2. RD rozdiel'!N117</f>
        <v>0</v>
      </c>
      <c r="O55" s="409">
        <f>'1. RD2021'!O19-'2. RD rozdiel'!O117</f>
        <v>301005.58223638218</v>
      </c>
      <c r="P55" s="410">
        <f>'1. RD2021'!P19-'2. RD rozdiel'!P117</f>
        <v>6455.944444444438</v>
      </c>
      <c r="Q55" s="409">
        <f>'1. RD2021'!Q19-'2. RD rozdiel'!Q117</f>
        <v>20000</v>
      </c>
      <c r="R55" s="409">
        <f>'1. RD2021'!R19-'2. RD rozdiel'!R117</f>
        <v>9004.5530479718</v>
      </c>
    </row>
    <row r="56" spans="1:24" ht="20.100000000000001" customHeight="1">
      <c r="B56" s="411" t="s">
        <v>221</v>
      </c>
      <c r="C56" s="454">
        <f>'1. RD2021'!C20-'2. RD rozdiel'!C118</f>
        <v>-518309</v>
      </c>
      <c r="D56" s="412">
        <f>'1. RD2021'!D20-'2. RD rozdiel'!D118</f>
        <v>-66531.082616318017</v>
      </c>
      <c r="E56" s="413">
        <f>'1. RD2021'!E20-'2. RD rozdiel'!E118</f>
        <v>-38933.972380462976</v>
      </c>
      <c r="F56" s="412">
        <f>'1. RD2021'!F20-'2. RD rozdiel'!F118</f>
        <v>-135693</v>
      </c>
      <c r="G56" s="413">
        <f>'1. RD2021'!G20-'2. RD rozdiel'!G118</f>
        <v>-43184.908302931894</v>
      </c>
      <c r="H56" s="412">
        <f>'1. RD2021'!H20-'2. RD rozdiel'!H118</f>
        <v>-58584.591522212781</v>
      </c>
      <c r="I56" s="413">
        <f>'1. RD2021'!I20-'2. RD rozdiel'!I118</f>
        <v>-139491.16492425301</v>
      </c>
      <c r="J56" s="412">
        <f>'1. RD2021'!J20-'2. RD rozdiel'!J118</f>
        <v>-28343.280253821311</v>
      </c>
      <c r="K56" s="413">
        <f>'1. RD2021'!K20-'2. RD rozdiel'!K118</f>
        <v>-7547</v>
      </c>
      <c r="L56" s="412">
        <f>'1. RD2021'!L20-'2. RD rozdiel'!L118</f>
        <v>0</v>
      </c>
      <c r="M56" s="413">
        <f>'1. RD2021'!M20-'2. RD rozdiel'!M118</f>
        <v>-518309</v>
      </c>
      <c r="N56" s="412">
        <f>'1. RD2021'!N20-'2. RD rozdiel'!N118</f>
        <v>0</v>
      </c>
      <c r="O56" s="413">
        <f>'1. RD2021'!O20-'2. RD rozdiel'!O118</f>
        <v>0</v>
      </c>
      <c r="P56" s="412">
        <f>'1. RD2021'!P20-'2. RD rozdiel'!P118</f>
        <v>0</v>
      </c>
      <c r="Q56" s="1098">
        <f>'1. RD2021'!Q20-'2. RD rozdiel'!Q118</f>
        <v>0</v>
      </c>
      <c r="R56" s="413">
        <f>'1. RD2021'!R20-'2. RD rozdiel'!R118</f>
        <v>-518309</v>
      </c>
    </row>
    <row r="57" spans="1:24" ht="20.100000000000001" customHeight="1">
      <c r="B57" s="411" t="s">
        <v>222</v>
      </c>
      <c r="C57" s="454">
        <f>'1. RD2021'!C21-'2. RD rozdiel'!C119</f>
        <v>127770</v>
      </c>
      <c r="D57" s="412">
        <f>'1. RD2021'!D21-'2. RD rozdiel'!D119</f>
        <v>0</v>
      </c>
      <c r="E57" s="413">
        <f>'1. RD2021'!E21-'2. RD rozdiel'!E119</f>
        <v>16502.42439024389</v>
      </c>
      <c r="F57" s="412">
        <f>'1. RD2021'!F21-'2. RD rozdiel'!F119</f>
        <v>-6990.9609756097489</v>
      </c>
      <c r="G57" s="413">
        <f>'1. RD2021'!G21-'2. RD rozdiel'!G119</f>
        <v>-23597.946341463423</v>
      </c>
      <c r="H57" s="412">
        <f>'1. RD2021'!H21-'2. RD rozdiel'!H119</f>
        <v>-17797.063414634147</v>
      </c>
      <c r="I57" s="413">
        <f>'1. RD2021'!I21-'2. RD rozdiel'!I119</f>
        <v>175725.98048780486</v>
      </c>
      <c r="J57" s="412">
        <f>'1. RD2021'!J21-'2. RD rozdiel'!J119</f>
        <v>-16072.43414634146</v>
      </c>
      <c r="K57" s="413">
        <f>'1. RD2021'!K21-'2. RD rozdiel'!K119</f>
        <v>0</v>
      </c>
      <c r="L57" s="412">
        <f>'1. RD2021'!L21-'2. RD rozdiel'!L119</f>
        <v>0</v>
      </c>
      <c r="M57" s="413">
        <f>'1. RD2021'!M21-'2. RD rozdiel'!M119</f>
        <v>127770</v>
      </c>
      <c r="N57" s="412">
        <f>'1. RD2021'!N21-'2. RD rozdiel'!N119</f>
        <v>0</v>
      </c>
      <c r="O57" s="413">
        <f>'1. RD2021'!O21-'2. RD rozdiel'!O119</f>
        <v>0</v>
      </c>
      <c r="P57" s="412">
        <f>'1. RD2021'!P21-'2. RD rozdiel'!P119</f>
        <v>0</v>
      </c>
      <c r="Q57" s="1098">
        <f>'1. RD2021'!Q21-'2. RD rozdiel'!Q119</f>
        <v>0</v>
      </c>
      <c r="R57" s="413">
        <f>'1. RD2021'!R21-'2. RD rozdiel'!R119</f>
        <v>127770</v>
      </c>
    </row>
    <row r="58" spans="1:24" ht="20.100000000000001" customHeight="1">
      <c r="B58" s="411" t="s">
        <v>223</v>
      </c>
      <c r="C58" s="454">
        <f>'1. RD2021'!C22-'2. RD rozdiel'!C120</f>
        <v>-42850</v>
      </c>
      <c r="D58" s="412">
        <f>'1. RD2021'!D22-'2. RD rozdiel'!D120</f>
        <v>-975.53676822542911</v>
      </c>
      <c r="E58" s="413">
        <f>'1. RD2021'!E22-'2. RD rozdiel'!E120</f>
        <v>3220.2842448648298</v>
      </c>
      <c r="F58" s="412">
        <f>'1. RD2021'!F22-'2. RD rozdiel'!F120</f>
        <v>-8805.3420064098536</v>
      </c>
      <c r="G58" s="413">
        <f>'1. RD2021'!G22-'2. RD rozdiel'!G120</f>
        <v>-7579.4840429959804</v>
      </c>
      <c r="H58" s="412">
        <f>'1. RD2021'!H22-'2. RD rozdiel'!H120</f>
        <v>-10371.58501383946</v>
      </c>
      <c r="I58" s="413">
        <f>'1. RD2021'!I22-'2. RD rozdiel'!I120</f>
        <v>-9622.4375975526054</v>
      </c>
      <c r="J58" s="412">
        <f>'1. RD2021'!J22-'2. RD rozdiel'!J120</f>
        <v>-6998.5509354644018</v>
      </c>
      <c r="K58" s="413">
        <f>'1. RD2021'!K22-'2. RD rozdiel'!K120</f>
        <v>-527.29232482154384</v>
      </c>
      <c r="L58" s="412">
        <f>'1. RD2021'!L22-'2. RD rozdiel'!L120</f>
        <v>0</v>
      </c>
      <c r="M58" s="413">
        <f>'1. RD2021'!M22-'2. RD rozdiel'!M120</f>
        <v>-41659.944444444438</v>
      </c>
      <c r="N58" s="412">
        <f>'1. RD2021'!N22-'2. RD rozdiel'!N120</f>
        <v>0</v>
      </c>
      <c r="O58" s="413">
        <f>'1. RD2021'!O22-'2. RD rozdiel'!O120</f>
        <v>0</v>
      </c>
      <c r="P58" s="412">
        <f>'1. RD2021'!P22-'2. RD rozdiel'!P120</f>
        <v>-1190.0555555555566</v>
      </c>
      <c r="Q58" s="1098">
        <f>'1. RD2021'!Q22-'2. RD rozdiel'!Q120</f>
        <v>0</v>
      </c>
      <c r="R58" s="413">
        <f>'1. RD2021'!R22-'2. RD rozdiel'!R120</f>
        <v>-42850</v>
      </c>
    </row>
    <row r="59" spans="1:24" ht="30" customHeight="1">
      <c r="B59" s="414" t="s">
        <v>224</v>
      </c>
      <c r="C59" s="454">
        <f>'1. RD2021'!C23-'2. RD rozdiel'!C121</f>
        <v>442394</v>
      </c>
      <c r="D59" s="412">
        <f>'1. RD2021'!D23-'2. RD rozdiel'!D121</f>
        <v>0</v>
      </c>
      <c r="E59" s="413">
        <f>'1. RD2021'!E23-'2. RD rozdiel'!E121</f>
        <v>0</v>
      </c>
      <c r="F59" s="412">
        <f>'1. RD2021'!F23-'2. RD rozdiel'!F121</f>
        <v>0</v>
      </c>
      <c r="G59" s="413">
        <f>'1. RD2021'!G23-'2. RD rozdiel'!G121</f>
        <v>0</v>
      </c>
      <c r="H59" s="412">
        <f>'1. RD2021'!H23-'2. RD rozdiel'!H121</f>
        <v>113741.97081158974</v>
      </c>
      <c r="I59" s="413">
        <f>'1. RD2021'!I23-'2. RD rozdiel'!I121</f>
        <v>0</v>
      </c>
      <c r="J59" s="412">
        <f>'1. RD2021'!J23-'2. RD rozdiel'!J121</f>
        <v>0</v>
      </c>
      <c r="K59" s="413">
        <f>'1. RD2021'!K23-'2. RD rozdiel'!K121</f>
        <v>0</v>
      </c>
      <c r="L59" s="412">
        <f>'1. RD2021'!L23-'2. RD rozdiel'!L121</f>
        <v>0</v>
      </c>
      <c r="M59" s="413">
        <f>'1. RD2021'!M23-'2. RD rozdiel'!M121</f>
        <v>113741.97081158974</v>
      </c>
      <c r="N59" s="412">
        <f>'1. RD2021'!N23-'2. RD rozdiel'!N121</f>
        <v>0</v>
      </c>
      <c r="O59" s="413">
        <f>'1. RD2021'!O23-'2. RD rozdiel'!O121</f>
        <v>301005.58223638218</v>
      </c>
      <c r="P59" s="412">
        <f>'1. RD2021'!P23-'2. RD rozdiel'!P121</f>
        <v>7646</v>
      </c>
      <c r="Q59" s="1098">
        <f>'1. RD2021'!Q23-'2. RD rozdiel'!Q121</f>
        <v>20000</v>
      </c>
      <c r="R59" s="413">
        <f>'1. RD2021'!R23-'2. RD rozdiel'!R121</f>
        <v>442393.55304797227</v>
      </c>
    </row>
    <row r="60" spans="1:24" ht="20.100000000000001" customHeight="1">
      <c r="B60" s="411" t="s">
        <v>225</v>
      </c>
      <c r="C60" s="454">
        <f>'1. RD2021'!C24-'2. RD rozdiel'!C122</f>
        <v>534117</v>
      </c>
      <c r="D60" s="412">
        <f>'1. RD2021'!D24-'2. RD rozdiel'!D122</f>
        <v>0</v>
      </c>
      <c r="E60" s="413">
        <f>'1. RD2021'!E24-'2. RD rozdiel'!E122</f>
        <v>0</v>
      </c>
      <c r="F60" s="412">
        <f>'1. RD2021'!F24-'2. RD rozdiel'!F122</f>
        <v>0</v>
      </c>
      <c r="G60" s="413">
        <f>'1. RD2021'!G24-'2. RD rozdiel'!G122</f>
        <v>0</v>
      </c>
      <c r="H60" s="412">
        <f>'1. RD2021'!H24-'2. RD rozdiel'!H122</f>
        <v>101183.2756502477</v>
      </c>
      <c r="I60" s="413">
        <f>'1. RD2021'!I24-'2. RD rozdiel'!I122</f>
        <v>0</v>
      </c>
      <c r="J60" s="412">
        <f>'1. RD2021'!J24-'2. RD rozdiel'!J122</f>
        <v>0</v>
      </c>
      <c r="K60" s="413">
        <f>'1. RD2021'!K24-'2. RD rozdiel'!K122</f>
        <v>0</v>
      </c>
      <c r="L60" s="412">
        <f>'1. RD2021'!L24-'2. RD rozdiel'!L122</f>
        <v>0</v>
      </c>
      <c r="M60" s="413">
        <f>'1. RD2021'!M24-'2. RD rozdiel'!M122</f>
        <v>101183.2756502477</v>
      </c>
      <c r="N60" s="412">
        <f>'1. RD2021'!N24-'2. RD rozdiel'!N122</f>
        <v>0</v>
      </c>
      <c r="O60" s="413">
        <f>'1. RD2021'!O24-'2. RD rozdiel'!O122</f>
        <v>432933.24132309505</v>
      </c>
      <c r="P60" s="412">
        <f>'1. RD2021'!P24-'2. RD rozdiel'!P122</f>
        <v>0</v>
      </c>
      <c r="Q60" s="1098">
        <f>'1. RD2021'!Q24-'2. RD rozdiel'!Q122</f>
        <v>0</v>
      </c>
      <c r="R60" s="413">
        <f>'1. RD2021'!R24-'2. RD rozdiel'!R122</f>
        <v>534116.51697334275</v>
      </c>
    </row>
    <row r="61" spans="1:24" ht="20.100000000000001" customHeight="1">
      <c r="B61" s="411" t="s">
        <v>226</v>
      </c>
      <c r="C61" s="454">
        <f>'1. RD2021'!C25-'2. RD rozdiel'!C123</f>
        <v>188009</v>
      </c>
      <c r="D61" s="412">
        <f>'1. RD2021'!D25-'2. RD rozdiel'!D123</f>
        <v>0</v>
      </c>
      <c r="E61" s="413">
        <f>'1. RD2021'!E25-'2. RD rozdiel'!E123</f>
        <v>0</v>
      </c>
      <c r="F61" s="412">
        <f>'1. RD2021'!F25-'2. RD rozdiel'!F123</f>
        <v>0</v>
      </c>
      <c r="G61" s="413">
        <f>'1. RD2021'!G25-'2. RD rozdiel'!G123</f>
        <v>0</v>
      </c>
      <c r="H61" s="412">
        <f>'1. RD2021'!H25-'2. RD rozdiel'!H123</f>
        <v>35616.513028887173</v>
      </c>
      <c r="I61" s="413">
        <f>'1. RD2021'!I25-'2. RD rozdiel'!I123</f>
        <v>0</v>
      </c>
      <c r="J61" s="412">
        <f>'1. RD2021'!J25-'2. RD rozdiel'!J123</f>
        <v>0</v>
      </c>
      <c r="K61" s="413">
        <f>'1. RD2021'!K25-'2. RD rozdiel'!K123</f>
        <v>0</v>
      </c>
      <c r="L61" s="412">
        <f>'1. RD2021'!L25-'2. RD rozdiel'!L123</f>
        <v>0</v>
      </c>
      <c r="M61" s="413">
        <f>'1. RD2021'!M25-'2. RD rozdiel'!M123</f>
        <v>35616.513028887173</v>
      </c>
      <c r="N61" s="412">
        <f>'1. RD2021'!N25-'2. RD rozdiel'!N123</f>
        <v>0</v>
      </c>
      <c r="O61" s="413">
        <f>'1. RD2021'!O25-'2. RD rozdiel'!O123</f>
        <v>152392.50094572944</v>
      </c>
      <c r="P61" s="412">
        <f>'1. RD2021'!P25-'2. RD rozdiel'!P123</f>
        <v>0</v>
      </c>
      <c r="Q61" s="1098">
        <f>'1. RD2021'!Q25-'2. RD rozdiel'!Q123</f>
        <v>0</v>
      </c>
      <c r="R61" s="413">
        <f>'1. RD2021'!R25-'2. RD rozdiel'!R123</f>
        <v>188009.0139746166</v>
      </c>
    </row>
    <row r="62" spans="1:24" ht="20.100000000000001" customHeight="1">
      <c r="B62" s="411" t="s">
        <v>268</v>
      </c>
      <c r="C62" s="454">
        <f>'1. RD2021'!C26-'2. RD rozdiel'!C124</f>
        <v>10822</v>
      </c>
      <c r="D62" s="412">
        <f>'1. RD2021'!D26-'2. RD rozdiel'!D124</f>
        <v>0</v>
      </c>
      <c r="E62" s="413">
        <f>'1. RD2021'!E26-'2. RD rozdiel'!E124</f>
        <v>0</v>
      </c>
      <c r="F62" s="412">
        <f>'1. RD2021'!F26-'2. RD rozdiel'!F124</f>
        <v>0</v>
      </c>
      <c r="G62" s="413">
        <f>'1. RD2021'!G26-'2. RD rozdiel'!G124</f>
        <v>0</v>
      </c>
      <c r="H62" s="412">
        <f>'1. RD2021'!H26-'2. RD rozdiel'!H124</f>
        <v>861</v>
      </c>
      <c r="I62" s="413">
        <f>'1. RD2021'!I26-'2. RD rozdiel'!I124</f>
        <v>0</v>
      </c>
      <c r="J62" s="412">
        <f>'1. RD2021'!J26-'2. RD rozdiel'!J124</f>
        <v>0</v>
      </c>
      <c r="K62" s="413">
        <f>'1. RD2021'!K26-'2. RD rozdiel'!K124</f>
        <v>0</v>
      </c>
      <c r="L62" s="412">
        <f>'1. RD2021'!L26-'2. RD rozdiel'!L124</f>
        <v>0</v>
      </c>
      <c r="M62" s="413">
        <f>'1. RD2021'!M26-'2. RD rozdiel'!M124</f>
        <v>861</v>
      </c>
      <c r="N62" s="412">
        <f>'1. RD2021'!N26-'2. RD rozdiel'!N124</f>
        <v>0</v>
      </c>
      <c r="O62" s="413">
        <f>'1. RD2021'!O26-'2. RD rozdiel'!O124</f>
        <v>9961</v>
      </c>
      <c r="P62" s="412">
        <f>'1. RD2021'!P26-'2. RD rozdiel'!P124</f>
        <v>0</v>
      </c>
      <c r="Q62" s="1098">
        <f>'1. RD2021'!Q26-'2. RD rozdiel'!Q124</f>
        <v>0</v>
      </c>
      <c r="R62" s="413">
        <f>'1. RD2021'!R26-'2. RD rozdiel'!R124</f>
        <v>10822</v>
      </c>
    </row>
    <row r="63" spans="1:24" ht="20.100000000000001" customHeight="1">
      <c r="B63" s="411" t="s">
        <v>227</v>
      </c>
      <c r="C63" s="454">
        <f>'1. RD2021'!C27-'2. RD rozdiel'!C125</f>
        <v>-318200</v>
      </c>
      <c r="D63" s="412">
        <f>'1. RD2021'!D27-'2. RD rozdiel'!D125</f>
        <v>0</v>
      </c>
      <c r="E63" s="413">
        <f>'1. RD2021'!E27-'2. RD rozdiel'!E125</f>
        <v>0</v>
      </c>
      <c r="F63" s="412">
        <f>'1. RD2021'!F27-'2. RD rozdiel'!F125</f>
        <v>0</v>
      </c>
      <c r="G63" s="413">
        <f>'1. RD2021'!G27-'2. RD rozdiel'!G125</f>
        <v>0</v>
      </c>
      <c r="H63" s="412">
        <f>'1. RD2021'!H27-'2. RD rozdiel'!H125</f>
        <v>-23918.817867545062</v>
      </c>
      <c r="I63" s="413">
        <f>'1. RD2021'!I27-'2. RD rozdiel'!I125</f>
        <v>0</v>
      </c>
      <c r="J63" s="412">
        <f>'1. RD2021'!J27-'2. RD rozdiel'!J125</f>
        <v>0</v>
      </c>
      <c r="K63" s="413">
        <f>'1. RD2021'!K27-'2. RD rozdiel'!K125</f>
        <v>0</v>
      </c>
      <c r="L63" s="412">
        <f>'1. RD2021'!L27-'2. RD rozdiel'!L125</f>
        <v>0</v>
      </c>
      <c r="M63" s="413">
        <f>'1. RD2021'!M27-'2. RD rozdiel'!M125</f>
        <v>-23918.817867545062</v>
      </c>
      <c r="N63" s="412">
        <f>'1. RD2021'!N27-'2. RD rozdiel'!N125</f>
        <v>0</v>
      </c>
      <c r="O63" s="413">
        <f>'1. RD2021'!O27-'2. RD rozdiel'!O125</f>
        <v>-294281.16003244219</v>
      </c>
      <c r="P63" s="412">
        <f>'1. RD2021'!P27-'2. RD rozdiel'!P125</f>
        <v>0</v>
      </c>
      <c r="Q63" s="1098">
        <f>'1. RD2021'!Q27-'2. RD rozdiel'!Q125</f>
        <v>0</v>
      </c>
      <c r="R63" s="413">
        <f>'1. RD2021'!R27-'2. RD rozdiel'!R125</f>
        <v>-318199.97789998725</v>
      </c>
    </row>
    <row r="64" spans="1:24" ht="20.100000000000001" customHeight="1" thickBot="1">
      <c r="B64" s="415" t="s">
        <v>228</v>
      </c>
      <c r="C64" s="455">
        <f>'1. RD2021'!C28-'2. RD rozdiel'!C126</f>
        <v>27646</v>
      </c>
      <c r="D64" s="416">
        <f>'1. RD2021'!D28-'2. RD rozdiel'!D126</f>
        <v>0</v>
      </c>
      <c r="E64" s="417">
        <f>'1. RD2021'!E28-'2. RD rozdiel'!E126</f>
        <v>0</v>
      </c>
      <c r="F64" s="416">
        <f>'1. RD2021'!F28-'2. RD rozdiel'!F126</f>
        <v>0</v>
      </c>
      <c r="G64" s="417">
        <f>'1. RD2021'!G28-'2. RD rozdiel'!G126</f>
        <v>0</v>
      </c>
      <c r="H64" s="416">
        <f>'1. RD2021'!H28-'2. RD rozdiel'!H126</f>
        <v>0</v>
      </c>
      <c r="I64" s="417">
        <f>'1. RD2021'!I28-'2. RD rozdiel'!I126</f>
        <v>0</v>
      </c>
      <c r="J64" s="418">
        <f>'1. RD2021'!J28-'2. RD rozdiel'!J126</f>
        <v>0</v>
      </c>
      <c r="K64" s="417">
        <f>'1. RD2021'!K28-'2. RD rozdiel'!K126</f>
        <v>0</v>
      </c>
      <c r="L64" s="416">
        <f>'1. RD2021'!L28-'2. RD rozdiel'!L126</f>
        <v>0</v>
      </c>
      <c r="M64" s="417">
        <f>'1. RD2021'!M28-'2. RD rozdiel'!M126</f>
        <v>0</v>
      </c>
      <c r="N64" s="416">
        <f>'1. RD2021'!N28-'2. RD rozdiel'!N126</f>
        <v>0</v>
      </c>
      <c r="O64" s="417">
        <f>'1. RD2021'!O28-'2. RD rozdiel'!O126</f>
        <v>0</v>
      </c>
      <c r="P64" s="416">
        <f>'1. RD2021'!P28-'2. RD rozdiel'!P126</f>
        <v>7646</v>
      </c>
      <c r="Q64" s="417">
        <f>'1. RD2021'!Q28-'2. RD rozdiel'!Q126</f>
        <v>20000</v>
      </c>
      <c r="R64" s="417">
        <f>'1. RD2021'!R28-'2. RD rozdiel'!R126</f>
        <v>27646</v>
      </c>
    </row>
    <row r="65" spans="1:18" ht="12.95" customHeight="1"/>
    <row r="66" spans="1:18" ht="12.95" customHeight="1"/>
    <row r="67" spans="1:18" ht="12.95" customHeight="1" thickBot="1"/>
    <row r="68" spans="1:18" ht="47.85" customHeight="1" thickBot="1">
      <c r="B68" s="1347" t="s">
        <v>459</v>
      </c>
      <c r="C68" s="1348"/>
      <c r="D68" s="1348"/>
      <c r="E68" s="1348"/>
      <c r="F68" s="1348"/>
      <c r="G68" s="1348"/>
      <c r="H68" s="1348"/>
      <c r="I68" s="1348"/>
      <c r="J68" s="1348"/>
      <c r="K68" s="1348"/>
      <c r="L68" s="1348"/>
      <c r="M68" s="1348"/>
      <c r="N68" s="1348"/>
      <c r="O68" s="1348"/>
      <c r="P68" s="1348"/>
      <c r="Q68" s="1348"/>
      <c r="R68" s="1349"/>
    </row>
    <row r="69" spans="1:18" ht="12.95" customHeight="1" thickBot="1">
      <c r="A69" s="361"/>
      <c r="B69" s="362"/>
      <c r="C69" s="363"/>
      <c r="D69" s="364"/>
      <c r="E69" s="364"/>
      <c r="F69" s="364"/>
      <c r="G69" s="364"/>
      <c r="H69" s="364"/>
      <c r="I69" s="364"/>
      <c r="J69" s="364"/>
      <c r="K69" s="364"/>
      <c r="L69" s="364"/>
      <c r="M69" s="365"/>
      <c r="N69" s="364"/>
      <c r="O69" s="364"/>
      <c r="P69" s="366"/>
      <c r="Q69" s="366"/>
      <c r="R69" s="366"/>
    </row>
    <row r="70" spans="1:18" ht="38.25" thickBot="1">
      <c r="B70" s="375" t="s">
        <v>206</v>
      </c>
      <c r="C70" s="444" t="s">
        <v>207</v>
      </c>
      <c r="D70" s="376" t="s">
        <v>56</v>
      </c>
      <c r="E70" s="376" t="s">
        <v>57</v>
      </c>
      <c r="F70" s="376" t="s">
        <v>58</v>
      </c>
      <c r="G70" s="376" t="s">
        <v>59</v>
      </c>
      <c r="H70" s="377" t="s">
        <v>62</v>
      </c>
      <c r="I70" s="376" t="s">
        <v>60</v>
      </c>
      <c r="J70" s="376" t="s">
        <v>61</v>
      </c>
      <c r="K70" s="378" t="s">
        <v>208</v>
      </c>
      <c r="L70" s="376" t="s">
        <v>205</v>
      </c>
      <c r="M70" s="1019" t="s">
        <v>246</v>
      </c>
      <c r="N70" s="378" t="s">
        <v>360</v>
      </c>
      <c r="O70" s="379" t="s">
        <v>209</v>
      </c>
      <c r="P70" s="380" t="s">
        <v>411</v>
      </c>
      <c r="Q70" s="380" t="s">
        <v>439</v>
      </c>
      <c r="R70" s="380" t="s">
        <v>16</v>
      </c>
    </row>
    <row r="71" spans="1:18" ht="12.95" customHeight="1" thickBot="1">
      <c r="B71" s="369"/>
      <c r="C71" s="445"/>
      <c r="D71" s="370"/>
      <c r="E71" s="371"/>
      <c r="F71" s="371"/>
      <c r="G71" s="371"/>
      <c r="H71" s="371"/>
      <c r="I71" s="371"/>
      <c r="J71" s="371"/>
      <c r="K71" s="371"/>
      <c r="L71" s="371"/>
      <c r="M71" s="372"/>
      <c r="N71" s="371"/>
      <c r="O71" s="371"/>
      <c r="P71" s="373"/>
      <c r="Q71" s="373"/>
      <c r="R71" s="373"/>
    </row>
    <row r="72" spans="1:18" ht="30" customHeight="1" thickBot="1">
      <c r="B72" s="381" t="s">
        <v>214</v>
      </c>
      <c r="C72" s="446">
        <v>68916709</v>
      </c>
      <c r="D72" s="383">
        <f t="shared" ref="D72" si="3">D73+D81+D85+D86</f>
        <v>4408264.4789705202</v>
      </c>
      <c r="E72" s="382">
        <f t="shared" ref="E72" si="4">E73+E81+E85+E86</f>
        <v>11343538.797162173</v>
      </c>
      <c r="F72" s="383">
        <f t="shared" ref="F72" si="5">F73+F81+F85+F86</f>
        <v>12248676.249257583</v>
      </c>
      <c r="G72" s="382">
        <f t="shared" ref="G72" si="6">G73+G81+G85+G86</f>
        <v>3741290.8316733385</v>
      </c>
      <c r="H72" s="383">
        <f t="shared" ref="H72" si="7">H73+H81+H85+H86</f>
        <v>9381790.0128501169</v>
      </c>
      <c r="I72" s="382">
        <f t="shared" ref="I72" si="8">I73+I81+I85+I86</f>
        <v>12223257.986321762</v>
      </c>
      <c r="J72" s="383">
        <f t="shared" ref="J72" si="9">J73+J81+J85+J86</f>
        <v>5027682.8012895649</v>
      </c>
      <c r="K72" s="382">
        <f t="shared" ref="K72" si="10">K73+K81+K85+K86</f>
        <v>996632.29998796934</v>
      </c>
      <c r="L72" s="383">
        <f t="shared" ref="L72" si="11">L73+L81+L85+L86</f>
        <v>269003.21100335883</v>
      </c>
      <c r="M72" s="382">
        <f>M73+M81+M85+M86</f>
        <v>59640136.668516397</v>
      </c>
      <c r="N72" s="383">
        <f t="shared" ref="N72:P72" si="12">N73+N81+N85+N86</f>
        <v>3219472</v>
      </c>
      <c r="O72" s="382">
        <f t="shared" ref="O72" si="13">O73+O81+O85+O86</f>
        <v>3086859</v>
      </c>
      <c r="P72" s="383">
        <f t="shared" si="12"/>
        <v>2970242</v>
      </c>
      <c r="Q72" s="382"/>
      <c r="R72" s="382">
        <f t="shared" ref="R72" si="14">R73+R81+R85+R86</f>
        <v>68916709.668516397</v>
      </c>
    </row>
    <row r="73" spans="1:18" ht="30" customHeight="1">
      <c r="B73" s="384" t="s">
        <v>215</v>
      </c>
      <c r="C73" s="447">
        <v>37953044</v>
      </c>
      <c r="D73" s="386">
        <f>SUM(D75:D80)</f>
        <v>3147453.84629711</v>
      </c>
      <c r="E73" s="385">
        <f t="shared" ref="E73:L73" si="15">SUM(E75:E80)</f>
        <v>5794207.5887269014</v>
      </c>
      <c r="F73" s="386">
        <f t="shared" si="15"/>
        <v>6443212.7320835628</v>
      </c>
      <c r="G73" s="385">
        <f t="shared" si="15"/>
        <v>2674698.4882596522</v>
      </c>
      <c r="H73" s="386">
        <f t="shared" si="15"/>
        <v>5659837.0681415712</v>
      </c>
      <c r="I73" s="385">
        <f t="shared" si="15"/>
        <v>7094525.077366746</v>
      </c>
      <c r="J73" s="386">
        <f t="shared" si="15"/>
        <v>2927147.4857650176</v>
      </c>
      <c r="K73" s="385">
        <f t="shared" si="15"/>
        <v>619430.65512377</v>
      </c>
      <c r="L73" s="386">
        <f t="shared" si="15"/>
        <v>94811.194377924054</v>
      </c>
      <c r="M73" s="385">
        <f>SUM(M75:M80)</f>
        <v>34455324.136142261</v>
      </c>
      <c r="N73" s="386">
        <f t="shared" ref="N73:P73" si="16">SUM(N75:N80)</f>
        <v>2334676</v>
      </c>
      <c r="O73" s="385">
        <f t="shared" si="16"/>
        <v>0</v>
      </c>
      <c r="P73" s="386">
        <f t="shared" si="16"/>
        <v>1163045</v>
      </c>
      <c r="Q73" s="385"/>
      <c r="R73" s="385">
        <f>SUM(R75:R80)</f>
        <v>37953045.136142261</v>
      </c>
    </row>
    <row r="74" spans="1:18" ht="20.100000000000001" customHeight="1">
      <c r="B74" s="387" t="s">
        <v>216</v>
      </c>
      <c r="C74" s="448">
        <v>23571233</v>
      </c>
      <c r="D74" s="388">
        <f>D75+D76</f>
        <v>2021534.5448223029</v>
      </c>
      <c r="E74" s="389">
        <f t="shared" ref="E74:L74" si="17">E75+E76</f>
        <v>3679778.7930352916</v>
      </c>
      <c r="F74" s="388">
        <f t="shared" si="17"/>
        <v>4239039.6729277801</v>
      </c>
      <c r="G74" s="389">
        <f t="shared" si="17"/>
        <v>1615342.9058015756</v>
      </c>
      <c r="H74" s="388">
        <f t="shared" si="17"/>
        <v>3602837.8796057375</v>
      </c>
      <c r="I74" s="389">
        <f t="shared" si="17"/>
        <v>4546069.3458427815</v>
      </c>
      <c r="J74" s="388">
        <f t="shared" si="17"/>
        <v>1814601.6906545989</v>
      </c>
      <c r="K74" s="389">
        <f t="shared" si="17"/>
        <v>403561.41942038666</v>
      </c>
      <c r="L74" s="388">
        <f t="shared" si="17"/>
        <v>69244.226610890575</v>
      </c>
      <c r="M74" s="389">
        <f>SUM(D74:L74)</f>
        <v>21992010.478721347</v>
      </c>
      <c r="N74" s="388">
        <f t="shared" ref="N74:P74" si="18">N75+N76</f>
        <v>1437363</v>
      </c>
      <c r="O74" s="389">
        <f t="shared" si="18"/>
        <v>0</v>
      </c>
      <c r="P74" s="388">
        <f t="shared" si="18"/>
        <v>141860</v>
      </c>
      <c r="Q74" s="1096"/>
      <c r="R74" s="389">
        <f t="shared" ref="R74:R80" si="19">SUM(M74:P74)</f>
        <v>23571233.478721347</v>
      </c>
    </row>
    <row r="75" spans="1:18" ht="20.100000000000001" customHeight="1">
      <c r="B75" s="854" t="s">
        <v>354</v>
      </c>
      <c r="C75" s="448">
        <v>23571233</v>
      </c>
      <c r="D75" s="388">
        <v>2021534.5448223029</v>
      </c>
      <c r="E75" s="389">
        <v>3665378.7930352916</v>
      </c>
      <c r="F75" s="851">
        <v>4239039.6729277801</v>
      </c>
      <c r="G75" s="389">
        <v>1600942.9058015756</v>
      </c>
      <c r="H75" s="851">
        <v>3588437.8796057375</v>
      </c>
      <c r="I75" s="389">
        <v>4531669.3458427815</v>
      </c>
      <c r="J75" s="388">
        <v>1814601.6906545989</v>
      </c>
      <c r="K75" s="389">
        <v>403561.41942038666</v>
      </c>
      <c r="L75" s="388">
        <v>69244.226610890575</v>
      </c>
      <c r="M75" s="389">
        <f t="shared" ref="M75:M76" si="20">SUM(D75:L75)</f>
        <v>21934410.478721347</v>
      </c>
      <c r="N75" s="851"/>
      <c r="O75" s="389"/>
      <c r="P75" s="851"/>
      <c r="Q75" s="1096"/>
      <c r="R75" s="389">
        <f t="shared" si="19"/>
        <v>21934410.478721347</v>
      </c>
    </row>
    <row r="76" spans="1:18" ht="20.100000000000001" customHeight="1">
      <c r="B76" s="855" t="s">
        <v>210</v>
      </c>
      <c r="C76" s="448"/>
      <c r="D76" s="851"/>
      <c r="E76" s="389">
        <v>14400</v>
      </c>
      <c r="F76" s="851"/>
      <c r="G76" s="389">
        <v>14400</v>
      </c>
      <c r="H76" s="851">
        <v>14400</v>
      </c>
      <c r="I76" s="389">
        <v>14400</v>
      </c>
      <c r="J76" s="851"/>
      <c r="K76" s="389"/>
      <c r="L76" s="851"/>
      <c r="M76" s="389">
        <f t="shared" si="20"/>
        <v>57600</v>
      </c>
      <c r="N76" s="388">
        <v>1437363</v>
      </c>
      <c r="O76" s="389"/>
      <c r="P76" s="851">
        <v>141860</v>
      </c>
      <c r="Q76" s="1096"/>
      <c r="R76" s="389">
        <f t="shared" si="19"/>
        <v>1636823</v>
      </c>
    </row>
    <row r="77" spans="1:18" ht="20.100000000000001" customHeight="1">
      <c r="B77" s="390" t="s">
        <v>232</v>
      </c>
      <c r="C77" s="448">
        <v>8297074</v>
      </c>
      <c r="D77" s="388">
        <v>711580.15977745061</v>
      </c>
      <c r="E77" s="389">
        <v>1295282.1351484226</v>
      </c>
      <c r="F77" s="388">
        <v>1492141.9648705786</v>
      </c>
      <c r="G77" s="389">
        <v>568600.70284215454</v>
      </c>
      <c r="H77" s="388">
        <v>1268198.9336212196</v>
      </c>
      <c r="I77" s="389">
        <v>1600216.4097366589</v>
      </c>
      <c r="J77" s="388">
        <v>638739.79511041881</v>
      </c>
      <c r="K77" s="389">
        <v>142053.61963597609</v>
      </c>
      <c r="L77" s="388">
        <v>24373.967767033482</v>
      </c>
      <c r="M77" s="389">
        <f t="shared" ref="M77" si="21">M74*0.352</f>
        <v>7741187.6885099132</v>
      </c>
      <c r="N77" s="388">
        <v>505952</v>
      </c>
      <c r="O77" s="389"/>
      <c r="P77" s="388">
        <v>49935</v>
      </c>
      <c r="Q77" s="1096"/>
      <c r="R77" s="389">
        <f t="shared" si="19"/>
        <v>8297074.6885099132</v>
      </c>
    </row>
    <row r="78" spans="1:18" ht="20.100000000000001" customHeight="1">
      <c r="B78" s="391" t="s">
        <v>231</v>
      </c>
      <c r="C78" s="448">
        <v>5991171</v>
      </c>
      <c r="D78" s="388">
        <v>414339.1416973563</v>
      </c>
      <c r="E78" s="389">
        <v>819146.66054318729</v>
      </c>
      <c r="F78" s="388">
        <v>712031.09428520408</v>
      </c>
      <c r="G78" s="389">
        <v>490754.87961592205</v>
      </c>
      <c r="H78" s="388">
        <v>788800.25491461414</v>
      </c>
      <c r="I78" s="389">
        <v>948239.32178730587</v>
      </c>
      <c r="J78" s="388">
        <v>385806</v>
      </c>
      <c r="K78" s="389">
        <v>73815.616067407187</v>
      </c>
      <c r="L78" s="388">
        <v>1193</v>
      </c>
      <c r="M78" s="389">
        <f t="shared" ref="M78:M80" si="22">SUM(D78:L78)</f>
        <v>4634125.9689109977</v>
      </c>
      <c r="N78" s="388"/>
      <c r="O78" s="389"/>
      <c r="P78" s="388"/>
      <c r="Q78" s="1096"/>
      <c r="R78" s="389">
        <f t="shared" si="19"/>
        <v>4634125.9689109977</v>
      </c>
    </row>
    <row r="79" spans="1:18" ht="20.100000000000001" customHeight="1">
      <c r="B79" s="390" t="s">
        <v>230</v>
      </c>
      <c r="C79" s="448">
        <v>93566</v>
      </c>
      <c r="D79" s="388"/>
      <c r="E79" s="389"/>
      <c r="F79" s="388"/>
      <c r="G79" s="389"/>
      <c r="H79" s="388"/>
      <c r="I79" s="389"/>
      <c r="J79" s="388">
        <v>59000</v>
      </c>
      <c r="K79" s="389"/>
      <c r="L79" s="388"/>
      <c r="M79" s="389">
        <f t="shared" si="22"/>
        <v>59000</v>
      </c>
      <c r="N79" s="388"/>
      <c r="O79" s="389"/>
      <c r="P79" s="388">
        <v>34566</v>
      </c>
      <c r="Q79" s="1096"/>
      <c r="R79" s="389">
        <f t="shared" si="19"/>
        <v>93566</v>
      </c>
    </row>
    <row r="80" spans="1:18" ht="20.100000000000001" customHeight="1" thickBot="1">
      <c r="B80" s="392" t="s">
        <v>210</v>
      </c>
      <c r="C80" s="449"/>
      <c r="D80" s="393"/>
      <c r="E80" s="394"/>
      <c r="F80" s="393"/>
      <c r="G80" s="394"/>
      <c r="H80" s="393"/>
      <c r="I80" s="394"/>
      <c r="J80" s="393">
        <v>29000</v>
      </c>
      <c r="K80" s="394"/>
      <c r="L80" s="393"/>
      <c r="M80" s="394">
        <f t="shared" si="22"/>
        <v>29000</v>
      </c>
      <c r="N80" s="393">
        <v>391361</v>
      </c>
      <c r="O80" s="394"/>
      <c r="P80" s="393">
        <v>936684</v>
      </c>
      <c r="Q80" s="394"/>
      <c r="R80" s="394">
        <f t="shared" si="19"/>
        <v>1357045</v>
      </c>
    </row>
    <row r="81" spans="1:18" ht="30" customHeight="1">
      <c r="B81" s="395" t="s">
        <v>217</v>
      </c>
      <c r="C81" s="450">
        <v>24327966</v>
      </c>
      <c r="D81" s="397">
        <f t="shared" ref="D81:L81" si="23">SUM(D82:D84)</f>
        <v>1153003.3772218274</v>
      </c>
      <c r="E81" s="396">
        <f t="shared" si="23"/>
        <v>4959016.5929392176</v>
      </c>
      <c r="F81" s="397">
        <f t="shared" si="23"/>
        <v>5392857.3098664992</v>
      </c>
      <c r="G81" s="396">
        <f t="shared" si="23"/>
        <v>718320.63309505652</v>
      </c>
      <c r="H81" s="397">
        <f t="shared" si="23"/>
        <v>2549054.2243584977</v>
      </c>
      <c r="I81" s="396">
        <f t="shared" si="23"/>
        <v>4560038.3023364712</v>
      </c>
      <c r="J81" s="397">
        <f t="shared" si="23"/>
        <v>1891180.3796211726</v>
      </c>
      <c r="K81" s="396">
        <f t="shared" si="23"/>
        <v>366935.69630995294</v>
      </c>
      <c r="L81" s="397">
        <f t="shared" si="23"/>
        <v>174192.01662543474</v>
      </c>
      <c r="M81" s="396">
        <f t="shared" ref="M81:R81" si="24">SUM(M82:M84)</f>
        <v>21764598.532374132</v>
      </c>
      <c r="N81" s="397">
        <f t="shared" si="24"/>
        <v>884796</v>
      </c>
      <c r="O81" s="396">
        <f t="shared" si="24"/>
        <v>0</v>
      </c>
      <c r="P81" s="397">
        <f t="shared" si="24"/>
        <v>1678571</v>
      </c>
      <c r="Q81" s="396"/>
      <c r="R81" s="396">
        <f t="shared" si="24"/>
        <v>24327965.532374132</v>
      </c>
    </row>
    <row r="82" spans="1:18" ht="20.100000000000001" customHeight="1">
      <c r="B82" s="398" t="s">
        <v>218</v>
      </c>
      <c r="C82" s="451">
        <v>24175966</v>
      </c>
      <c r="D82" s="400">
        <v>1131256.1169286105</v>
      </c>
      <c r="E82" s="399">
        <v>4810058.5221400298</v>
      </c>
      <c r="F82" s="400">
        <v>5099877.6371788708</v>
      </c>
      <c r="G82" s="399">
        <v>693659.40816099907</v>
      </c>
      <c r="H82" s="400">
        <v>2422745.2243584977</v>
      </c>
      <c r="I82" s="399">
        <v>4371395.926584648</v>
      </c>
      <c r="J82" s="400">
        <v>1819668.0677135836</v>
      </c>
      <c r="K82" s="399">
        <v>348615.69630995294</v>
      </c>
      <c r="L82" s="400">
        <v>173718.93299893721</v>
      </c>
      <c r="M82" s="399">
        <f t="shared" ref="M82:M84" si="25">SUM(D82:L82)</f>
        <v>20870995.532374132</v>
      </c>
      <c r="N82" s="400">
        <v>884796</v>
      </c>
      <c r="O82" s="399"/>
      <c r="P82" s="400"/>
      <c r="Q82" s="1097"/>
      <c r="R82" s="399">
        <f t="shared" ref="R82:R84" si="26">SUM(M82:P82)</f>
        <v>21755791.532374132</v>
      </c>
    </row>
    <row r="83" spans="1:18" ht="20.100000000000001" customHeight="1">
      <c r="B83" s="398" t="s">
        <v>230</v>
      </c>
      <c r="C83" s="452">
        <v>152000</v>
      </c>
      <c r="D83" s="400">
        <v>0</v>
      </c>
      <c r="E83" s="399">
        <v>20000</v>
      </c>
      <c r="F83" s="400">
        <v>80000</v>
      </c>
      <c r="G83" s="399">
        <v>0</v>
      </c>
      <c r="H83" s="400">
        <v>0</v>
      </c>
      <c r="I83" s="399">
        <v>52000</v>
      </c>
      <c r="J83" s="400">
        <v>0</v>
      </c>
      <c r="K83" s="399">
        <v>0</v>
      </c>
      <c r="L83" s="400">
        <v>0</v>
      </c>
      <c r="M83" s="399">
        <f t="shared" si="25"/>
        <v>152000</v>
      </c>
      <c r="N83" s="400"/>
      <c r="O83" s="399"/>
      <c r="P83" s="400"/>
      <c r="Q83" s="1097"/>
      <c r="R83" s="399">
        <f t="shared" si="26"/>
        <v>152000</v>
      </c>
    </row>
    <row r="84" spans="1:18" ht="20.100000000000001" customHeight="1" thickBot="1">
      <c r="A84" s="360"/>
      <c r="B84" s="401" t="s">
        <v>210</v>
      </c>
      <c r="C84" s="456"/>
      <c r="D84" s="402">
        <v>21747.260293216881</v>
      </c>
      <c r="E84" s="403">
        <v>128958.07079918802</v>
      </c>
      <c r="F84" s="402">
        <v>212979.67268762813</v>
      </c>
      <c r="G84" s="403">
        <v>24661.224934057464</v>
      </c>
      <c r="H84" s="402">
        <v>126309</v>
      </c>
      <c r="I84" s="403">
        <v>136642.37575182307</v>
      </c>
      <c r="J84" s="402">
        <v>71512.311907588883</v>
      </c>
      <c r="K84" s="403">
        <v>18320</v>
      </c>
      <c r="L84" s="402">
        <v>473.08362649752297</v>
      </c>
      <c r="M84" s="457">
        <f t="shared" si="25"/>
        <v>741602.99999999988</v>
      </c>
      <c r="N84" s="402"/>
      <c r="O84" s="403"/>
      <c r="P84" s="402">
        <v>1678571</v>
      </c>
      <c r="Q84" s="403"/>
      <c r="R84" s="403">
        <f t="shared" si="26"/>
        <v>2420174</v>
      </c>
    </row>
    <row r="85" spans="1:18" ht="30" customHeight="1" thickBot="1">
      <c r="B85" s="404" t="s">
        <v>219</v>
      </c>
      <c r="C85" s="491">
        <v>0</v>
      </c>
      <c r="D85" s="405"/>
      <c r="E85" s="406"/>
      <c r="F85" s="405"/>
      <c r="G85" s="406"/>
      <c r="H85" s="405"/>
      <c r="I85" s="406"/>
      <c r="J85" s="405"/>
      <c r="K85" s="406"/>
      <c r="L85" s="405"/>
      <c r="M85" s="407"/>
      <c r="N85" s="405"/>
      <c r="O85" s="406"/>
      <c r="P85" s="405"/>
      <c r="Q85" s="406"/>
      <c r="R85" s="407"/>
    </row>
    <row r="86" spans="1:18" ht="30" customHeight="1">
      <c r="B86" s="408" t="s">
        <v>220</v>
      </c>
      <c r="C86" s="453">
        <v>6635699</v>
      </c>
      <c r="D86" s="410">
        <f>SUM(D87:D90)</f>
        <v>107807.2554515822</v>
      </c>
      <c r="E86" s="409">
        <f t="shared" ref="E86:R86" si="27">SUM(E87:E90)</f>
        <v>590314.61549605394</v>
      </c>
      <c r="F86" s="410">
        <f t="shared" si="27"/>
        <v>412606.20730752061</v>
      </c>
      <c r="G86" s="409">
        <f t="shared" si="27"/>
        <v>348271.71031863015</v>
      </c>
      <c r="H86" s="410">
        <f t="shared" si="27"/>
        <v>1172898.7203500466</v>
      </c>
      <c r="I86" s="409">
        <f t="shared" si="27"/>
        <v>568694.60661854502</v>
      </c>
      <c r="J86" s="410">
        <f t="shared" si="27"/>
        <v>209354.93590337498</v>
      </c>
      <c r="K86" s="409">
        <f t="shared" si="27"/>
        <v>10265.948554246295</v>
      </c>
      <c r="L86" s="410">
        <f t="shared" si="27"/>
        <v>0</v>
      </c>
      <c r="M86" s="409">
        <f>SUM(M87:M90)</f>
        <v>3420214</v>
      </c>
      <c r="N86" s="410">
        <f t="shared" si="27"/>
        <v>0</v>
      </c>
      <c r="O86" s="409">
        <f t="shared" si="27"/>
        <v>3086859</v>
      </c>
      <c r="P86" s="410">
        <f t="shared" si="27"/>
        <v>128626</v>
      </c>
      <c r="Q86" s="409"/>
      <c r="R86" s="409">
        <f t="shared" si="27"/>
        <v>6635699</v>
      </c>
    </row>
    <row r="87" spans="1:18" ht="20.100000000000001" customHeight="1">
      <c r="B87" s="411" t="s">
        <v>221</v>
      </c>
      <c r="C87" s="454">
        <v>550770</v>
      </c>
      <c r="D87" s="412">
        <v>65873.255451582198</v>
      </c>
      <c r="E87" s="413">
        <v>97682.615496053972</v>
      </c>
      <c r="F87" s="412">
        <v>94681.207307520614</v>
      </c>
      <c r="G87" s="413">
        <v>68308.710318630139</v>
      </c>
      <c r="H87" s="412">
        <v>45925.720350046751</v>
      </c>
      <c r="I87" s="413">
        <v>148474.60661854508</v>
      </c>
      <c r="J87" s="412">
        <v>26019.935903374968</v>
      </c>
      <c r="K87" s="413">
        <v>3803.9485542462958</v>
      </c>
      <c r="L87" s="412">
        <v>0</v>
      </c>
      <c r="M87" s="413">
        <f t="shared" ref="M87:M89" si="28">SUM(D87:L87)</f>
        <v>550770</v>
      </c>
      <c r="N87" s="412"/>
      <c r="O87" s="413"/>
      <c r="P87" s="412"/>
      <c r="Q87" s="1098"/>
      <c r="R87" s="413">
        <f>SUM(M87:P87)</f>
        <v>550770</v>
      </c>
    </row>
    <row r="88" spans="1:18" ht="20.100000000000001" customHeight="1">
      <c r="B88" s="411" t="s">
        <v>222</v>
      </c>
      <c r="C88" s="454">
        <v>1621980</v>
      </c>
      <c r="D88" s="412">
        <v>0</v>
      </c>
      <c r="E88" s="413">
        <v>387957</v>
      </c>
      <c r="F88" s="412">
        <v>250372</v>
      </c>
      <c r="G88" s="413">
        <v>220476</v>
      </c>
      <c r="H88" s="412">
        <v>296743</v>
      </c>
      <c r="I88" s="413">
        <v>322052</v>
      </c>
      <c r="J88" s="412">
        <v>144380</v>
      </c>
      <c r="K88" s="413">
        <v>0</v>
      </c>
      <c r="L88" s="412">
        <v>0</v>
      </c>
      <c r="M88" s="413">
        <f t="shared" si="28"/>
        <v>1621980</v>
      </c>
      <c r="N88" s="412"/>
      <c r="O88" s="413"/>
      <c r="P88" s="412"/>
      <c r="Q88" s="1098"/>
      <c r="R88" s="413">
        <f t="shared" ref="R88:R95" si="29">SUM(M88:P88)</f>
        <v>1621980</v>
      </c>
    </row>
    <row r="89" spans="1:18" ht="20.100000000000001" customHeight="1">
      <c r="B89" s="411" t="s">
        <v>223</v>
      </c>
      <c r="C89" s="454">
        <v>517400</v>
      </c>
      <c r="D89" s="412">
        <v>41934</v>
      </c>
      <c r="E89" s="413">
        <v>104675</v>
      </c>
      <c r="F89" s="412">
        <v>67553</v>
      </c>
      <c r="G89" s="413">
        <v>59487</v>
      </c>
      <c r="H89" s="412">
        <v>85794</v>
      </c>
      <c r="I89" s="413">
        <v>98168</v>
      </c>
      <c r="J89" s="412">
        <v>38955</v>
      </c>
      <c r="K89" s="413">
        <v>6462</v>
      </c>
      <c r="L89" s="412">
        <v>0</v>
      </c>
      <c r="M89" s="413">
        <f t="shared" si="28"/>
        <v>503028</v>
      </c>
      <c r="N89" s="412"/>
      <c r="O89" s="413"/>
      <c r="P89" s="412">
        <v>14372</v>
      </c>
      <c r="Q89" s="1098"/>
      <c r="R89" s="413">
        <f t="shared" si="29"/>
        <v>517400</v>
      </c>
    </row>
    <row r="90" spans="1:18" ht="30" customHeight="1">
      <c r="B90" s="414" t="s">
        <v>224</v>
      </c>
      <c r="C90" s="454">
        <v>3945549</v>
      </c>
      <c r="D90" s="412"/>
      <c r="E90" s="413"/>
      <c r="F90" s="412"/>
      <c r="G90" s="413"/>
      <c r="H90" s="412">
        <f>SUM(H91:H95)</f>
        <v>744436</v>
      </c>
      <c r="I90" s="413"/>
      <c r="J90" s="412"/>
      <c r="K90" s="413"/>
      <c r="L90" s="412"/>
      <c r="M90" s="413">
        <f>SUM(M91:M95)</f>
        <v>744436</v>
      </c>
      <c r="N90" s="412"/>
      <c r="O90" s="413">
        <f>SUM(O91:O95)</f>
        <v>3086859</v>
      </c>
      <c r="P90" s="412">
        <f>SUM(P91:P95)</f>
        <v>114254</v>
      </c>
      <c r="Q90" s="1098"/>
      <c r="R90" s="413">
        <f t="shared" si="29"/>
        <v>3945549</v>
      </c>
    </row>
    <row r="91" spans="1:18" ht="20.100000000000001" customHeight="1">
      <c r="B91" s="411" t="s">
        <v>225</v>
      </c>
      <c r="C91" s="454">
        <v>1921734</v>
      </c>
      <c r="D91" s="412"/>
      <c r="E91" s="413"/>
      <c r="F91" s="412"/>
      <c r="G91" s="413"/>
      <c r="H91" s="412">
        <v>373312</v>
      </c>
      <c r="I91" s="413"/>
      <c r="J91" s="412"/>
      <c r="K91" s="413"/>
      <c r="L91" s="412"/>
      <c r="M91" s="413">
        <f t="shared" ref="M91:M95" si="30">SUM(D91:L91)</f>
        <v>373312</v>
      </c>
      <c r="N91" s="412"/>
      <c r="O91" s="413">
        <v>1548422</v>
      </c>
      <c r="P91" s="412"/>
      <c r="Q91" s="1098"/>
      <c r="R91" s="413">
        <f t="shared" si="29"/>
        <v>1921734</v>
      </c>
    </row>
    <row r="92" spans="1:18" ht="20.100000000000001" customHeight="1">
      <c r="B92" s="411" t="s">
        <v>226</v>
      </c>
      <c r="C92" s="454">
        <v>676450</v>
      </c>
      <c r="D92" s="412"/>
      <c r="E92" s="413"/>
      <c r="F92" s="412"/>
      <c r="G92" s="413"/>
      <c r="H92" s="412">
        <v>131406</v>
      </c>
      <c r="I92" s="413"/>
      <c r="J92" s="412"/>
      <c r="K92" s="413"/>
      <c r="L92" s="412"/>
      <c r="M92" s="413">
        <f t="shared" si="30"/>
        <v>131406</v>
      </c>
      <c r="N92" s="412"/>
      <c r="O92" s="413">
        <v>545045</v>
      </c>
      <c r="P92" s="412"/>
      <c r="Q92" s="1098"/>
      <c r="R92" s="413">
        <f t="shared" si="29"/>
        <v>676451</v>
      </c>
    </row>
    <row r="93" spans="1:18" ht="20.100000000000001" customHeight="1">
      <c r="B93" s="411" t="s">
        <v>268</v>
      </c>
      <c r="C93" s="454">
        <v>961462</v>
      </c>
      <c r="D93" s="412"/>
      <c r="E93" s="413"/>
      <c r="F93" s="412"/>
      <c r="G93" s="413"/>
      <c r="H93" s="412">
        <v>188282</v>
      </c>
      <c r="I93" s="413"/>
      <c r="J93" s="412"/>
      <c r="K93" s="413"/>
      <c r="L93" s="412"/>
      <c r="M93" s="413">
        <f t="shared" si="30"/>
        <v>188282</v>
      </c>
      <c r="N93" s="412"/>
      <c r="O93" s="413">
        <v>773180</v>
      </c>
      <c r="P93" s="412"/>
      <c r="Q93" s="1098"/>
      <c r="R93" s="413">
        <f t="shared" si="29"/>
        <v>961462</v>
      </c>
    </row>
    <row r="94" spans="1:18" ht="20.100000000000001" customHeight="1">
      <c r="B94" s="411" t="s">
        <v>227</v>
      </c>
      <c r="C94" s="454">
        <v>271648</v>
      </c>
      <c r="D94" s="412"/>
      <c r="E94" s="413"/>
      <c r="F94" s="412"/>
      <c r="G94" s="413"/>
      <c r="H94" s="412">
        <v>51436</v>
      </c>
      <c r="I94" s="413"/>
      <c r="J94" s="412"/>
      <c r="K94" s="413"/>
      <c r="L94" s="412"/>
      <c r="M94" s="413">
        <f t="shared" si="30"/>
        <v>51436</v>
      </c>
      <c r="N94" s="412"/>
      <c r="O94" s="413">
        <v>220212</v>
      </c>
      <c r="P94" s="412"/>
      <c r="Q94" s="1098"/>
      <c r="R94" s="413">
        <f t="shared" si="29"/>
        <v>271648</v>
      </c>
    </row>
    <row r="95" spans="1:18" ht="20.100000000000001" customHeight="1" thickBot="1">
      <c r="B95" s="415" t="s">
        <v>228</v>
      </c>
      <c r="C95" s="455">
        <v>114254</v>
      </c>
      <c r="D95" s="416"/>
      <c r="E95" s="417"/>
      <c r="F95" s="416"/>
      <c r="G95" s="417"/>
      <c r="H95" s="416"/>
      <c r="I95" s="417"/>
      <c r="J95" s="418"/>
      <c r="K95" s="417"/>
      <c r="L95" s="416"/>
      <c r="M95" s="417">
        <f t="shared" si="30"/>
        <v>0</v>
      </c>
      <c r="N95" s="416"/>
      <c r="O95" s="417"/>
      <c r="P95" s="416">
        <v>114254</v>
      </c>
      <c r="Q95" s="417"/>
      <c r="R95" s="417">
        <f t="shared" si="29"/>
        <v>114254</v>
      </c>
    </row>
    <row r="96" spans="1:18" ht="12.95" customHeight="1"/>
    <row r="97" spans="2:24" ht="12.95" customHeight="1"/>
    <row r="98" spans="2:24" ht="12.95" customHeight="1" thickBot="1"/>
    <row r="99" spans="2:24" ht="47.65" customHeight="1" thickBot="1">
      <c r="B99" s="1347" t="s">
        <v>460</v>
      </c>
      <c r="C99" s="1348"/>
      <c r="D99" s="1348"/>
      <c r="E99" s="1348"/>
      <c r="F99" s="1348"/>
      <c r="G99" s="1348"/>
      <c r="H99" s="1348"/>
      <c r="I99" s="1348"/>
      <c r="J99" s="1348"/>
      <c r="K99" s="1348"/>
      <c r="L99" s="1348"/>
      <c r="M99" s="1348"/>
      <c r="N99" s="1348"/>
      <c r="O99" s="1348"/>
      <c r="P99" s="1348"/>
      <c r="Q99" s="1348"/>
      <c r="R99" s="1349"/>
    </row>
    <row r="100" spans="2:24" ht="13.5" thickBot="1">
      <c r="B100" s="356"/>
      <c r="C100" s="357"/>
      <c r="D100" s="358"/>
      <c r="E100" s="358"/>
      <c r="F100" s="358"/>
      <c r="G100" s="358"/>
      <c r="H100" s="358"/>
      <c r="I100" s="358"/>
      <c r="J100" s="358"/>
      <c r="K100" s="358"/>
      <c r="L100" s="358"/>
      <c r="M100" s="359"/>
      <c r="N100" s="358"/>
      <c r="O100" s="358"/>
      <c r="P100" s="359"/>
      <c r="Q100" s="359"/>
      <c r="R100" s="359"/>
    </row>
    <row r="101" spans="2:24" ht="38.25" customHeight="1" thickBot="1">
      <c r="B101" s="1099" t="s">
        <v>206</v>
      </c>
      <c r="C101" s="1100" t="s">
        <v>207</v>
      </c>
      <c r="D101" s="378" t="s">
        <v>56</v>
      </c>
      <c r="E101" s="378" t="s">
        <v>57</v>
      </c>
      <c r="F101" s="378" t="s">
        <v>58</v>
      </c>
      <c r="G101" s="378" t="s">
        <v>59</v>
      </c>
      <c r="H101" s="1101" t="s">
        <v>62</v>
      </c>
      <c r="I101" s="378" t="s">
        <v>60</v>
      </c>
      <c r="J101" s="378" t="s">
        <v>61</v>
      </c>
      <c r="K101" s="378" t="s">
        <v>208</v>
      </c>
      <c r="L101" s="378" t="s">
        <v>205</v>
      </c>
      <c r="M101" s="1102" t="s">
        <v>246</v>
      </c>
      <c r="N101" s="378" t="s">
        <v>360</v>
      </c>
      <c r="O101" s="379" t="s">
        <v>209</v>
      </c>
      <c r="P101" s="380" t="s">
        <v>411</v>
      </c>
      <c r="Q101" s="380" t="s">
        <v>439</v>
      </c>
      <c r="R101" s="380" t="s">
        <v>16</v>
      </c>
      <c r="S101" s="368" t="s">
        <v>211</v>
      </c>
      <c r="T101" s="368" t="s">
        <v>212</v>
      </c>
      <c r="U101" s="368" t="s">
        <v>213</v>
      </c>
    </row>
    <row r="102" spans="2:24" ht="12.95" customHeight="1" thickBot="1">
      <c r="B102" s="369"/>
      <c r="C102" s="445"/>
      <c r="D102" s="370"/>
      <c r="E102" s="371"/>
      <c r="F102" s="371"/>
      <c r="G102" s="371"/>
      <c r="H102" s="371"/>
      <c r="I102" s="371"/>
      <c r="J102" s="371"/>
      <c r="K102" s="371"/>
      <c r="L102" s="371"/>
      <c r="M102" s="372"/>
      <c r="N102" s="371"/>
      <c r="O102" s="371"/>
      <c r="P102" s="373"/>
      <c r="Q102" s="373"/>
      <c r="R102" s="373"/>
    </row>
    <row r="103" spans="2:24" ht="29.65" customHeight="1" thickBot="1">
      <c r="B103" s="381" t="s">
        <v>214</v>
      </c>
      <c r="C103" s="446">
        <v>59095995</v>
      </c>
      <c r="D103" s="383">
        <f t="shared" ref="D103:P103" si="31">D104+D112+D116+D117</f>
        <v>3580540.8576646405</v>
      </c>
      <c r="E103" s="382">
        <f t="shared" si="31"/>
        <v>9210602.095273532</v>
      </c>
      <c r="F103" s="383">
        <f t="shared" si="31"/>
        <v>9929625.0291082785</v>
      </c>
      <c r="G103" s="382">
        <f t="shared" si="31"/>
        <v>3004355.2051729895</v>
      </c>
      <c r="H103" s="383">
        <f t="shared" si="31"/>
        <v>7863350.6230248278</v>
      </c>
      <c r="I103" s="382">
        <f t="shared" si="31"/>
        <v>10119907.570067858</v>
      </c>
      <c r="J103" s="383">
        <f t="shared" si="31"/>
        <v>4234409.2013999205</v>
      </c>
      <c r="K103" s="382">
        <f t="shared" si="31"/>
        <v>753284.87309182633</v>
      </c>
      <c r="L103" s="383">
        <f t="shared" si="31"/>
        <v>248311.13503834137</v>
      </c>
      <c r="M103" s="382">
        <f t="shared" si="31"/>
        <v>48944386.589842208</v>
      </c>
      <c r="N103" s="383">
        <f t="shared" si="31"/>
        <v>2819862.2989722025</v>
      </c>
      <c r="O103" s="382">
        <f t="shared" si="31"/>
        <v>2675571.5377636179</v>
      </c>
      <c r="P103" s="383">
        <f t="shared" si="31"/>
        <v>4656174.32</v>
      </c>
      <c r="Q103" s="382"/>
      <c r="R103" s="382">
        <f>R104+R112+R116+R117</f>
        <v>59095994.746578038</v>
      </c>
    </row>
    <row r="104" spans="2:24" ht="30" customHeight="1">
      <c r="B104" s="384" t="s">
        <v>215</v>
      </c>
      <c r="C104" s="447">
        <v>31392890</v>
      </c>
      <c r="D104" s="386">
        <f t="shared" ref="D104:P104" si="32">SUM(D106:D111)</f>
        <v>2537986.8534844043</v>
      </c>
      <c r="E104" s="385">
        <f t="shared" si="32"/>
        <v>4400390.8575400505</v>
      </c>
      <c r="F104" s="385">
        <f t="shared" si="32"/>
        <v>5036519.8669604901</v>
      </c>
      <c r="G104" s="385">
        <f t="shared" si="32"/>
        <v>2115130.5367535204</v>
      </c>
      <c r="H104" s="386">
        <f t="shared" si="32"/>
        <v>4789990.8877617465</v>
      </c>
      <c r="I104" s="385">
        <f t="shared" si="32"/>
        <v>5839580.0537090451</v>
      </c>
      <c r="J104" s="386">
        <f t="shared" si="32"/>
        <v>2402905.1986668045</v>
      </c>
      <c r="K104" s="385">
        <f t="shared" si="32"/>
        <v>489972.18724087806</v>
      </c>
      <c r="L104" s="386">
        <f t="shared" si="32"/>
        <v>84072.754908193281</v>
      </c>
      <c r="M104" s="385">
        <f t="shared" si="32"/>
        <v>27696549.197025128</v>
      </c>
      <c r="N104" s="386">
        <f t="shared" si="32"/>
        <v>1896056.2989722025</v>
      </c>
      <c r="O104" s="385">
        <f t="shared" si="32"/>
        <v>0</v>
      </c>
      <c r="P104" s="386">
        <f t="shared" si="32"/>
        <v>1800284.32</v>
      </c>
      <c r="Q104" s="385"/>
      <c r="R104" s="385">
        <f>SUM(R106:R111)</f>
        <v>31392889.815997332</v>
      </c>
      <c r="X104" s="949"/>
    </row>
    <row r="105" spans="2:24" ht="20.100000000000001" customHeight="1">
      <c r="B105" s="387" t="s">
        <v>216</v>
      </c>
      <c r="C105" s="448">
        <f t="shared" ref="C105:L105" si="33">C106+C107</f>
        <v>18579883</v>
      </c>
      <c r="D105" s="388">
        <f t="shared" si="33"/>
        <v>1604665</v>
      </c>
      <c r="E105" s="389">
        <f t="shared" si="33"/>
        <v>2740159</v>
      </c>
      <c r="F105" s="388">
        <f t="shared" si="33"/>
        <v>3237284</v>
      </c>
      <c r="G105" s="389">
        <f t="shared" si="33"/>
        <v>1267592</v>
      </c>
      <c r="H105" s="388">
        <f t="shared" si="33"/>
        <v>2988408</v>
      </c>
      <c r="I105" s="389">
        <f t="shared" si="33"/>
        <v>3664810</v>
      </c>
      <c r="J105" s="388">
        <f t="shared" si="33"/>
        <v>1448190</v>
      </c>
      <c r="K105" s="389">
        <f t="shared" si="33"/>
        <v>306973</v>
      </c>
      <c r="L105" s="388">
        <f t="shared" si="33"/>
        <v>62088</v>
      </c>
      <c r="M105" s="389">
        <f>SUM(D105:L105)</f>
        <v>17320169</v>
      </c>
      <c r="N105" s="388">
        <f>N106+N107</f>
        <v>1121679</v>
      </c>
      <c r="O105" s="389">
        <f>O106+O107</f>
        <v>0</v>
      </c>
      <c r="P105" s="388">
        <f>P106+P107</f>
        <v>138035</v>
      </c>
      <c r="Q105" s="1096"/>
      <c r="R105" s="389">
        <f t="shared" ref="R105:R111" si="34">SUM(M105:P105)</f>
        <v>18579883</v>
      </c>
      <c r="X105" s="949"/>
    </row>
    <row r="106" spans="2:24" ht="20.100000000000001" customHeight="1">
      <c r="B106" s="854" t="s">
        <v>354</v>
      </c>
      <c r="C106" s="448">
        <v>18579883</v>
      </c>
      <c r="D106" s="388">
        <v>1604665</v>
      </c>
      <c r="E106" s="389">
        <v>2725759</v>
      </c>
      <c r="F106" s="851">
        <v>3237284</v>
      </c>
      <c r="G106" s="389">
        <v>1253192</v>
      </c>
      <c r="H106" s="851">
        <v>2974008</v>
      </c>
      <c r="I106" s="389">
        <v>3650410</v>
      </c>
      <c r="J106" s="388">
        <v>1448190</v>
      </c>
      <c r="K106" s="389">
        <v>306973</v>
      </c>
      <c r="L106" s="388">
        <v>62088</v>
      </c>
      <c r="M106" s="389">
        <f>SUM(D106:L106)</f>
        <v>17262569</v>
      </c>
      <c r="N106" s="851"/>
      <c r="O106" s="389"/>
      <c r="P106" s="851"/>
      <c r="Q106" s="1096"/>
      <c r="R106" s="389">
        <f t="shared" si="34"/>
        <v>17262569</v>
      </c>
      <c r="X106" s="949"/>
    </row>
    <row r="107" spans="2:24" ht="20.100000000000001" customHeight="1">
      <c r="B107" s="855" t="s">
        <v>210</v>
      </c>
      <c r="C107" s="448"/>
      <c r="D107" s="851"/>
      <c r="E107" s="389">
        <v>14400</v>
      </c>
      <c r="F107" s="851"/>
      <c r="G107" s="389">
        <v>14400</v>
      </c>
      <c r="H107" s="851">
        <v>14400</v>
      </c>
      <c r="I107" s="389">
        <v>14400</v>
      </c>
      <c r="J107" s="851"/>
      <c r="K107" s="389"/>
      <c r="L107" s="851"/>
      <c r="M107" s="389">
        <f>SUM(D107:L107)</f>
        <v>57600</v>
      </c>
      <c r="N107" s="388">
        <v>1121679</v>
      </c>
      <c r="O107" s="389"/>
      <c r="P107" s="851">
        <v>138035</v>
      </c>
      <c r="Q107" s="1096"/>
      <c r="R107" s="389">
        <f t="shared" si="34"/>
        <v>1317314</v>
      </c>
      <c r="X107" s="949"/>
    </row>
    <row r="108" spans="2:24" ht="20.100000000000001" customHeight="1">
      <c r="B108" s="390" t="s">
        <v>232</v>
      </c>
      <c r="C108" s="448">
        <v>6540119</v>
      </c>
      <c r="D108" s="388">
        <v>564842.07999999996</v>
      </c>
      <c r="E108" s="389">
        <v>964535.96799999999</v>
      </c>
      <c r="F108" s="388">
        <v>1139523.9679999999</v>
      </c>
      <c r="G108" s="389">
        <v>446192.38399999996</v>
      </c>
      <c r="H108" s="388">
        <v>1051919.6159999999</v>
      </c>
      <c r="I108" s="389">
        <v>1290013.1199999999</v>
      </c>
      <c r="J108" s="388">
        <v>509762.87999999995</v>
      </c>
      <c r="K108" s="389">
        <v>108054.496</v>
      </c>
      <c r="L108" s="388">
        <v>21854.975999999999</v>
      </c>
      <c r="M108" s="389">
        <f>M105*0.352</f>
        <v>6096699.4879999999</v>
      </c>
      <c r="N108" s="388">
        <v>394831.00799999997</v>
      </c>
      <c r="O108" s="389"/>
      <c r="P108" s="388">
        <v>48588.32</v>
      </c>
      <c r="Q108" s="1096"/>
      <c r="R108" s="389">
        <f t="shared" si="34"/>
        <v>6540118.8160000006</v>
      </c>
      <c r="X108" s="949"/>
    </row>
    <row r="109" spans="2:24" ht="20.100000000000001" customHeight="1">
      <c r="B109" s="391" t="s">
        <v>231</v>
      </c>
      <c r="C109" s="448">
        <v>6182622</v>
      </c>
      <c r="D109" s="388">
        <v>368479.77348440432</v>
      </c>
      <c r="E109" s="389">
        <v>695695.88954005041</v>
      </c>
      <c r="F109" s="388">
        <v>659711.89896048955</v>
      </c>
      <c r="G109" s="389">
        <v>401346.15275352006</v>
      </c>
      <c r="H109" s="388">
        <v>749663.27176174661</v>
      </c>
      <c r="I109" s="389">
        <v>884756.93370904482</v>
      </c>
      <c r="J109" s="388">
        <v>356952.31866680441</v>
      </c>
      <c r="K109" s="389">
        <v>74944.691240878063</v>
      </c>
      <c r="L109" s="388">
        <v>129.77890819328215</v>
      </c>
      <c r="M109" s="389">
        <f>SUM(D109:L109)</f>
        <v>4191680.7090251315</v>
      </c>
      <c r="N109" s="388">
        <v>379546.29097220261</v>
      </c>
      <c r="O109" s="389"/>
      <c r="P109" s="388"/>
      <c r="Q109" s="1096"/>
      <c r="R109" s="389">
        <f t="shared" si="34"/>
        <v>4571226.9999973346</v>
      </c>
    </row>
    <row r="110" spans="2:24" ht="20.100000000000001" customHeight="1">
      <c r="B110" s="390" t="s">
        <v>230</v>
      </c>
      <c r="C110" s="448">
        <v>90266</v>
      </c>
      <c r="D110" s="388"/>
      <c r="E110" s="389"/>
      <c r="F110" s="388"/>
      <c r="G110" s="389"/>
      <c r="H110" s="388"/>
      <c r="I110" s="389"/>
      <c r="J110" s="388">
        <v>59000</v>
      </c>
      <c r="K110" s="389"/>
      <c r="L110" s="388"/>
      <c r="M110" s="389">
        <f>SUM(D110:L110)</f>
        <v>59000</v>
      </c>
      <c r="N110" s="388"/>
      <c r="O110" s="389"/>
      <c r="P110" s="388">
        <v>31266</v>
      </c>
      <c r="Q110" s="1096"/>
      <c r="R110" s="389">
        <f t="shared" si="34"/>
        <v>90266</v>
      </c>
    </row>
    <row r="111" spans="2:24" ht="20.100000000000001" customHeight="1" thickBot="1">
      <c r="B111" s="392" t="s">
        <v>210</v>
      </c>
      <c r="C111" s="449"/>
      <c r="D111" s="393"/>
      <c r="E111" s="394"/>
      <c r="F111" s="393"/>
      <c r="G111" s="394"/>
      <c r="H111" s="393"/>
      <c r="I111" s="394"/>
      <c r="J111" s="393">
        <v>29000</v>
      </c>
      <c r="K111" s="394"/>
      <c r="L111" s="393"/>
      <c r="M111" s="394">
        <f>SUM(D111:L111)</f>
        <v>29000</v>
      </c>
      <c r="N111" s="393"/>
      <c r="O111" s="394"/>
      <c r="P111" s="393">
        <v>1582395</v>
      </c>
      <c r="Q111" s="394"/>
      <c r="R111" s="394">
        <f t="shared" si="34"/>
        <v>1611395</v>
      </c>
    </row>
    <row r="112" spans="2:24" ht="30" customHeight="1">
      <c r="B112" s="395" t="s">
        <v>217</v>
      </c>
      <c r="C112" s="450">
        <f>C113+C114</f>
        <v>21734854</v>
      </c>
      <c r="D112" s="397">
        <f t="shared" ref="D112:P112" si="35">SUM(D113:D115)</f>
        <v>905851.00418023625</v>
      </c>
      <c r="E112" s="396">
        <f t="shared" si="35"/>
        <v>4261990.2377334824</v>
      </c>
      <c r="F112" s="397">
        <f t="shared" si="35"/>
        <v>4482263.1621477883</v>
      </c>
      <c r="G112" s="396">
        <f t="shared" si="35"/>
        <v>558484.66841946892</v>
      </c>
      <c r="H112" s="397">
        <f t="shared" si="35"/>
        <v>2045886.8580746704</v>
      </c>
      <c r="I112" s="396">
        <f t="shared" si="35"/>
        <v>3848535.5163588133</v>
      </c>
      <c r="J112" s="397">
        <f t="shared" si="35"/>
        <v>1620366.0027331165</v>
      </c>
      <c r="K112" s="396">
        <f t="shared" si="35"/>
        <v>248079.68585094824</v>
      </c>
      <c r="L112" s="397">
        <f t="shared" si="35"/>
        <v>164238.38013014809</v>
      </c>
      <c r="M112" s="396">
        <f t="shared" si="35"/>
        <v>18135695.515628673</v>
      </c>
      <c r="N112" s="397">
        <f t="shared" si="35"/>
        <v>923806</v>
      </c>
      <c r="O112" s="396">
        <f t="shared" si="35"/>
        <v>0</v>
      </c>
      <c r="P112" s="397">
        <f t="shared" si="35"/>
        <v>2675352</v>
      </c>
      <c r="Q112" s="396"/>
      <c r="R112" s="396">
        <f>SUM(R113:R115)</f>
        <v>21734853.515628673</v>
      </c>
    </row>
    <row r="113" spans="1:24" ht="20.100000000000001" customHeight="1">
      <c r="B113" s="398" t="s">
        <v>218</v>
      </c>
      <c r="C113" s="451">
        <v>21582854</v>
      </c>
      <c r="D113" s="400">
        <v>905851.00418023625</v>
      </c>
      <c r="E113" s="399">
        <v>4178828.2377334824</v>
      </c>
      <c r="F113" s="400">
        <v>4270679.1621477883</v>
      </c>
      <c r="G113" s="399">
        <v>548484.66841946892</v>
      </c>
      <c r="H113" s="400">
        <v>2010621.8580746704</v>
      </c>
      <c r="I113" s="399">
        <v>3744733.5163588133</v>
      </c>
      <c r="J113" s="400">
        <v>1591287.0027331165</v>
      </c>
      <c r="K113" s="399">
        <v>248079.68585094824</v>
      </c>
      <c r="L113" s="400">
        <v>164238.38013014809</v>
      </c>
      <c r="M113" s="399">
        <f>SUM(D113:L113)</f>
        <v>17662803.515628673</v>
      </c>
      <c r="N113" s="400">
        <v>79506</v>
      </c>
      <c r="O113" s="399"/>
      <c r="P113" s="400"/>
      <c r="Q113" s="1097"/>
      <c r="R113" s="399">
        <f>SUM(M113:P113)</f>
        <v>17742309.515628673</v>
      </c>
      <c r="X113" s="949"/>
    </row>
    <row r="114" spans="1:24" s="360" customFormat="1" ht="20.100000000000001" customHeight="1">
      <c r="A114" s="355"/>
      <c r="B114" s="398" t="s">
        <v>230</v>
      </c>
      <c r="C114" s="452">
        <v>152000</v>
      </c>
      <c r="D114" s="400"/>
      <c r="E114" s="399">
        <v>20000</v>
      </c>
      <c r="F114" s="400">
        <v>80000</v>
      </c>
      <c r="G114" s="399"/>
      <c r="H114" s="400"/>
      <c r="I114" s="399">
        <v>52000</v>
      </c>
      <c r="J114" s="400"/>
      <c r="K114" s="399"/>
      <c r="L114" s="400"/>
      <c r="M114" s="399">
        <f>SUM(D114:L114)</f>
        <v>152000</v>
      </c>
      <c r="N114" s="400"/>
      <c r="O114" s="399"/>
      <c r="P114" s="400"/>
      <c r="Q114" s="1097"/>
      <c r="R114" s="399">
        <f>SUM(M114:P114)</f>
        <v>152000</v>
      </c>
    </row>
    <row r="115" spans="1:24" s="360" customFormat="1" ht="20.100000000000001" customHeight="1" thickBot="1">
      <c r="B115" s="401" t="s">
        <v>210</v>
      </c>
      <c r="C115" s="456"/>
      <c r="D115" s="402"/>
      <c r="E115" s="403">
        <v>63162</v>
      </c>
      <c r="F115" s="402">
        <v>131584</v>
      </c>
      <c r="G115" s="403">
        <v>10000</v>
      </c>
      <c r="H115" s="402">
        <v>35265</v>
      </c>
      <c r="I115" s="403">
        <v>51802</v>
      </c>
      <c r="J115" s="402">
        <v>29079</v>
      </c>
      <c r="K115" s="403"/>
      <c r="L115" s="402"/>
      <c r="M115" s="457">
        <f>SUM(D115:L115)</f>
        <v>320892</v>
      </c>
      <c r="N115" s="402">
        <v>844300</v>
      </c>
      <c r="O115" s="403"/>
      <c r="P115" s="402">
        <v>2675352</v>
      </c>
      <c r="Q115" s="403"/>
      <c r="R115" s="403">
        <f>SUM(M115:P115)</f>
        <v>3840544</v>
      </c>
    </row>
    <row r="116" spans="1:24" ht="37.5" customHeight="1" thickBot="1">
      <c r="B116" s="404" t="s">
        <v>219</v>
      </c>
      <c r="C116" s="491">
        <v>68699</v>
      </c>
      <c r="D116" s="405"/>
      <c r="E116" s="406"/>
      <c r="F116" s="405"/>
      <c r="G116" s="406"/>
      <c r="H116" s="405"/>
      <c r="I116" s="406"/>
      <c r="J116" s="405"/>
      <c r="K116" s="406"/>
      <c r="L116" s="405"/>
      <c r="M116" s="407"/>
      <c r="N116" s="405"/>
      <c r="O116" s="406"/>
      <c r="P116" s="496">
        <v>68699</v>
      </c>
      <c r="Q116" s="407"/>
      <c r="R116" s="407">
        <f>SUM(M116:P116)</f>
        <v>68699</v>
      </c>
    </row>
    <row r="117" spans="1:24" ht="30" customHeight="1">
      <c r="B117" s="408" t="s">
        <v>220</v>
      </c>
      <c r="C117" s="453">
        <f t="shared" ref="C117:P117" si="36">SUM(C118:C121)</f>
        <v>5899552</v>
      </c>
      <c r="D117" s="410">
        <f t="shared" si="36"/>
        <v>136703</v>
      </c>
      <c r="E117" s="409">
        <f t="shared" si="36"/>
        <v>548221</v>
      </c>
      <c r="F117" s="410">
        <f t="shared" si="36"/>
        <v>410842</v>
      </c>
      <c r="G117" s="409">
        <f t="shared" si="36"/>
        <v>330740</v>
      </c>
      <c r="H117" s="410">
        <f t="shared" si="36"/>
        <v>1027472.8771884103</v>
      </c>
      <c r="I117" s="409">
        <f t="shared" si="36"/>
        <v>431792</v>
      </c>
      <c r="J117" s="410">
        <f t="shared" si="36"/>
        <v>211138</v>
      </c>
      <c r="K117" s="409">
        <f t="shared" si="36"/>
        <v>15233</v>
      </c>
      <c r="L117" s="410">
        <f t="shared" si="36"/>
        <v>0</v>
      </c>
      <c r="M117" s="409">
        <f t="shared" si="36"/>
        <v>3112141.8771884101</v>
      </c>
      <c r="N117" s="410">
        <f t="shared" si="36"/>
        <v>0</v>
      </c>
      <c r="O117" s="409">
        <f t="shared" si="36"/>
        <v>2675571.5377636179</v>
      </c>
      <c r="P117" s="410">
        <f t="shared" si="36"/>
        <v>111839</v>
      </c>
      <c r="Q117" s="409"/>
      <c r="R117" s="409">
        <f>SUM(R118:R121)</f>
        <v>5899552.4149520285</v>
      </c>
    </row>
    <row r="118" spans="1:24" ht="20.100000000000001" customHeight="1">
      <c r="B118" s="411" t="s">
        <v>221</v>
      </c>
      <c r="C118" s="454">
        <v>730978</v>
      </c>
      <c r="D118" s="412">
        <v>91892</v>
      </c>
      <c r="E118" s="413">
        <v>95460</v>
      </c>
      <c r="F118" s="412">
        <v>135693</v>
      </c>
      <c r="G118" s="413">
        <v>77566</v>
      </c>
      <c r="H118" s="412">
        <v>66771</v>
      </c>
      <c r="I118" s="413">
        <v>218963</v>
      </c>
      <c r="J118" s="412">
        <v>37086</v>
      </c>
      <c r="K118" s="413">
        <v>7547</v>
      </c>
      <c r="L118" s="412"/>
      <c r="M118" s="413">
        <f>SUM(D118:L118)</f>
        <v>730978</v>
      </c>
      <c r="N118" s="412"/>
      <c r="O118" s="413"/>
      <c r="P118" s="412"/>
      <c r="Q118" s="1098"/>
      <c r="R118" s="413">
        <f t="shared" ref="R118:R126" si="37">SUM(M118:P118)</f>
        <v>730978</v>
      </c>
    </row>
    <row r="119" spans="1:24" ht="20.100000000000001" customHeight="1">
      <c r="B119" s="411" t="s">
        <v>222</v>
      </c>
      <c r="C119" s="454">
        <v>1238250</v>
      </c>
      <c r="D119" s="412">
        <v>0</v>
      </c>
      <c r="E119" s="413">
        <v>342883</v>
      </c>
      <c r="F119" s="412">
        <v>204379</v>
      </c>
      <c r="G119" s="413">
        <v>192555</v>
      </c>
      <c r="H119" s="412">
        <v>262422</v>
      </c>
      <c r="I119" s="413">
        <v>105030</v>
      </c>
      <c r="J119" s="412">
        <v>130981</v>
      </c>
      <c r="K119" s="413">
        <v>0</v>
      </c>
      <c r="L119" s="412"/>
      <c r="M119" s="413">
        <f>SUM(D119:L119)</f>
        <v>1238250</v>
      </c>
      <c r="N119" s="412"/>
      <c r="O119" s="413"/>
      <c r="P119" s="412"/>
      <c r="Q119" s="1098"/>
      <c r="R119" s="413">
        <f t="shared" si="37"/>
        <v>1238250</v>
      </c>
    </row>
    <row r="120" spans="1:24" ht="20.100000000000001" customHeight="1">
      <c r="B120" s="411" t="s">
        <v>223</v>
      </c>
      <c r="C120" s="454">
        <v>553400</v>
      </c>
      <c r="D120" s="412">
        <v>44811</v>
      </c>
      <c r="E120" s="413">
        <v>109878</v>
      </c>
      <c r="F120" s="412">
        <v>70770</v>
      </c>
      <c r="G120" s="413">
        <v>60619</v>
      </c>
      <c r="H120" s="412">
        <v>93394</v>
      </c>
      <c r="I120" s="413">
        <v>107799</v>
      </c>
      <c r="J120" s="412">
        <v>43071</v>
      </c>
      <c r="K120" s="413">
        <v>7686</v>
      </c>
      <c r="L120" s="412"/>
      <c r="M120" s="413">
        <f>SUM(D120:L120)</f>
        <v>538028</v>
      </c>
      <c r="N120" s="412"/>
      <c r="O120" s="413"/>
      <c r="P120" s="412">
        <v>15372</v>
      </c>
      <c r="Q120" s="1098"/>
      <c r="R120" s="413">
        <f t="shared" si="37"/>
        <v>553400</v>
      </c>
    </row>
    <row r="121" spans="1:24" ht="29.65" customHeight="1">
      <c r="B121" s="414" t="s">
        <v>224</v>
      </c>
      <c r="C121" s="454">
        <f>SUM(C122:C126)</f>
        <v>3376924</v>
      </c>
      <c r="D121" s="412"/>
      <c r="E121" s="413"/>
      <c r="F121" s="412"/>
      <c r="G121" s="413"/>
      <c r="H121" s="412">
        <f>SUM(H122:H126)</f>
        <v>604885.87718841026</v>
      </c>
      <c r="I121" s="413"/>
      <c r="J121" s="412"/>
      <c r="K121" s="413"/>
      <c r="L121" s="412"/>
      <c r="M121" s="413">
        <f>SUM(M122:M126)</f>
        <v>604885.87718841026</v>
      </c>
      <c r="N121" s="412"/>
      <c r="O121" s="413">
        <f>SUM(O122:O126)</f>
        <v>2675571.5377636179</v>
      </c>
      <c r="P121" s="412">
        <f>SUM(P122:P126)</f>
        <v>96467</v>
      </c>
      <c r="Q121" s="1098"/>
      <c r="R121" s="413">
        <f t="shared" si="37"/>
        <v>3376924.4149520281</v>
      </c>
    </row>
    <row r="122" spans="1:24" ht="20.100000000000001" customHeight="1">
      <c r="B122" s="411" t="s">
        <v>225</v>
      </c>
      <c r="C122" s="454">
        <v>1421917</v>
      </c>
      <c r="D122" s="412"/>
      <c r="E122" s="413"/>
      <c r="F122" s="412"/>
      <c r="G122" s="413"/>
      <c r="H122" s="412">
        <v>279165.7243497523</v>
      </c>
      <c r="I122" s="413"/>
      <c r="J122" s="412"/>
      <c r="K122" s="413"/>
      <c r="L122" s="412"/>
      <c r="M122" s="413">
        <f>SUM(D122:L122)</f>
        <v>279165.7243497523</v>
      </c>
      <c r="N122" s="412"/>
      <c r="O122" s="413">
        <v>1142751.758676905</v>
      </c>
      <c r="P122" s="412"/>
      <c r="Q122" s="1098"/>
      <c r="R122" s="413">
        <f t="shared" si="37"/>
        <v>1421917.4830266573</v>
      </c>
    </row>
    <row r="123" spans="1:24" ht="20.100000000000001" customHeight="1">
      <c r="B123" s="411" t="s">
        <v>226</v>
      </c>
      <c r="C123" s="454">
        <v>500515</v>
      </c>
      <c r="D123" s="412"/>
      <c r="E123" s="413"/>
      <c r="F123" s="412"/>
      <c r="G123" s="413"/>
      <c r="H123" s="412">
        <v>98266.334971112825</v>
      </c>
      <c r="I123" s="413"/>
      <c r="J123" s="412"/>
      <c r="K123" s="413"/>
      <c r="L123" s="412"/>
      <c r="M123" s="413">
        <f>SUM(D123:L123)</f>
        <v>98266.334971112825</v>
      </c>
      <c r="N123" s="412"/>
      <c r="O123" s="413">
        <v>402248.61905427056</v>
      </c>
      <c r="P123" s="412"/>
      <c r="Q123" s="1098"/>
      <c r="R123" s="413">
        <f t="shared" si="37"/>
        <v>500514.9540253834</v>
      </c>
    </row>
    <row r="124" spans="1:24" ht="20.100000000000001" customHeight="1">
      <c r="B124" s="411" t="s">
        <v>268</v>
      </c>
      <c r="C124" s="454">
        <v>958154</v>
      </c>
      <c r="D124" s="412"/>
      <c r="E124" s="413"/>
      <c r="F124" s="412"/>
      <c r="G124" s="413"/>
      <c r="H124" s="412">
        <v>187697</v>
      </c>
      <c r="I124" s="413"/>
      <c r="J124" s="412"/>
      <c r="K124" s="413"/>
      <c r="L124" s="412"/>
      <c r="M124" s="413">
        <f>SUM(D124:L124)</f>
        <v>187697</v>
      </c>
      <c r="N124" s="412"/>
      <c r="O124" s="413">
        <v>770457</v>
      </c>
      <c r="P124" s="412"/>
      <c r="Q124" s="1098"/>
      <c r="R124" s="413">
        <f t="shared" si="37"/>
        <v>958154</v>
      </c>
    </row>
    <row r="125" spans="1:24" ht="20.100000000000001" customHeight="1">
      <c r="B125" s="411" t="s">
        <v>227</v>
      </c>
      <c r="C125" s="454">
        <v>399871</v>
      </c>
      <c r="D125" s="412"/>
      <c r="E125" s="413"/>
      <c r="F125" s="412"/>
      <c r="G125" s="413"/>
      <c r="H125" s="412">
        <v>39756.817867545062</v>
      </c>
      <c r="I125" s="413"/>
      <c r="J125" s="412"/>
      <c r="K125" s="413"/>
      <c r="L125" s="412"/>
      <c r="M125" s="413">
        <f>SUM(D125:L125)</f>
        <v>39756.817867545062</v>
      </c>
      <c r="N125" s="412"/>
      <c r="O125" s="413">
        <v>360114.16003244219</v>
      </c>
      <c r="P125" s="412"/>
      <c r="Q125" s="1098"/>
      <c r="R125" s="413">
        <f t="shared" si="37"/>
        <v>399870.97789998725</v>
      </c>
    </row>
    <row r="126" spans="1:24" ht="20.100000000000001" customHeight="1" thickBot="1">
      <c r="B126" s="415" t="s">
        <v>228</v>
      </c>
      <c r="C126" s="455">
        <v>96467</v>
      </c>
      <c r="D126" s="416"/>
      <c r="E126" s="417"/>
      <c r="F126" s="416"/>
      <c r="G126" s="417"/>
      <c r="H126" s="416"/>
      <c r="I126" s="417"/>
      <c r="J126" s="418"/>
      <c r="K126" s="417"/>
      <c r="L126" s="416"/>
      <c r="M126" s="417">
        <f>SUM(D126:L126)</f>
        <v>0</v>
      </c>
      <c r="N126" s="416"/>
      <c r="O126" s="417"/>
      <c r="P126" s="416">
        <v>96467</v>
      </c>
      <c r="Q126" s="417"/>
      <c r="R126" s="417">
        <f t="shared" si="37"/>
        <v>96467</v>
      </c>
    </row>
  </sheetData>
  <sheetProtection algorithmName="SHA-512" hashValue="PBFQCiF5KhTSvBwPTU9Em8Z7T5QGUbdSPMFpnl9z3BrKBWKFLt+EMD0JFfSbhwBxwaUz5Jbx7QUEI8xqQFz/vg==" saltValue="8Vy986xpUVAus+7pONPCyg==" spinCount="100000" sheet="1" objects="1" scenarios="1"/>
  <mergeCells count="4">
    <mergeCell ref="B1:R1"/>
    <mergeCell ref="B68:R68"/>
    <mergeCell ref="B36:R36"/>
    <mergeCell ref="B99:R99"/>
  </mergeCells>
  <conditionalFormatting sqref="D46:R64 D14:R32 D5:R8 D10:R11">
    <cfRule type="cellIs" dxfId="32" priority="14" operator="lessThan">
      <formula>0</formula>
    </cfRule>
  </conditionalFormatting>
  <conditionalFormatting sqref="D12:P13 R12:R13">
    <cfRule type="cellIs" dxfId="31" priority="13" operator="lessThan">
      <formula>0</formula>
    </cfRule>
  </conditionalFormatting>
  <conditionalFormatting sqref="Q12:Q13">
    <cfRule type="cellIs" dxfId="30" priority="11" operator="lessThan">
      <formula>0</formula>
    </cfRule>
  </conditionalFormatting>
  <conditionalFormatting sqref="D39:P39 R39 R42:R43 D42:P43">
    <cfRule type="cellIs" dxfId="29" priority="10" operator="lessThan">
      <formula>0</formula>
    </cfRule>
  </conditionalFormatting>
  <conditionalFormatting sqref="D44:P45 R44:R45">
    <cfRule type="cellIs" dxfId="28" priority="9" operator="lessThan">
      <formula>0</formula>
    </cfRule>
  </conditionalFormatting>
  <conditionalFormatting sqref="Q39 Q42:Q43">
    <cfRule type="cellIs" dxfId="27" priority="8" operator="lessThan">
      <formula>0</formula>
    </cfRule>
  </conditionalFormatting>
  <conditionalFormatting sqref="Q44:Q45">
    <cfRule type="cellIs" dxfId="26" priority="7" operator="lessThan">
      <formula>0</formula>
    </cfRule>
  </conditionalFormatting>
  <conditionalFormatting sqref="D40:P41 R40:R41">
    <cfRule type="cellIs" dxfId="25" priority="6" operator="lessThan">
      <formula>0</formula>
    </cfRule>
  </conditionalFormatting>
  <conditionalFormatting sqref="Q40:Q41">
    <cfRule type="cellIs" dxfId="24" priority="5" operator="lessThan">
      <formula>0</formula>
    </cfRule>
  </conditionalFormatting>
  <conditionalFormatting sqref="E9:L9 N9:R9">
    <cfRule type="cellIs" dxfId="23" priority="4" operator="lessThan">
      <formula>0</formula>
    </cfRule>
  </conditionalFormatting>
  <conditionalFormatting sqref="M9">
    <cfRule type="cellIs" dxfId="22" priority="2" operator="lessThan">
      <formula>0</formula>
    </cfRule>
  </conditionalFormatting>
  <conditionalFormatting sqref="D9">
    <cfRule type="cellIs" dxfId="21" priority="3" operator="lessThan">
      <formula>0</formula>
    </cfRule>
  </conditionalFormatting>
  <conditionalFormatting sqref="D9:M9">
    <cfRule type="cellIs" dxfId="20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K62"/>
  <sheetViews>
    <sheetView zoomScaleNormal="100" workbookViewId="0">
      <selection activeCell="S15" sqref="S15"/>
    </sheetView>
  </sheetViews>
  <sheetFormatPr defaultRowHeight="15"/>
  <cols>
    <col min="1" max="1" width="5.7109375" customWidth="1"/>
    <col min="2" max="2" width="27" customWidth="1"/>
    <col min="3" max="3" width="21" customWidth="1"/>
    <col min="4" max="4" width="13.5703125" customWidth="1"/>
    <col min="5" max="5" width="11.7109375" customWidth="1"/>
    <col min="6" max="6" width="17" style="528" customWidth="1"/>
    <col min="7" max="7" width="23.28515625" style="791" customWidth="1"/>
    <col min="8" max="8" width="19.28515625" customWidth="1"/>
    <col min="9" max="9" width="2.85546875" customWidth="1"/>
    <col min="10" max="11" width="11.42578125" customWidth="1"/>
  </cols>
  <sheetData>
    <row r="1" spans="1:10" s="950" customFormat="1" ht="18.75">
      <c r="B1" s="1364" t="s">
        <v>429</v>
      </c>
      <c r="C1" s="1364"/>
      <c r="D1" s="1364"/>
      <c r="E1" s="1364"/>
      <c r="F1" s="1364"/>
      <c r="G1" s="1364"/>
    </row>
    <row r="2" spans="1:10" ht="15.75" thickBot="1">
      <c r="A2" s="950"/>
      <c r="B2" s="950"/>
      <c r="C2" s="950"/>
      <c r="D2" s="950"/>
      <c r="E2" s="950"/>
      <c r="F2" s="950"/>
      <c r="G2" s="945"/>
    </row>
    <row r="3" spans="1:10" ht="15.75" thickBot="1">
      <c r="A3" s="429" t="s">
        <v>242</v>
      </c>
      <c r="B3" s="430" t="s">
        <v>243</v>
      </c>
      <c r="C3" s="430" t="s">
        <v>388</v>
      </c>
      <c r="D3" s="430" t="s">
        <v>244</v>
      </c>
      <c r="E3" s="430" t="s">
        <v>245</v>
      </c>
      <c r="F3" s="527" t="s">
        <v>273</v>
      </c>
      <c r="G3" s="970" t="s">
        <v>389</v>
      </c>
      <c r="H3" s="431" t="s">
        <v>390</v>
      </c>
    </row>
    <row r="4" spans="1:10" s="950" customFormat="1" ht="19.5" thickTop="1">
      <c r="A4" s="965"/>
      <c r="B4" s="966" t="s">
        <v>395</v>
      </c>
      <c r="C4" s="967"/>
      <c r="D4" s="967"/>
      <c r="E4" s="967"/>
      <c r="F4" s="968"/>
      <c r="G4" s="969"/>
      <c r="H4" s="971"/>
    </row>
    <row r="5" spans="1:10">
      <c r="A5" s="1371" t="s">
        <v>452</v>
      </c>
      <c r="B5" s="1145" t="s">
        <v>453</v>
      </c>
      <c r="C5" s="954">
        <v>1350000</v>
      </c>
      <c r="D5" s="955" t="s">
        <v>238</v>
      </c>
      <c r="E5" s="955" t="s">
        <v>256</v>
      </c>
      <c r="F5" s="956">
        <v>1437363</v>
      </c>
      <c r="G5" s="957">
        <f>C5-F5</f>
        <v>-87363</v>
      </c>
      <c r="H5" s="972">
        <v>2810650</v>
      </c>
    </row>
    <row r="6" spans="1:10" s="950" customFormat="1">
      <c r="A6" s="1372"/>
      <c r="B6" s="1145" t="s">
        <v>454</v>
      </c>
      <c r="C6" s="954">
        <f>C5*0.352</f>
        <v>475200</v>
      </c>
      <c r="D6" s="955"/>
      <c r="E6" s="955"/>
      <c r="F6" s="956">
        <v>505952</v>
      </c>
      <c r="G6" s="957">
        <f>C6-F6</f>
        <v>-30752</v>
      </c>
      <c r="H6" s="972">
        <f>H5*0.352</f>
        <v>989348.79999999993</v>
      </c>
      <c r="J6" s="995"/>
    </row>
    <row r="7" spans="1:10">
      <c r="A7" s="1372"/>
      <c r="B7" s="1146" t="s">
        <v>501</v>
      </c>
      <c r="C7" s="959">
        <v>850000</v>
      </c>
      <c r="D7" s="958" t="s">
        <v>240</v>
      </c>
      <c r="E7" s="955" t="s">
        <v>256</v>
      </c>
      <c r="F7" s="960">
        <v>834300</v>
      </c>
      <c r="G7" s="957">
        <f t="shared" ref="G7:G10" si="0">C7-F7</f>
        <v>15700</v>
      </c>
      <c r="H7" s="972"/>
    </row>
    <row r="8" spans="1:10">
      <c r="A8" s="1372"/>
      <c r="B8" s="1146" t="s">
        <v>455</v>
      </c>
      <c r="C8" s="959">
        <f>C7*0.352</f>
        <v>299200</v>
      </c>
      <c r="D8" s="958" t="s">
        <v>240</v>
      </c>
      <c r="E8" s="955" t="s">
        <v>256</v>
      </c>
      <c r="F8" s="956">
        <v>0</v>
      </c>
      <c r="G8" s="957">
        <f t="shared" si="0"/>
        <v>299200</v>
      </c>
      <c r="H8" s="972"/>
    </row>
    <row r="9" spans="1:10" s="1059" customFormat="1">
      <c r="A9" s="1372"/>
      <c r="B9" s="1147" t="s">
        <v>391</v>
      </c>
      <c r="C9" s="1148">
        <f>SUM(C5:C8)</f>
        <v>2974400</v>
      </c>
      <c r="D9" s="1149"/>
      <c r="E9" s="1149"/>
      <c r="F9" s="1150">
        <f>SUM(F5:F8)</f>
        <v>2777615</v>
      </c>
      <c r="G9" s="1151">
        <f>SUM(G5:G8)</f>
        <v>196785</v>
      </c>
      <c r="H9" s="1152">
        <v>3800000</v>
      </c>
    </row>
    <row r="10" spans="1:10">
      <c r="A10" s="1372"/>
      <c r="B10" s="1145" t="s">
        <v>372</v>
      </c>
      <c r="C10" s="954">
        <v>780000</v>
      </c>
      <c r="D10" s="955" t="s">
        <v>239</v>
      </c>
      <c r="E10" s="955" t="s">
        <v>256</v>
      </c>
      <c r="F10" s="956">
        <v>391361</v>
      </c>
      <c r="G10" s="957">
        <f t="shared" si="0"/>
        <v>388639</v>
      </c>
      <c r="H10" s="972"/>
    </row>
    <row r="11" spans="1:10">
      <c r="A11" s="1372"/>
      <c r="B11" s="961"/>
      <c r="C11" s="961"/>
      <c r="D11" s="961"/>
      <c r="E11" s="961"/>
      <c r="F11" s="983"/>
      <c r="G11" s="984"/>
      <c r="H11" s="962"/>
    </row>
    <row r="12" spans="1:10">
      <c r="A12" s="1372"/>
      <c r="B12" s="961"/>
      <c r="C12" s="961"/>
      <c r="D12" s="961"/>
      <c r="E12" s="961"/>
      <c r="F12" s="983"/>
      <c r="G12" s="984"/>
      <c r="H12" s="962"/>
    </row>
    <row r="13" spans="1:10">
      <c r="A13" s="1372"/>
      <c r="B13" s="961"/>
      <c r="C13" s="961"/>
      <c r="D13" s="961"/>
      <c r="E13" s="961"/>
      <c r="F13" s="983"/>
      <c r="G13" s="984"/>
      <c r="H13" s="962"/>
    </row>
    <row r="14" spans="1:10" ht="15.75" thickBot="1">
      <c r="A14" s="1373"/>
      <c r="B14" s="963"/>
      <c r="C14" s="963"/>
      <c r="D14" s="963"/>
      <c r="E14" s="963"/>
      <c r="F14" s="985"/>
      <c r="G14" s="986"/>
      <c r="H14" s="964"/>
    </row>
    <row r="16" spans="1:10" s="950" customFormat="1">
      <c r="F16" s="528"/>
      <c r="G16" s="953"/>
    </row>
    <row r="17" spans="1:11" ht="15.75" thickBot="1">
      <c r="A17" s="1365" t="s">
        <v>412</v>
      </c>
      <c r="B17" s="1365"/>
      <c r="C17" s="1365"/>
      <c r="D17" s="1365"/>
      <c r="E17" s="1365"/>
      <c r="F17" s="1365"/>
    </row>
    <row r="18" spans="1:11" ht="15.75" thickBot="1">
      <c r="A18" s="419" t="s">
        <v>237</v>
      </c>
      <c r="B18" s="420" t="s">
        <v>274</v>
      </c>
      <c r="C18" s="420" t="s">
        <v>236</v>
      </c>
      <c r="D18" s="420" t="s">
        <v>243</v>
      </c>
      <c r="E18" s="951" t="s">
        <v>383</v>
      </c>
      <c r="F18" s="951" t="s">
        <v>258</v>
      </c>
      <c r="G18" s="951" t="s">
        <v>389</v>
      </c>
      <c r="H18" s="421" t="s">
        <v>508</v>
      </c>
      <c r="J18" s="419" t="s">
        <v>509</v>
      </c>
      <c r="K18" s="421" t="s">
        <v>510</v>
      </c>
    </row>
    <row r="19" spans="1:11" ht="15.75" thickTop="1">
      <c r="A19" s="422" t="s">
        <v>238</v>
      </c>
      <c r="B19" s="423" t="s">
        <v>202</v>
      </c>
      <c r="C19" s="974">
        <f>'1. RD2021'!C7</f>
        <v>23429936</v>
      </c>
      <c r="D19" s="974">
        <f>SUMIFS($C$5:$C$14,$D$5:$D$14,"M",$E$5:$E$14,"&lt;&gt;")+SUMIFS('4. Aktivity'!$B$4:$B$112,'4. Aktivity'!$C$4:$C$112,"M",'4. Aktivity'!$D$4:$D$112,"&lt;&gt;")</f>
        <v>1566296</v>
      </c>
      <c r="E19" s="948">
        <f>D19/C19</f>
        <v>6.6850203944219047E-2</v>
      </c>
      <c r="F19" s="1326">
        <f>C19-D19</f>
        <v>21863640</v>
      </c>
      <c r="G19" s="1326">
        <f>F19-'2. RD rozdiel'!M75</f>
        <v>-70770.478721346706</v>
      </c>
      <c r="H19" s="1328">
        <f>G19/'2. RD rozdiel'!M75</f>
        <v>-3.2264591195647319E-3</v>
      </c>
      <c r="J19" s="1342">
        <f>F19/D28</f>
        <v>0.34586051188908357</v>
      </c>
      <c r="K19" s="1328">
        <f>'2. RD rozdiel'!M75/'3. R-STU'!D38</f>
        <v>0.35218456224907385</v>
      </c>
    </row>
    <row r="20" spans="1:11">
      <c r="A20" s="424" t="s">
        <v>239</v>
      </c>
      <c r="B20" s="425" t="s">
        <v>204</v>
      </c>
      <c r="C20" s="975">
        <f>'1. RD2021'!C11</f>
        <v>6152772</v>
      </c>
      <c r="D20" s="974">
        <f>SUMIFS($C$5:$C$14,$D$5:$D$14,"T",$E$5:$E$14,"&lt;&gt;")+SUMIFS('4. Aktivity'!$B$4:$B$112,'4. Aktivity'!$C$4:$C$112,"T",'4. Aktivity'!$D$4:$D$112,"&lt;&gt;")</f>
        <v>1562252</v>
      </c>
      <c r="E20" s="948">
        <f t="shared" ref="E20:E23" si="1">D20/C20</f>
        <v>0.25391027003763506</v>
      </c>
      <c r="F20" s="1326">
        <f>C20-D20</f>
        <v>4590520</v>
      </c>
      <c r="G20" s="1326">
        <f>F20-'2. RD rozdiel'!M78</f>
        <v>-43605.968910997733</v>
      </c>
      <c r="H20" s="1329">
        <f>G20/'2. RD rozdiel'!M78</f>
        <v>-9.4097504477732123E-3</v>
      </c>
      <c r="J20" s="1342">
        <f>F20/D28</f>
        <v>7.2617349948914084E-2</v>
      </c>
      <c r="K20" s="1341">
        <f>'2. RD rozdiel'!M78/'3. R-STU'!D38</f>
        <v>7.4406723962390509E-2</v>
      </c>
    </row>
    <row r="21" spans="1:11">
      <c r="A21" s="424" t="s">
        <v>240</v>
      </c>
      <c r="B21" s="425" t="s">
        <v>233</v>
      </c>
      <c r="C21" s="975">
        <f>'1. RD2021'!C15</f>
        <v>25131702</v>
      </c>
      <c r="D21" s="974">
        <f>SUMIFS($C$5:$C$14,$D$5:$D$14,"V",$E$5:$E$14,"&lt;&gt;")+SUMIFS('4. Aktivity'!$B$4:$B$112,'4. Aktivity'!$C$4:$C$112,"V",'4. Aktivity'!$D$4:$D$112,"&lt;&gt;")</f>
        <v>3061200</v>
      </c>
      <c r="E21" s="948">
        <f t="shared" si="1"/>
        <v>0.12180631459023349</v>
      </c>
      <c r="F21" s="1326">
        <f>C21-D21</f>
        <v>22070502</v>
      </c>
      <c r="G21" s="1326">
        <f>F21-'2. RD rozdiel'!M82</f>
        <v>1199506.4676258676</v>
      </c>
      <c r="H21" s="1329">
        <f>G21/'2. RD rozdiel'!M82</f>
        <v>5.7472412648704181E-2</v>
      </c>
      <c r="J21" s="1342">
        <f>F21/D28</f>
        <v>0.34913285799478233</v>
      </c>
      <c r="K21" s="1341">
        <f>'2. RD rozdiel'!M82/'3. R-STU'!D38</f>
        <v>0.33511009709617007</v>
      </c>
    </row>
    <row r="22" spans="1:11">
      <c r="A22" s="424" t="s">
        <v>63</v>
      </c>
      <c r="B22" s="426" t="s">
        <v>234</v>
      </c>
      <c r="C22" s="975">
        <v>0</v>
      </c>
      <c r="D22" s="974">
        <f>SUMIFS($C$5:$C$14,$D$5:$D$14,"R",$E$5:$E$14,"&lt;&gt;")+SUMIFS('4. Aktivity'!$B$4:$B$112,'4. Aktivity'!$C$4:$C$112,"R",'4. Aktivity'!$D$4:$D$112,"&lt;&gt;")</f>
        <v>0</v>
      </c>
      <c r="E22" s="948"/>
      <c r="F22" s="1326">
        <f>C22-D22</f>
        <v>0</v>
      </c>
      <c r="G22" s="1326"/>
      <c r="H22" s="978"/>
      <c r="J22" s="1360" t="s">
        <v>511</v>
      </c>
      <c r="K22" s="1361"/>
    </row>
    <row r="23" spans="1:11" ht="15.75" thickBot="1">
      <c r="A23" s="427" t="s">
        <v>241</v>
      </c>
      <c r="B23" s="428" t="s">
        <v>235</v>
      </c>
      <c r="C23" s="976">
        <f>'1. RD2021'!C19</f>
        <v>5908557</v>
      </c>
      <c r="D23" s="977">
        <f>SUMIFS($C$5:$C$14,$D$5:$D$14,"S",$E$5:$E$14,"&lt;&gt;")+SUMIFS('4. Aktivity'!$B$4:$B$112,'4. Aktivity'!$C$4:$C$112,"S",'4. Aktivity'!$D$4:$D$112,"&lt;&gt;")</f>
        <v>124113</v>
      </c>
      <c r="E23" s="946">
        <f t="shared" si="1"/>
        <v>2.1005636401578254E-2</v>
      </c>
      <c r="F23" s="1327">
        <f>C23-D23</f>
        <v>5784444</v>
      </c>
      <c r="G23" s="1327"/>
      <c r="H23" s="979"/>
      <c r="J23" s="1362"/>
      <c r="K23" s="1363"/>
    </row>
    <row r="25" spans="1:11" s="1001" customFormat="1">
      <c r="F25" s="528"/>
      <c r="G25" s="953"/>
    </row>
    <row r="26" spans="1:11" s="1001" customFormat="1" ht="15.75" thickBot="1">
      <c r="A26" s="1366" t="s">
        <v>503</v>
      </c>
      <c r="B26" s="1366"/>
      <c r="C26" s="1366"/>
      <c r="D26" s="1366"/>
      <c r="E26" s="1366"/>
      <c r="F26" s="528"/>
      <c r="G26" s="953"/>
    </row>
    <row r="27" spans="1:11" s="1001" customFormat="1" ht="15.75" thickBot="1">
      <c r="A27" s="1367" t="s">
        <v>452</v>
      </c>
      <c r="B27" s="1244" t="s">
        <v>424</v>
      </c>
      <c r="C27" s="1244" t="s">
        <v>425</v>
      </c>
      <c r="D27" s="1244" t="s">
        <v>426</v>
      </c>
      <c r="E27" s="1244" t="s">
        <v>383</v>
      </c>
      <c r="F27" s="1245" t="s">
        <v>483</v>
      </c>
      <c r="G27" s="953"/>
    </row>
    <row r="28" spans="1:11" s="1001" customFormat="1">
      <c r="A28" s="1368"/>
      <c r="B28" s="1246" t="s">
        <v>422</v>
      </c>
      <c r="C28" s="1247">
        <f>C5+C7</f>
        <v>2200000</v>
      </c>
      <c r="D28" s="1383">
        <v>63215195.862000011</v>
      </c>
      <c r="E28" s="1248">
        <f>C28/D$28</f>
        <v>3.4801758817652677E-2</v>
      </c>
      <c r="F28" s="1374">
        <v>2021</v>
      </c>
      <c r="G28" s="953"/>
    </row>
    <row r="29" spans="1:11" s="1001" customFormat="1">
      <c r="A29" s="1368"/>
      <c r="B29" s="1249" t="s">
        <v>427</v>
      </c>
      <c r="C29" s="1303">
        <f>C6+C8</f>
        <v>774400</v>
      </c>
      <c r="D29" s="1384"/>
      <c r="E29" s="1304">
        <f t="shared" ref="E29:E31" si="2">C29/D$28</f>
        <v>1.2250219103813742E-2</v>
      </c>
      <c r="F29" s="1375"/>
      <c r="G29" s="953"/>
    </row>
    <row r="30" spans="1:11" s="1001" customFormat="1">
      <c r="A30" s="1368"/>
      <c r="B30" s="1249" t="s">
        <v>423</v>
      </c>
      <c r="C30" s="1303">
        <f>C10</f>
        <v>780000</v>
      </c>
      <c r="D30" s="1384"/>
      <c r="E30" s="1304">
        <f t="shared" si="2"/>
        <v>1.233880539898595E-2</v>
      </c>
      <c r="F30" s="1375"/>
      <c r="G30" s="953"/>
    </row>
    <row r="31" spans="1:11" s="1001" customFormat="1">
      <c r="A31" s="1368"/>
      <c r="B31" s="1249" t="s">
        <v>435</v>
      </c>
      <c r="C31" s="1303">
        <f>'4. Aktivity'!B8+'4. Aktivity'!B13+'4. Aktivity'!B29+'4. Aktivity'!B45</f>
        <v>1580961</v>
      </c>
      <c r="D31" s="1384"/>
      <c r="E31" s="1304">
        <f t="shared" si="2"/>
        <v>2.5009192464597724E-2</v>
      </c>
      <c r="F31" s="1375"/>
      <c r="G31" s="953"/>
    </row>
    <row r="32" spans="1:11" s="1001" customFormat="1">
      <c r="A32" s="1368"/>
      <c r="B32" s="1249" t="s">
        <v>436</v>
      </c>
      <c r="C32" s="1303">
        <f>'1. RD2021'!Q5</f>
        <v>1453700.03</v>
      </c>
      <c r="D32" s="1384"/>
      <c r="E32" s="1304">
        <f>C32/D$28</f>
        <v>2.2996053562397485E-2</v>
      </c>
      <c r="F32" s="1375"/>
      <c r="G32" s="953"/>
    </row>
    <row r="33" spans="1:8" s="1001" customFormat="1">
      <c r="A33" s="1368"/>
      <c r="B33" s="1249" t="s">
        <v>481</v>
      </c>
      <c r="C33" s="1303">
        <f>C32-'4. Aktivity'!B59</f>
        <v>853700.03</v>
      </c>
      <c r="D33" s="1384"/>
      <c r="E33" s="1304">
        <f t="shared" ref="E33:E34" si="3">C33/D$28</f>
        <v>1.3504664793946753E-2</v>
      </c>
      <c r="F33" s="1375"/>
      <c r="G33" s="953"/>
    </row>
    <row r="34" spans="1:8" s="1001" customFormat="1">
      <c r="A34" s="1368"/>
      <c r="B34" s="1249" t="s">
        <v>484</v>
      </c>
      <c r="C34" s="1303">
        <f>C35-'4. Aktivity'!B59</f>
        <v>6315500.3930737078</v>
      </c>
      <c r="D34" s="1384"/>
      <c r="E34" s="1304">
        <f t="shared" si="3"/>
        <v>9.9904782496609945E-2</v>
      </c>
      <c r="F34" s="1375"/>
      <c r="G34" s="953"/>
    </row>
    <row r="35" spans="1:8" s="1001" customFormat="1">
      <c r="A35" s="1368"/>
      <c r="B35" s="1249" t="s">
        <v>485</v>
      </c>
      <c r="C35" s="1303">
        <f>D28-C37</f>
        <v>6915500.3930737078</v>
      </c>
      <c r="D35" s="1384"/>
      <c r="E35" s="1304">
        <f>C35/D$28</f>
        <v>0.10939617126506067</v>
      </c>
      <c r="F35" s="1375"/>
      <c r="G35" s="953"/>
    </row>
    <row r="36" spans="1:8" s="1001" customFormat="1">
      <c r="A36" s="1368"/>
      <c r="B36" s="1331" t="s">
        <v>507</v>
      </c>
      <c r="C36" s="1332">
        <f>SUM('4. Aktivity'!B20:B23,'4. Aktivity'!B51:B56)</f>
        <v>631120</v>
      </c>
      <c r="D36" s="1384"/>
      <c r="E36" s="1304">
        <f>C36/D$28</f>
        <v>9.9836754659077091E-3</v>
      </c>
      <c r="F36" s="1375"/>
      <c r="G36" s="953"/>
    </row>
    <row r="37" spans="1:8" s="1001" customFormat="1" ht="15.75" thickBot="1">
      <c r="A37" s="1368"/>
      <c r="B37" s="1250" t="s">
        <v>482</v>
      </c>
      <c r="C37" s="1251">
        <f>'1. RD2021'!M6+'1. RD2021'!M14-'1. RD2021'!M9*1.352-'1. RD2021'!M13-'1. RD2021'!M17</f>
        <v>56299695.468926303</v>
      </c>
      <c r="D37" s="1385"/>
      <c r="E37" s="1252">
        <f>C37/D$28</f>
        <v>0.89060382873493937</v>
      </c>
      <c r="F37" s="1376"/>
      <c r="G37" s="945"/>
      <c r="H37" s="1343"/>
    </row>
    <row r="38" spans="1:8" s="1001" customFormat="1">
      <c r="A38" s="1368"/>
      <c r="B38" s="1305" t="s">
        <v>485</v>
      </c>
      <c r="C38" s="1253">
        <f>D38-C40</f>
        <v>6909566.200000003</v>
      </c>
      <c r="D38" s="1386">
        <v>62281010.668516397</v>
      </c>
      <c r="E38" s="1254">
        <f>C38/D$38</f>
        <v>0.11094178026068627</v>
      </c>
      <c r="F38" s="1377">
        <v>2020</v>
      </c>
      <c r="G38" s="953"/>
    </row>
    <row r="39" spans="1:8" s="1001" customFormat="1">
      <c r="A39" s="1368"/>
      <c r="B39" s="1333" t="s">
        <v>507</v>
      </c>
      <c r="C39" s="1334">
        <f>'2. RD rozdiel'!M76+'2. RD rozdiel'!M80+'2. RD rozdiel'!M84</f>
        <v>828202.99999999988</v>
      </c>
      <c r="D39" s="1387"/>
      <c r="E39" s="1338">
        <f>C39/D$38</f>
        <v>1.3297841366255539E-2</v>
      </c>
      <c r="F39" s="1378"/>
      <c r="G39" s="953"/>
    </row>
    <row r="40" spans="1:8" s="1001" customFormat="1" ht="15.75" thickBot="1">
      <c r="A40" s="1368"/>
      <c r="B40" s="1255" t="s">
        <v>482</v>
      </c>
      <c r="C40" s="1256">
        <f>'2. RD rozdiel'!M73+'2. RD rozdiel'!M81-'2. RD rozdiel'!M76*1.352-'2. RD rozdiel'!M80-'2. RD rozdiel'!M84</f>
        <v>55371444.468516394</v>
      </c>
      <c r="D40" s="1388"/>
      <c r="E40" s="1306">
        <f>C40/D$38</f>
        <v>0.88905821973931376</v>
      </c>
      <c r="F40" s="1379"/>
      <c r="G40" s="953"/>
    </row>
    <row r="41" spans="1:8" s="1001" customFormat="1">
      <c r="A41" s="1368"/>
      <c r="B41" s="1307" t="s">
        <v>485</v>
      </c>
      <c r="C41" s="1257">
        <f>D41-C43</f>
        <v>7723265.8189722076</v>
      </c>
      <c r="D41" s="1389">
        <v>53127743.331626005</v>
      </c>
      <c r="E41" s="1337">
        <f>C41/D$41</f>
        <v>0.14537161442682028</v>
      </c>
      <c r="F41" s="1380">
        <v>2019</v>
      </c>
      <c r="G41" s="953"/>
    </row>
    <row r="42" spans="1:8" s="1001" customFormat="1">
      <c r="A42" s="1369"/>
      <c r="B42" s="1335" t="s">
        <v>507</v>
      </c>
      <c r="C42" s="1336">
        <f>'2. RD rozdiel'!M107+'2. RD rozdiel'!M111+'2. RD rozdiel'!M115</f>
        <v>407492</v>
      </c>
      <c r="D42" s="1390"/>
      <c r="E42" s="1340">
        <f>C42/D$41</f>
        <v>7.6700415723742442E-3</v>
      </c>
      <c r="F42" s="1381"/>
      <c r="G42" s="953"/>
    </row>
    <row r="43" spans="1:8" s="1001" customFormat="1" ht="15.75" thickBot="1">
      <c r="A43" s="1370"/>
      <c r="B43" s="1258" t="s">
        <v>482</v>
      </c>
      <c r="C43" s="1259">
        <f>'2. RD rozdiel'!M104+'2. RD rozdiel'!M112-'2. RD rozdiel'!M107*1.352-'2. RD rozdiel'!M111-'2. RD rozdiel'!M115</f>
        <v>45404477.512653798</v>
      </c>
      <c r="D43" s="1391"/>
      <c r="E43" s="1339">
        <f>C43/D$41</f>
        <v>0.85462838557317977</v>
      </c>
      <c r="F43" s="1382"/>
      <c r="G43" s="953"/>
    </row>
    <row r="44" spans="1:8" s="1001" customFormat="1">
      <c r="A44" s="1241"/>
      <c r="B44" s="1242"/>
      <c r="C44" s="1243"/>
      <c r="D44" s="1017"/>
      <c r="E44" s="1018"/>
      <c r="F44" s="528"/>
      <c r="G44" s="953"/>
    </row>
    <row r="45" spans="1:8" s="1001" customFormat="1">
      <c r="B45" s="1015"/>
      <c r="C45" s="1016"/>
      <c r="D45" s="1017"/>
      <c r="E45" s="1018"/>
      <c r="F45" s="528"/>
      <c r="G45" s="953"/>
    </row>
    <row r="46" spans="1:8" s="1001" customFormat="1">
      <c r="F46" s="528"/>
      <c r="G46" s="953"/>
    </row>
    <row r="47" spans="1:8" s="950" customFormat="1">
      <c r="F47" s="528"/>
      <c r="G47" s="953"/>
    </row>
    <row r="48" spans="1:8" ht="15.75" thickBot="1">
      <c r="A48" s="1365" t="s">
        <v>412</v>
      </c>
      <c r="B48" s="1365"/>
      <c r="C48" s="1365"/>
    </row>
    <row r="49" spans="1:7" ht="15.75" thickBot="1">
      <c r="A49" s="988" t="s">
        <v>237</v>
      </c>
      <c r="B49" s="1356" t="s">
        <v>245</v>
      </c>
      <c r="C49" s="1357"/>
    </row>
    <row r="50" spans="1:7" ht="15.75" thickTop="1">
      <c r="A50" s="952" t="s">
        <v>247</v>
      </c>
      <c r="B50" s="1358" t="s">
        <v>6</v>
      </c>
      <c r="C50" s="1359"/>
    </row>
    <row r="51" spans="1:7">
      <c r="A51" s="987" t="s">
        <v>248</v>
      </c>
      <c r="B51" s="1350" t="s">
        <v>3</v>
      </c>
      <c r="C51" s="1351"/>
    </row>
    <row r="52" spans="1:7">
      <c r="A52" s="987" t="s">
        <v>249</v>
      </c>
      <c r="B52" s="1350" t="s">
        <v>5</v>
      </c>
      <c r="C52" s="1351"/>
    </row>
    <row r="53" spans="1:7">
      <c r="A53" s="987" t="s">
        <v>250</v>
      </c>
      <c r="B53" s="1350" t="s">
        <v>7</v>
      </c>
      <c r="C53" s="1351"/>
    </row>
    <row r="54" spans="1:7">
      <c r="A54" s="987" t="s">
        <v>251</v>
      </c>
      <c r="B54" s="1350" t="s">
        <v>0</v>
      </c>
      <c r="C54" s="1351"/>
    </row>
    <row r="55" spans="1:7">
      <c r="A55" s="987" t="s">
        <v>252</v>
      </c>
      <c r="B55" s="1350" t="s">
        <v>1</v>
      </c>
      <c r="C55" s="1351"/>
    </row>
    <row r="56" spans="1:7">
      <c r="A56" s="987" t="s">
        <v>253</v>
      </c>
      <c r="B56" s="1350" t="s">
        <v>4</v>
      </c>
      <c r="C56" s="1351"/>
    </row>
    <row r="57" spans="1:7">
      <c r="A57" s="987" t="s">
        <v>254</v>
      </c>
      <c r="B57" s="1350" t="s">
        <v>17</v>
      </c>
      <c r="C57" s="1351"/>
    </row>
    <row r="58" spans="1:7">
      <c r="A58" s="987" t="s">
        <v>255</v>
      </c>
      <c r="B58" s="1350" t="s">
        <v>205</v>
      </c>
      <c r="C58" s="1351"/>
    </row>
    <row r="59" spans="1:7">
      <c r="A59" s="987" t="s">
        <v>256</v>
      </c>
      <c r="B59" s="1350" t="s">
        <v>64</v>
      </c>
      <c r="C59" s="1351"/>
    </row>
    <row r="60" spans="1:7">
      <c r="A60" s="987" t="s">
        <v>257</v>
      </c>
      <c r="B60" s="1350" t="s">
        <v>209</v>
      </c>
      <c r="C60" s="1351"/>
    </row>
    <row r="61" spans="1:7" s="1001" customFormat="1">
      <c r="A61" s="987" t="s">
        <v>410</v>
      </c>
      <c r="B61" s="1354" t="s">
        <v>435</v>
      </c>
      <c r="C61" s="1355"/>
      <c r="F61" s="528"/>
      <c r="G61" s="953"/>
    </row>
    <row r="62" spans="1:7" ht="15.75" thickBot="1">
      <c r="A62" s="1095" t="s">
        <v>438</v>
      </c>
      <c r="B62" s="1352" t="s">
        <v>436</v>
      </c>
      <c r="C62" s="1353"/>
    </row>
  </sheetData>
  <sheetProtection algorithmName="SHA-512" hashValue="gMkVzEjcrgxU40Li7ZcgKsSg0JAJWYgI2rMM6mwMMpz8hcO20ProyVmIZFJr+W2VA8hd2LQfBjEJlXScQaFNiQ==" saltValue="Tvr1riXT6m7m5yTv0T3blw==" spinCount="100000" sheet="1" objects="1" scenarios="1"/>
  <mergeCells count="27">
    <mergeCell ref="J22:K23"/>
    <mergeCell ref="B1:G1"/>
    <mergeCell ref="A17:F17"/>
    <mergeCell ref="A48:C48"/>
    <mergeCell ref="B54:C54"/>
    <mergeCell ref="A26:E26"/>
    <mergeCell ref="A27:A43"/>
    <mergeCell ref="A5:A14"/>
    <mergeCell ref="F28:F37"/>
    <mergeCell ref="F38:F40"/>
    <mergeCell ref="F41:F43"/>
    <mergeCell ref="D28:D37"/>
    <mergeCell ref="D38:D40"/>
    <mergeCell ref="D41:D43"/>
    <mergeCell ref="B55:C55"/>
    <mergeCell ref="B49:C49"/>
    <mergeCell ref="B50:C50"/>
    <mergeCell ref="B51:C51"/>
    <mergeCell ref="B52:C52"/>
    <mergeCell ref="B53:C53"/>
    <mergeCell ref="B59:C59"/>
    <mergeCell ref="B60:C60"/>
    <mergeCell ref="B62:C62"/>
    <mergeCell ref="B56:C56"/>
    <mergeCell ref="B57:C57"/>
    <mergeCell ref="B58:C58"/>
    <mergeCell ref="B61:C61"/>
  </mergeCells>
  <conditionalFormatting sqref="G5:G10">
    <cfRule type="cellIs" dxfId="19" priority="4" operator="greaterThan">
      <formula>0</formula>
    </cfRule>
  </conditionalFormatting>
  <conditionalFormatting sqref="G4:G10">
    <cfRule type="cellIs" dxfId="18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G9" formula="1"/>
    <ignoredError sqref="C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H112"/>
  <sheetViews>
    <sheetView tabSelected="1" zoomScale="115" zoomScaleNormal="115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H52" sqref="H52"/>
    </sheetView>
  </sheetViews>
  <sheetFormatPr defaultRowHeight="15"/>
  <cols>
    <col min="1" max="1" width="39.140625" customWidth="1"/>
    <col min="2" max="2" width="16.42578125" customWidth="1"/>
    <col min="3" max="3" width="12.42578125" customWidth="1"/>
    <col min="4" max="4" width="11.140625" customWidth="1"/>
    <col min="5" max="5" width="13.28515625" customWidth="1"/>
    <col min="6" max="7" width="17.85546875" customWidth="1"/>
    <col min="8" max="8" width="85.140625" style="982" customWidth="1"/>
  </cols>
  <sheetData>
    <row r="1" spans="1:8" s="950" customFormat="1" ht="25.5" customHeight="1">
      <c r="A1" s="1398" t="s">
        <v>457</v>
      </c>
      <c r="B1" s="1398"/>
      <c r="C1" s="1398"/>
      <c r="D1" s="1398"/>
      <c r="E1" s="1398"/>
      <c r="F1" s="1398"/>
      <c r="G1" s="1398"/>
      <c r="H1" s="982"/>
    </row>
    <row r="2" spans="1:8" s="950" customFormat="1" ht="15.75" thickBot="1">
      <c r="H2" s="982"/>
    </row>
    <row r="3" spans="1:8" ht="15.75" thickBot="1">
      <c r="A3" s="1020" t="s">
        <v>243</v>
      </c>
      <c r="B3" s="1034" t="s">
        <v>388</v>
      </c>
      <c r="C3" s="1027" t="s">
        <v>244</v>
      </c>
      <c r="D3" s="990" t="s">
        <v>245</v>
      </c>
      <c r="E3" s="1041" t="s">
        <v>273</v>
      </c>
      <c r="F3" s="1051" t="s">
        <v>389</v>
      </c>
      <c r="G3" s="1027" t="s">
        <v>390</v>
      </c>
      <c r="H3" s="990" t="s">
        <v>397</v>
      </c>
    </row>
    <row r="4" spans="1:8" ht="19.5" thickTop="1">
      <c r="A4" s="1392" t="s">
        <v>458</v>
      </c>
      <c r="B4" s="1393"/>
      <c r="C4" s="1393"/>
      <c r="D4" s="1393"/>
      <c r="E4" s="1393"/>
      <c r="F4" s="1393"/>
      <c r="G4" s="1394"/>
      <c r="H4" s="989"/>
    </row>
    <row r="5" spans="1:8">
      <c r="A5" s="1133" t="s">
        <v>398</v>
      </c>
      <c r="B5" s="1035">
        <v>59226</v>
      </c>
      <c r="C5" s="1028" t="s">
        <v>241</v>
      </c>
      <c r="D5" s="955" t="s">
        <v>410</v>
      </c>
      <c r="E5" s="1042">
        <v>55424</v>
      </c>
      <c r="F5" s="1052">
        <f>B5-E5</f>
        <v>3802</v>
      </c>
      <c r="G5" s="1048"/>
      <c r="H5" s="980"/>
    </row>
    <row r="6" spans="1:8" s="1001" customFormat="1">
      <c r="A6" s="1134" t="s">
        <v>432</v>
      </c>
      <c r="B6" s="1036">
        <v>44887</v>
      </c>
      <c r="C6" s="1029" t="s">
        <v>241</v>
      </c>
      <c r="D6" s="993" t="s">
        <v>410</v>
      </c>
      <c r="E6" s="1042">
        <v>68830</v>
      </c>
      <c r="F6" s="1052">
        <f>B6-E6</f>
        <v>-23943</v>
      </c>
      <c r="G6" s="1049"/>
      <c r="H6" s="1078"/>
    </row>
    <row r="7" spans="1:8" s="950" customFormat="1">
      <c r="A7" s="1021"/>
      <c r="B7" s="1036"/>
      <c r="C7" s="1029"/>
      <c r="D7" s="993"/>
      <c r="E7" s="1043"/>
      <c r="F7" s="1052">
        <f>B7-E7</f>
        <v>0</v>
      </c>
      <c r="G7" s="1049"/>
      <c r="H7" s="994"/>
    </row>
    <row r="8" spans="1:8" s="1320" customFormat="1" ht="15.75" thickBot="1">
      <c r="A8" s="1137" t="s">
        <v>444</v>
      </c>
      <c r="B8" s="1037">
        <f>SUM(B5:B7)</f>
        <v>104113</v>
      </c>
      <c r="C8" s="1030"/>
      <c r="D8" s="991"/>
      <c r="E8" s="1044">
        <f t="shared" ref="E8:F8" si="0">SUM(E5:E7)</f>
        <v>124254</v>
      </c>
      <c r="F8" s="1053">
        <f t="shared" si="0"/>
        <v>-20141</v>
      </c>
      <c r="G8" s="1324" t="s">
        <v>505</v>
      </c>
      <c r="H8" s="1319"/>
    </row>
    <row r="9" spans="1:8" ht="19.5" thickTop="1">
      <c r="A9" s="1392" t="s">
        <v>392</v>
      </c>
      <c r="B9" s="1393"/>
      <c r="C9" s="1393"/>
      <c r="D9" s="1393"/>
      <c r="E9" s="1393"/>
      <c r="F9" s="1393"/>
      <c r="G9" s="1394"/>
      <c r="H9" s="989"/>
    </row>
    <row r="10" spans="1:8" ht="24" customHeight="1">
      <c r="A10" s="1135" t="s">
        <v>413</v>
      </c>
      <c r="B10" s="1035">
        <v>38000</v>
      </c>
      <c r="C10" s="1157" t="s">
        <v>239</v>
      </c>
      <c r="D10" s="1158" t="s">
        <v>410</v>
      </c>
      <c r="E10" s="1126">
        <v>25000</v>
      </c>
      <c r="F10" s="1127">
        <f t="shared" ref="F10:F65" si="1">B10-E10</f>
        <v>13000</v>
      </c>
      <c r="G10" s="1156">
        <v>41150</v>
      </c>
      <c r="H10" s="980"/>
    </row>
    <row r="11" spans="1:8" s="950" customFormat="1">
      <c r="A11" s="1135" t="s">
        <v>401</v>
      </c>
      <c r="B11" s="1035">
        <v>75000</v>
      </c>
      <c r="C11" s="1028" t="s">
        <v>239</v>
      </c>
      <c r="D11" s="955" t="s">
        <v>410</v>
      </c>
      <c r="E11" s="1042">
        <v>0</v>
      </c>
      <c r="F11" s="1052">
        <f t="shared" ref="F11:F12" si="2">B11-E11</f>
        <v>75000</v>
      </c>
      <c r="G11" s="1050">
        <v>150000</v>
      </c>
      <c r="H11" s="980"/>
    </row>
    <row r="12" spans="1:8" s="950" customFormat="1">
      <c r="A12" s="1022"/>
      <c r="B12" s="1035"/>
      <c r="C12" s="1028"/>
      <c r="D12" s="955"/>
      <c r="E12" s="1042"/>
      <c r="F12" s="1052">
        <f t="shared" si="2"/>
        <v>0</v>
      </c>
      <c r="G12" s="1050"/>
      <c r="H12" s="980"/>
    </row>
    <row r="13" spans="1:8" s="1090" customFormat="1" ht="15.75" thickBot="1">
      <c r="A13" s="1138" t="s">
        <v>445</v>
      </c>
      <c r="B13" s="1037">
        <f>SUM(B10:B12)</f>
        <v>113000</v>
      </c>
      <c r="C13" s="1030"/>
      <c r="D13" s="991"/>
      <c r="E13" s="1044">
        <f t="shared" ref="E13:F13" si="3">SUM(E10:E12)</f>
        <v>25000</v>
      </c>
      <c r="F13" s="1053">
        <f t="shared" si="3"/>
        <v>88000</v>
      </c>
      <c r="G13" s="1325">
        <f>B13/('1. RD2021'!$C$6+'1. RD2021'!$C$14)</f>
        <v>1.7875448949046578E-3</v>
      </c>
      <c r="H13" s="1319"/>
    </row>
    <row r="14" spans="1:8" ht="19.5" thickTop="1">
      <c r="A14" s="1392" t="s">
        <v>393</v>
      </c>
      <c r="B14" s="1393"/>
      <c r="C14" s="1393"/>
      <c r="D14" s="1393"/>
      <c r="E14" s="1393"/>
      <c r="F14" s="1393"/>
      <c r="G14" s="1394"/>
      <c r="H14" s="989"/>
    </row>
    <row r="15" spans="1:8">
      <c r="A15" s="1133" t="s">
        <v>373</v>
      </c>
      <c r="B15" s="1035">
        <v>494252</v>
      </c>
      <c r="C15" s="1028" t="s">
        <v>239</v>
      </c>
      <c r="D15" s="955" t="s">
        <v>410</v>
      </c>
      <c r="E15" s="1042">
        <v>509684</v>
      </c>
      <c r="F15" s="1344">
        <f t="shared" si="1"/>
        <v>-15432</v>
      </c>
      <c r="G15" s="1050">
        <v>494252</v>
      </c>
      <c r="H15" s="980"/>
    </row>
    <row r="16" spans="1:8">
      <c r="A16" s="1133" t="s">
        <v>385</v>
      </c>
      <c r="B16" s="1035">
        <v>113460</v>
      </c>
      <c r="C16" s="1028" t="s">
        <v>240</v>
      </c>
      <c r="D16" s="955" t="s">
        <v>410</v>
      </c>
      <c r="E16" s="1042">
        <v>105000</v>
      </c>
      <c r="F16" s="1344">
        <f t="shared" si="1"/>
        <v>8460</v>
      </c>
      <c r="G16" s="1050">
        <v>113460</v>
      </c>
      <c r="H16" s="980"/>
    </row>
    <row r="17" spans="1:8">
      <c r="A17" s="1133" t="s">
        <v>374</v>
      </c>
      <c r="B17" s="1035">
        <v>100000</v>
      </c>
      <c r="C17" s="1028" t="s">
        <v>240</v>
      </c>
      <c r="D17" s="955" t="s">
        <v>410</v>
      </c>
      <c r="E17" s="1042">
        <v>100000</v>
      </c>
      <c r="F17" s="1344">
        <f t="shared" si="1"/>
        <v>0</v>
      </c>
      <c r="G17" s="1050">
        <v>193700</v>
      </c>
      <c r="H17" s="980"/>
    </row>
    <row r="18" spans="1:8">
      <c r="A18" s="1133" t="s">
        <v>375</v>
      </c>
      <c r="B18" s="1035">
        <v>25000</v>
      </c>
      <c r="C18" s="1028" t="s">
        <v>240</v>
      </c>
      <c r="D18" s="955" t="s">
        <v>410</v>
      </c>
      <c r="E18" s="1042">
        <v>10000</v>
      </c>
      <c r="F18" s="1344">
        <f t="shared" si="1"/>
        <v>15000</v>
      </c>
      <c r="G18" s="1050">
        <v>25000</v>
      </c>
      <c r="H18" s="980"/>
    </row>
    <row r="19" spans="1:8">
      <c r="A19" s="1133" t="s">
        <v>402</v>
      </c>
      <c r="B19" s="1038">
        <v>68952</v>
      </c>
      <c r="C19" s="1028" t="s">
        <v>238</v>
      </c>
      <c r="D19" s="955" t="s">
        <v>410</v>
      </c>
      <c r="E19" s="1399">
        <v>117600</v>
      </c>
      <c r="F19" s="1400">
        <f>SUM(B19:B23)-E19</f>
        <v>32472</v>
      </c>
      <c r="G19" s="1401">
        <v>150000</v>
      </c>
      <c r="H19" s="980"/>
    </row>
    <row r="20" spans="1:8">
      <c r="A20" s="1133" t="s">
        <v>402</v>
      </c>
      <c r="B20" s="1038">
        <v>20280</v>
      </c>
      <c r="C20" s="1028" t="s">
        <v>238</v>
      </c>
      <c r="D20" s="955" t="s">
        <v>248</v>
      </c>
      <c r="E20" s="1399"/>
      <c r="F20" s="1400"/>
      <c r="G20" s="1401"/>
      <c r="H20" s="980"/>
    </row>
    <row r="21" spans="1:8">
      <c r="A21" s="1133" t="s">
        <v>402</v>
      </c>
      <c r="B21" s="1038">
        <v>20280</v>
      </c>
      <c r="C21" s="1028" t="s">
        <v>238</v>
      </c>
      <c r="D21" s="955" t="s">
        <v>250</v>
      </c>
      <c r="E21" s="1399"/>
      <c r="F21" s="1400"/>
      <c r="G21" s="1401"/>
      <c r="H21" s="980"/>
    </row>
    <row r="22" spans="1:8">
      <c r="A22" s="1133" t="s">
        <v>402</v>
      </c>
      <c r="B22" s="1038">
        <v>20280</v>
      </c>
      <c r="C22" s="1028" t="s">
        <v>238</v>
      </c>
      <c r="D22" s="955" t="s">
        <v>253</v>
      </c>
      <c r="E22" s="1399"/>
      <c r="F22" s="1400"/>
      <c r="G22" s="1401"/>
      <c r="H22" s="980"/>
    </row>
    <row r="23" spans="1:8">
      <c r="A23" s="1133" t="s">
        <v>402</v>
      </c>
      <c r="B23" s="1038">
        <v>20280</v>
      </c>
      <c r="C23" s="1028" t="s">
        <v>238</v>
      </c>
      <c r="D23" s="955" t="s">
        <v>251</v>
      </c>
      <c r="E23" s="1399"/>
      <c r="F23" s="1400"/>
      <c r="G23" s="1401"/>
      <c r="H23" s="980"/>
    </row>
    <row r="24" spans="1:8">
      <c r="A24" s="1133" t="s">
        <v>403</v>
      </c>
      <c r="B24" s="1038">
        <v>16224</v>
      </c>
      <c r="C24" s="1028" t="s">
        <v>238</v>
      </c>
      <c r="D24" s="955" t="s">
        <v>410</v>
      </c>
      <c r="E24" s="1042">
        <v>14602</v>
      </c>
      <c r="F24" s="1344">
        <f t="shared" si="1"/>
        <v>1622</v>
      </c>
      <c r="G24" s="1050">
        <v>16224</v>
      </c>
      <c r="H24" s="980"/>
    </row>
    <row r="25" spans="1:8">
      <c r="A25" s="1133" t="s">
        <v>376</v>
      </c>
      <c r="B25" s="1035">
        <v>4000</v>
      </c>
      <c r="C25" s="1028" t="s">
        <v>239</v>
      </c>
      <c r="D25" s="955" t="s">
        <v>410</v>
      </c>
      <c r="E25" s="1042">
        <v>35000</v>
      </c>
      <c r="F25" s="1344">
        <f t="shared" si="1"/>
        <v>-31000</v>
      </c>
      <c r="G25" s="1050">
        <v>4000</v>
      </c>
      <c r="H25" s="980"/>
    </row>
    <row r="26" spans="1:8" ht="24" customHeight="1">
      <c r="A26" s="1133" t="s">
        <v>396</v>
      </c>
      <c r="B26" s="1035">
        <v>150020</v>
      </c>
      <c r="C26" s="1157" t="s">
        <v>240</v>
      </c>
      <c r="D26" s="1158" t="s">
        <v>410</v>
      </c>
      <c r="E26" s="1126">
        <v>247174</v>
      </c>
      <c r="F26" s="1345">
        <f t="shared" si="1"/>
        <v>-97154</v>
      </c>
      <c r="G26" s="1156">
        <v>150020</v>
      </c>
      <c r="H26" s="981"/>
    </row>
    <row r="27" spans="1:8" ht="24" customHeight="1">
      <c r="A27" s="1133" t="s">
        <v>377</v>
      </c>
      <c r="B27" s="1039">
        <v>23820</v>
      </c>
      <c r="C27" s="1157" t="s">
        <v>240</v>
      </c>
      <c r="D27" s="1158" t="s">
        <v>410</v>
      </c>
      <c r="E27" s="1126">
        <v>0</v>
      </c>
      <c r="F27" s="1345">
        <f t="shared" si="1"/>
        <v>23820</v>
      </c>
      <c r="G27" s="1156">
        <v>23820</v>
      </c>
      <c r="H27" s="981"/>
    </row>
    <row r="28" spans="1:8" s="950" customFormat="1">
      <c r="A28" s="1024"/>
      <c r="B28" s="1039"/>
      <c r="C28" s="1028"/>
      <c r="D28" s="955"/>
      <c r="E28" s="1042"/>
      <c r="F28" s="1052">
        <f t="shared" si="1"/>
        <v>0</v>
      </c>
      <c r="G28" s="1050"/>
      <c r="H28" s="980"/>
    </row>
    <row r="29" spans="1:8" ht="15.75" thickBot="1">
      <c r="A29" s="1139" t="s">
        <v>456</v>
      </c>
      <c r="B29" s="1037">
        <f>SUM(B15:B28)</f>
        <v>1076848</v>
      </c>
      <c r="C29" s="1030"/>
      <c r="D29" s="991"/>
      <c r="E29" s="1044">
        <f t="shared" ref="E29:F29" si="4">SUM(E15:E28)</f>
        <v>1139060</v>
      </c>
      <c r="F29" s="1093">
        <f t="shared" si="4"/>
        <v>-62212</v>
      </c>
      <c r="G29" s="1325">
        <f>B29/('1. RD2021'!$C$6+'1. RD2021'!$C$14)</f>
        <v>1.7034638451223813E-2</v>
      </c>
      <c r="H29" s="1319"/>
    </row>
    <row r="30" spans="1:8" ht="20.25" thickTop="1" thickBot="1">
      <c r="A30" s="1395" t="s">
        <v>434</v>
      </c>
      <c r="B30" s="1396"/>
      <c r="C30" s="1396"/>
      <c r="D30" s="1396"/>
      <c r="E30" s="1396"/>
      <c r="F30" s="1396"/>
      <c r="G30" s="1397"/>
      <c r="H30" s="989"/>
    </row>
    <row r="31" spans="1:8">
      <c r="A31" s="1133" t="s">
        <v>378</v>
      </c>
      <c r="B31" s="1039">
        <v>50000</v>
      </c>
      <c r="C31" s="1028" t="s">
        <v>238</v>
      </c>
      <c r="D31" s="955" t="s">
        <v>410</v>
      </c>
      <c r="E31" s="1042">
        <v>131600</v>
      </c>
      <c r="F31" s="1058">
        <f t="shared" si="1"/>
        <v>-81600</v>
      </c>
      <c r="G31" s="1050">
        <v>126000</v>
      </c>
      <c r="H31" s="980"/>
    </row>
    <row r="32" spans="1:8">
      <c r="A32" s="1133" t="s">
        <v>414</v>
      </c>
      <c r="B32" s="1035">
        <v>5000</v>
      </c>
      <c r="C32" s="1330" t="s">
        <v>239</v>
      </c>
      <c r="D32" s="955" t="s">
        <v>410</v>
      </c>
      <c r="E32" s="1042">
        <v>5000</v>
      </c>
      <c r="F32" s="1052">
        <f t="shared" si="1"/>
        <v>0</v>
      </c>
      <c r="G32" s="1050">
        <v>5000</v>
      </c>
      <c r="H32" s="980"/>
    </row>
    <row r="33" spans="1:8" s="1001" customFormat="1">
      <c r="A33" s="1133" t="s">
        <v>442</v>
      </c>
      <c r="B33" s="1035">
        <v>10000</v>
      </c>
      <c r="C33" s="1028" t="s">
        <v>239</v>
      </c>
      <c r="D33" s="1012" t="s">
        <v>410</v>
      </c>
      <c r="E33" s="1042">
        <v>0</v>
      </c>
      <c r="F33" s="1052">
        <f t="shared" si="1"/>
        <v>10000</v>
      </c>
      <c r="G33" s="1050">
        <v>16000</v>
      </c>
      <c r="H33" s="1128"/>
    </row>
    <row r="34" spans="1:8" s="950" customFormat="1">
      <c r="A34" s="1133" t="s">
        <v>415</v>
      </c>
      <c r="B34" s="1035">
        <v>12000</v>
      </c>
      <c r="C34" s="1028" t="s">
        <v>240</v>
      </c>
      <c r="D34" s="955" t="s">
        <v>410</v>
      </c>
      <c r="E34" s="1042">
        <v>0</v>
      </c>
      <c r="F34" s="1052">
        <f t="shared" si="1"/>
        <v>12000</v>
      </c>
      <c r="G34" s="1050">
        <v>20000</v>
      </c>
      <c r="H34" s="980"/>
    </row>
    <row r="35" spans="1:8" s="950" customFormat="1">
      <c r="A35" s="1133" t="s">
        <v>416</v>
      </c>
      <c r="B35" s="1035">
        <v>9000</v>
      </c>
      <c r="C35" s="1028" t="s">
        <v>240</v>
      </c>
      <c r="D35" s="955" t="s">
        <v>410</v>
      </c>
      <c r="E35" s="1042">
        <v>0</v>
      </c>
      <c r="F35" s="1052">
        <f t="shared" si="1"/>
        <v>9000</v>
      </c>
      <c r="G35" s="1050">
        <v>15000</v>
      </c>
      <c r="H35" s="980"/>
    </row>
    <row r="36" spans="1:8">
      <c r="A36" s="1133" t="s">
        <v>417</v>
      </c>
      <c r="B36" s="1035">
        <v>20000</v>
      </c>
      <c r="C36" s="1028" t="s">
        <v>239</v>
      </c>
      <c r="D36" s="955" t="s">
        <v>410</v>
      </c>
      <c r="E36" s="1042">
        <v>80000</v>
      </c>
      <c r="F36" s="1052">
        <f t="shared" si="1"/>
        <v>-60000</v>
      </c>
      <c r="G36" s="1050">
        <v>80000</v>
      </c>
      <c r="H36" s="980"/>
    </row>
    <row r="37" spans="1:8">
      <c r="A37" s="1133" t="s">
        <v>418</v>
      </c>
      <c r="B37" s="1035">
        <v>60000</v>
      </c>
      <c r="C37" s="1028" t="s">
        <v>239</v>
      </c>
      <c r="D37" s="955" t="s">
        <v>410</v>
      </c>
      <c r="E37" s="1042">
        <v>110000</v>
      </c>
      <c r="F37" s="1052">
        <f t="shared" si="1"/>
        <v>-50000</v>
      </c>
      <c r="G37" s="1050">
        <v>183700</v>
      </c>
      <c r="H37" s="980"/>
    </row>
    <row r="38" spans="1:8">
      <c r="A38" s="1133" t="s">
        <v>419</v>
      </c>
      <c r="B38" s="1035">
        <v>26000</v>
      </c>
      <c r="C38" s="1028" t="s">
        <v>239</v>
      </c>
      <c r="D38" s="955" t="s">
        <v>410</v>
      </c>
      <c r="E38" s="1042">
        <v>27000</v>
      </c>
      <c r="F38" s="1052">
        <f t="shared" si="1"/>
        <v>-1000</v>
      </c>
      <c r="G38" s="1050">
        <v>50000</v>
      </c>
      <c r="H38" s="980"/>
    </row>
    <row r="39" spans="1:8">
      <c r="A39" s="1133" t="s">
        <v>380</v>
      </c>
      <c r="B39" s="1035">
        <v>0</v>
      </c>
      <c r="C39" s="1031" t="s">
        <v>238</v>
      </c>
      <c r="D39" s="955" t="s">
        <v>410</v>
      </c>
      <c r="E39" s="1042">
        <v>68830</v>
      </c>
      <c r="F39" s="1052">
        <f t="shared" si="1"/>
        <v>-68830</v>
      </c>
      <c r="G39" s="1050">
        <v>10000</v>
      </c>
      <c r="H39" s="980"/>
    </row>
    <row r="40" spans="1:8" s="1001" customFormat="1">
      <c r="A40" s="1133" t="s">
        <v>379</v>
      </c>
      <c r="B40" s="1035">
        <v>0</v>
      </c>
      <c r="C40" s="1028" t="s">
        <v>239</v>
      </c>
      <c r="D40" s="955" t="s">
        <v>410</v>
      </c>
      <c r="E40" s="1042">
        <v>14000</v>
      </c>
      <c r="F40" s="1052">
        <f t="shared" si="1"/>
        <v>-14000</v>
      </c>
      <c r="G40" s="1050">
        <v>30000</v>
      </c>
      <c r="H40" s="1128"/>
    </row>
    <row r="41" spans="1:8">
      <c r="A41" s="1133" t="s">
        <v>381</v>
      </c>
      <c r="B41" s="1035">
        <v>85500</v>
      </c>
      <c r="C41" s="1031" t="s">
        <v>240</v>
      </c>
      <c r="D41" s="955" t="s">
        <v>410</v>
      </c>
      <c r="E41" s="1042">
        <v>126000</v>
      </c>
      <c r="F41" s="1052">
        <f t="shared" si="1"/>
        <v>-40500</v>
      </c>
      <c r="G41" s="1050">
        <v>85500</v>
      </c>
      <c r="H41" s="980"/>
    </row>
    <row r="42" spans="1:8">
      <c r="A42" s="1133" t="s">
        <v>382</v>
      </c>
      <c r="B42" s="1035">
        <v>9500</v>
      </c>
      <c r="C42" s="1031" t="s">
        <v>240</v>
      </c>
      <c r="D42" s="955" t="s">
        <v>410</v>
      </c>
      <c r="E42" s="1042">
        <v>80000</v>
      </c>
      <c r="F42" s="1052">
        <f t="shared" si="1"/>
        <v>-70500</v>
      </c>
      <c r="G42" s="1055">
        <v>9395.6</v>
      </c>
      <c r="H42" s="980"/>
    </row>
    <row r="43" spans="1:8">
      <c r="A43" s="1144" t="s">
        <v>449</v>
      </c>
      <c r="B43" s="1140"/>
      <c r="C43" s="1141"/>
      <c r="D43" s="1142"/>
      <c r="E43" s="1045"/>
      <c r="F43" s="1143">
        <f t="shared" si="1"/>
        <v>0</v>
      </c>
      <c r="G43" s="1140">
        <v>36000</v>
      </c>
      <c r="H43" s="1054"/>
    </row>
    <row r="44" spans="1:8" s="950" customFormat="1">
      <c r="A44" s="1025"/>
      <c r="B44" s="1035"/>
      <c r="C44" s="1031"/>
      <c r="D44" s="958"/>
      <c r="E44" s="1045"/>
      <c r="F44" s="1052">
        <f t="shared" si="1"/>
        <v>0</v>
      </c>
      <c r="G44" s="1057"/>
      <c r="H44" s="980"/>
    </row>
    <row r="45" spans="1:8" ht="15.75" thickBot="1">
      <c r="A45" s="1026" t="s">
        <v>446</v>
      </c>
      <c r="B45" s="1037">
        <f>SUM(B31:B44)</f>
        <v>287000</v>
      </c>
      <c r="C45" s="1032"/>
      <c r="D45" s="992"/>
      <c r="E45" s="1046">
        <f>SUM(E31:E44)</f>
        <v>642430</v>
      </c>
      <c r="F45" s="1092">
        <f>SUM(F31:F44)</f>
        <v>-355430</v>
      </c>
      <c r="G45" s="1325">
        <f>B45/('1. RD2021'!$C$6+'1. RD2021'!$C$14)</f>
        <v>4.5400476534304141E-3</v>
      </c>
      <c r="H45" s="1319"/>
    </row>
    <row r="46" spans="1:8" ht="19.5" thickTop="1">
      <c r="A46" s="1392" t="s">
        <v>433</v>
      </c>
      <c r="B46" s="1393"/>
      <c r="C46" s="1393"/>
      <c r="D46" s="1393"/>
      <c r="E46" s="1393"/>
      <c r="F46" s="1393"/>
      <c r="G46" s="1394"/>
      <c r="H46" s="989"/>
    </row>
    <row r="47" spans="1:8">
      <c r="A47" s="1133" t="s">
        <v>428</v>
      </c>
      <c r="B47" s="1035">
        <v>55200</v>
      </c>
      <c r="C47" s="1028" t="s">
        <v>240</v>
      </c>
      <c r="D47" s="1012" t="s">
        <v>438</v>
      </c>
      <c r="E47" s="1042">
        <v>70000</v>
      </c>
      <c r="F47" s="1052">
        <f t="shared" si="1"/>
        <v>-14800</v>
      </c>
      <c r="G47" s="1050">
        <v>68500</v>
      </c>
      <c r="H47" s="1321"/>
    </row>
    <row r="48" spans="1:8" s="1001" customFormat="1">
      <c r="A48" s="1133" t="s">
        <v>506</v>
      </c>
      <c r="B48" s="1035">
        <v>50000</v>
      </c>
      <c r="C48" s="1031" t="s">
        <v>239</v>
      </c>
      <c r="D48" s="955" t="s">
        <v>438</v>
      </c>
      <c r="E48" s="1042">
        <v>220000</v>
      </c>
      <c r="F48" s="1052">
        <f t="shared" ref="F48" si="5">B48-E48</f>
        <v>-170000</v>
      </c>
      <c r="G48" s="1055">
        <v>116360</v>
      </c>
      <c r="H48" s="1054"/>
    </row>
    <row r="49" spans="1:8" s="1001" customFormat="1">
      <c r="A49" s="1133" t="s">
        <v>386</v>
      </c>
      <c r="B49" s="1035">
        <v>20000</v>
      </c>
      <c r="C49" s="1031" t="s">
        <v>241</v>
      </c>
      <c r="D49" s="955" t="s">
        <v>438</v>
      </c>
      <c r="E49" s="1042">
        <v>8000</v>
      </c>
      <c r="F49" s="1052">
        <f t="shared" ref="F49:F56" si="6">B49-E49</f>
        <v>12000</v>
      </c>
      <c r="G49" s="1050">
        <v>20000</v>
      </c>
      <c r="H49" s="1054"/>
    </row>
    <row r="50" spans="1:8" s="1001" customFormat="1">
      <c r="A50" s="1133" t="s">
        <v>409</v>
      </c>
      <c r="B50" s="1035">
        <v>5000</v>
      </c>
      <c r="C50" s="1031" t="s">
        <v>240</v>
      </c>
      <c r="D50" s="955" t="s">
        <v>438</v>
      </c>
      <c r="E50" s="1042"/>
      <c r="F50" s="1052">
        <f t="shared" si="6"/>
        <v>5000</v>
      </c>
      <c r="G50" s="1050">
        <v>6760</v>
      </c>
      <c r="H50" s="980"/>
    </row>
    <row r="51" spans="1:8" s="1001" customFormat="1" ht="24">
      <c r="A51" s="1133" t="s">
        <v>406</v>
      </c>
      <c r="B51" s="1035">
        <v>93000</v>
      </c>
      <c r="C51" s="1031" t="s">
        <v>240</v>
      </c>
      <c r="D51" s="955" t="s">
        <v>438</v>
      </c>
      <c r="E51" s="1042">
        <v>90000</v>
      </c>
      <c r="F51" s="1052">
        <f t="shared" si="6"/>
        <v>3000</v>
      </c>
      <c r="G51" s="1050">
        <v>102168</v>
      </c>
      <c r="H51" s="980"/>
    </row>
    <row r="52" spans="1:8" s="1001" customFormat="1">
      <c r="A52" s="1133" t="s">
        <v>405</v>
      </c>
      <c r="B52" s="1035">
        <v>64000</v>
      </c>
      <c r="C52" s="1031" t="s">
        <v>240</v>
      </c>
      <c r="D52" s="955" t="s">
        <v>438</v>
      </c>
      <c r="E52" s="1042">
        <v>76000</v>
      </c>
      <c r="F52" s="1052">
        <f t="shared" si="6"/>
        <v>-12000</v>
      </c>
      <c r="G52" s="1050">
        <v>100000</v>
      </c>
      <c r="H52" s="1054"/>
    </row>
    <row r="53" spans="1:8" s="1001" customFormat="1">
      <c r="A53" s="1133" t="s">
        <v>420</v>
      </c>
      <c r="B53" s="1035">
        <v>98000</v>
      </c>
      <c r="C53" s="1031" t="s">
        <v>240</v>
      </c>
      <c r="D53" s="955" t="s">
        <v>438</v>
      </c>
      <c r="E53" s="1042">
        <v>150000</v>
      </c>
      <c r="F53" s="1052">
        <f t="shared" si="6"/>
        <v>-52000</v>
      </c>
      <c r="G53" s="1050">
        <v>160000</v>
      </c>
      <c r="H53" s="1054"/>
    </row>
    <row r="54" spans="1:8" s="1001" customFormat="1">
      <c r="A54" s="1133" t="s">
        <v>407</v>
      </c>
      <c r="B54" s="1035">
        <v>0</v>
      </c>
      <c r="C54" s="1031" t="s">
        <v>240</v>
      </c>
      <c r="D54" s="955" t="s">
        <v>438</v>
      </c>
      <c r="E54" s="1042">
        <v>300000</v>
      </c>
      <c r="F54" s="1052">
        <f t="shared" si="6"/>
        <v>-300000</v>
      </c>
      <c r="G54" s="1050">
        <v>300000</v>
      </c>
      <c r="H54" s="1054"/>
    </row>
    <row r="55" spans="1:8" s="1001" customFormat="1">
      <c r="A55" s="1133" t="s">
        <v>408</v>
      </c>
      <c r="B55" s="1035">
        <v>272000</v>
      </c>
      <c r="C55" s="1031" t="s">
        <v>240</v>
      </c>
      <c r="D55" s="955" t="s">
        <v>438</v>
      </c>
      <c r="E55" s="1042">
        <v>305000</v>
      </c>
      <c r="F55" s="1052">
        <f t="shared" si="6"/>
        <v>-33000</v>
      </c>
      <c r="G55" s="1050">
        <v>275000</v>
      </c>
      <c r="H55" s="980"/>
    </row>
    <row r="56" spans="1:8" s="1001" customFormat="1">
      <c r="A56" s="1133" t="s">
        <v>450</v>
      </c>
      <c r="B56" s="1035">
        <v>23000</v>
      </c>
      <c r="C56" s="1031" t="s">
        <v>240</v>
      </c>
      <c r="D56" s="955" t="s">
        <v>438</v>
      </c>
      <c r="E56" s="1042">
        <v>0</v>
      </c>
      <c r="F56" s="1052">
        <f t="shared" si="6"/>
        <v>23000</v>
      </c>
      <c r="G56" s="1050">
        <v>213100</v>
      </c>
      <c r="H56" s="980"/>
    </row>
    <row r="57" spans="1:8" s="1001" customFormat="1" ht="24">
      <c r="A57" s="1133" t="s">
        <v>451</v>
      </c>
      <c r="B57" s="1153">
        <v>4000</v>
      </c>
      <c r="C57" s="1154" t="s">
        <v>240</v>
      </c>
      <c r="D57" s="1155" t="s">
        <v>438</v>
      </c>
      <c r="E57" s="1126"/>
      <c r="F57" s="1127">
        <f t="shared" ref="F57:F58" si="7">B57-E57</f>
        <v>4000</v>
      </c>
      <c r="G57" s="1156"/>
      <c r="H57" s="1054"/>
    </row>
    <row r="58" spans="1:8">
      <c r="A58" s="1133" t="s">
        <v>502</v>
      </c>
      <c r="B58" s="1035">
        <v>132000</v>
      </c>
      <c r="C58" s="1031" t="s">
        <v>240</v>
      </c>
      <c r="D58" s="955" t="s">
        <v>438</v>
      </c>
      <c r="E58" s="1042">
        <v>130000</v>
      </c>
      <c r="F58" s="1052">
        <f t="shared" si="7"/>
        <v>2000</v>
      </c>
      <c r="G58" s="1050">
        <v>130000</v>
      </c>
      <c r="H58" s="1054"/>
    </row>
    <row r="59" spans="1:8">
      <c r="A59" s="1133" t="s">
        <v>404</v>
      </c>
      <c r="B59" s="1039">
        <v>600000</v>
      </c>
      <c r="C59" s="1081" t="s">
        <v>240</v>
      </c>
      <c r="D59" s="1012" t="s">
        <v>438</v>
      </c>
      <c r="E59" s="1085">
        <v>0</v>
      </c>
      <c r="F59" s="1089">
        <f t="shared" ref="F59" si="8">B59-E59</f>
        <v>600000</v>
      </c>
      <c r="G59" s="1087">
        <v>1455377</v>
      </c>
      <c r="H59" s="1054"/>
    </row>
    <row r="60" spans="1:8" s="1001" customFormat="1">
      <c r="A60" s="1133" t="s">
        <v>421</v>
      </c>
      <c r="B60" s="1035">
        <v>37500</v>
      </c>
      <c r="C60" s="1028" t="s">
        <v>240</v>
      </c>
      <c r="D60" s="1012" t="s">
        <v>438</v>
      </c>
      <c r="E60" s="1042">
        <v>0</v>
      </c>
      <c r="F60" s="1052">
        <f t="shared" si="1"/>
        <v>37500</v>
      </c>
      <c r="G60" s="1050">
        <v>37500</v>
      </c>
      <c r="H60" s="1054"/>
    </row>
    <row r="61" spans="1:8" s="950" customFormat="1">
      <c r="A61" s="1023"/>
      <c r="B61" s="1035"/>
      <c r="C61" s="1028"/>
      <c r="D61" s="1012"/>
      <c r="E61" s="1042"/>
      <c r="F61" s="1052">
        <f t="shared" si="1"/>
        <v>0</v>
      </c>
      <c r="G61" s="1050"/>
      <c r="H61" s="1321"/>
    </row>
    <row r="62" spans="1:8" ht="15.75" thickBot="1">
      <c r="A62" s="1136" t="s">
        <v>447</v>
      </c>
      <c r="B62" s="1037">
        <f>SUM(B47:B61)</f>
        <v>1453700</v>
      </c>
      <c r="C62" s="1030"/>
      <c r="D62" s="991"/>
      <c r="E62" s="1044">
        <f>SUM(E47:E61)</f>
        <v>1349000</v>
      </c>
      <c r="F62" s="1053">
        <f>SUM(F47:F61)</f>
        <v>104700</v>
      </c>
      <c r="G62" s="1325">
        <f>B62/('1. RD2021'!$C$6+'1. RD2021'!$C$14)</f>
        <v>2.2996053218786738E-2</v>
      </c>
      <c r="H62" s="1319"/>
    </row>
    <row r="63" spans="1:8" ht="19.5" thickTop="1">
      <c r="A63" s="1392" t="s">
        <v>394</v>
      </c>
      <c r="B63" s="1393"/>
      <c r="C63" s="1393"/>
      <c r="D63" s="1393"/>
      <c r="E63" s="1393"/>
      <c r="F63" s="1393"/>
      <c r="G63" s="1394"/>
      <c r="H63" s="1322"/>
    </row>
    <row r="64" spans="1:8">
      <c r="A64" s="1133" t="s">
        <v>384</v>
      </c>
      <c r="B64" s="1035">
        <v>0</v>
      </c>
      <c r="C64" s="1028"/>
      <c r="D64" s="955"/>
      <c r="E64" s="1042">
        <v>0</v>
      </c>
      <c r="F64" s="1052">
        <f t="shared" si="1"/>
        <v>0</v>
      </c>
      <c r="G64" s="1050">
        <v>0</v>
      </c>
      <c r="H64" s="1323"/>
    </row>
    <row r="65" spans="1:8" s="950" customFormat="1">
      <c r="A65" s="1023"/>
      <c r="B65" s="1035"/>
      <c r="C65" s="1028"/>
      <c r="D65" s="955"/>
      <c r="E65" s="1042"/>
      <c r="F65" s="1052">
        <f t="shared" si="1"/>
        <v>0</v>
      </c>
      <c r="G65" s="1050"/>
      <c r="H65" s="1323"/>
    </row>
    <row r="66" spans="1:8" ht="15.75" thickBot="1">
      <c r="A66" s="1026" t="s">
        <v>448</v>
      </c>
      <c r="B66" s="1040">
        <f>SUM(B64:B65)</f>
        <v>0</v>
      </c>
      <c r="C66" s="1033"/>
      <c r="D66" s="973"/>
      <c r="E66" s="1047">
        <f t="shared" ref="E66:F66" si="9">SUM(E64:E65)</f>
        <v>0</v>
      </c>
      <c r="F66" s="1091">
        <f t="shared" si="9"/>
        <v>0</v>
      </c>
      <c r="G66" s="1325">
        <f>B66/('1. RD2021'!$C$6+'1. RD2021'!$C$14)</f>
        <v>0</v>
      </c>
      <c r="H66" s="1323"/>
    </row>
    <row r="67" spans="1:8" ht="15.75" thickTop="1">
      <c r="A67" s="1079"/>
      <c r="B67" s="1082"/>
      <c r="C67" s="1028"/>
      <c r="D67" s="955"/>
      <c r="E67" s="1042"/>
      <c r="F67" s="1056"/>
      <c r="G67" s="1088"/>
      <c r="H67" s="1323"/>
    </row>
    <row r="68" spans="1:8" ht="14.45" customHeight="1">
      <c r="A68" s="1080"/>
      <c r="B68" s="1083"/>
      <c r="C68" s="1028"/>
      <c r="D68" s="955"/>
      <c r="E68" s="1042"/>
      <c r="F68" s="1056"/>
      <c r="G68" s="1088"/>
      <c r="H68" s="980"/>
    </row>
    <row r="69" spans="1:8">
      <c r="A69" s="1079"/>
      <c r="B69" s="1083"/>
      <c r="C69" s="1028"/>
      <c r="D69" s="955"/>
      <c r="E69" s="1042"/>
      <c r="F69" s="1052"/>
      <c r="G69" s="1088"/>
      <c r="H69" s="980"/>
    </row>
    <row r="70" spans="1:8">
      <c r="A70" s="1079"/>
      <c r="B70" s="1083"/>
      <c r="C70" s="1028"/>
      <c r="D70" s="955"/>
      <c r="E70" s="1086"/>
      <c r="F70" s="1052"/>
      <c r="G70" s="1088"/>
      <c r="H70" s="980"/>
    </row>
    <row r="71" spans="1:8">
      <c r="A71" s="1079"/>
      <c r="B71" s="1083"/>
      <c r="C71" s="1028"/>
      <c r="D71" s="955"/>
      <c r="E71" s="1086"/>
      <c r="F71" s="1052"/>
      <c r="G71" s="1088"/>
      <c r="H71" s="980"/>
    </row>
    <row r="72" spans="1:8">
      <c r="A72" s="1079"/>
      <c r="B72" s="1083"/>
      <c r="C72" s="1028"/>
      <c r="D72" s="955"/>
      <c r="E72" s="1086"/>
      <c r="F72" s="1052"/>
      <c r="G72" s="1088"/>
      <c r="H72" s="980"/>
    </row>
    <row r="73" spans="1:8">
      <c r="A73" s="1079"/>
      <c r="B73" s="1083"/>
      <c r="C73" s="1028"/>
      <c r="D73" s="955"/>
      <c r="E73" s="1086"/>
      <c r="F73" s="1052"/>
      <c r="G73" s="1088"/>
      <c r="H73" s="980"/>
    </row>
    <row r="74" spans="1:8">
      <c r="A74" s="1079"/>
      <c r="B74" s="1083"/>
      <c r="C74" s="1028"/>
      <c r="D74" s="955"/>
      <c r="E74" s="1086"/>
      <c r="F74" s="1052"/>
      <c r="G74" s="1088"/>
      <c r="H74" s="980"/>
    </row>
    <row r="75" spans="1:8">
      <c r="A75" s="1079"/>
      <c r="B75" s="1083"/>
      <c r="C75" s="1028"/>
      <c r="D75" s="955"/>
      <c r="E75" s="1086"/>
      <c r="F75" s="1052"/>
      <c r="G75" s="1088"/>
      <c r="H75" s="980"/>
    </row>
    <row r="76" spans="1:8">
      <c r="A76" s="1079"/>
      <c r="B76" s="1083"/>
      <c r="C76" s="1028"/>
      <c r="D76" s="955"/>
      <c r="E76" s="1086"/>
      <c r="F76" s="1052"/>
      <c r="G76" s="1088"/>
      <c r="H76" s="980"/>
    </row>
    <row r="77" spans="1:8">
      <c r="A77" s="1079"/>
      <c r="B77" s="1083"/>
      <c r="C77" s="1028"/>
      <c r="D77" s="955"/>
      <c r="E77" s="1086"/>
      <c r="F77" s="1052"/>
      <c r="G77" s="1088"/>
      <c r="H77" s="980"/>
    </row>
    <row r="78" spans="1:8">
      <c r="A78" s="1079"/>
      <c r="B78" s="1083"/>
      <c r="C78" s="1028"/>
      <c r="D78" s="955"/>
      <c r="E78" s="1086"/>
      <c r="F78" s="1052"/>
      <c r="G78" s="1088"/>
      <c r="H78" s="980"/>
    </row>
    <row r="79" spans="1:8">
      <c r="A79" s="1079"/>
      <c r="B79" s="1083"/>
      <c r="C79" s="1028"/>
      <c r="D79" s="955"/>
      <c r="E79" s="1086"/>
      <c r="F79" s="1052"/>
      <c r="G79" s="1088"/>
      <c r="H79" s="980"/>
    </row>
    <row r="80" spans="1:8">
      <c r="A80" s="1079"/>
      <c r="B80" s="1083"/>
      <c r="C80" s="1028"/>
      <c r="D80" s="955"/>
      <c r="E80" s="1086"/>
      <c r="F80" s="1052"/>
      <c r="G80" s="1088"/>
      <c r="H80" s="980"/>
    </row>
    <row r="81" spans="1:8">
      <c r="A81" s="1079"/>
      <c r="B81" s="1083"/>
      <c r="C81" s="1028"/>
      <c r="D81" s="955"/>
      <c r="E81" s="1086"/>
      <c r="F81" s="1052"/>
      <c r="G81" s="1088"/>
      <c r="H81" s="980"/>
    </row>
    <row r="82" spans="1:8">
      <c r="A82" s="1079"/>
      <c r="B82" s="1083"/>
      <c r="C82" s="1028"/>
      <c r="D82" s="955"/>
      <c r="E82" s="1086"/>
      <c r="F82" s="1052"/>
      <c r="G82" s="1088"/>
      <c r="H82" s="980"/>
    </row>
    <row r="83" spans="1:8">
      <c r="A83" s="1079"/>
      <c r="B83" s="1083"/>
      <c r="C83" s="1028"/>
      <c r="D83" s="955"/>
      <c r="E83" s="1086"/>
      <c r="F83" s="1052"/>
      <c r="G83" s="1088"/>
      <c r="H83" s="980"/>
    </row>
    <row r="84" spans="1:8">
      <c r="A84" s="1079"/>
      <c r="B84" s="1083"/>
      <c r="C84" s="1028"/>
      <c r="D84" s="955"/>
      <c r="E84" s="1086"/>
      <c r="F84" s="1052"/>
      <c r="G84" s="1088"/>
      <c r="H84" s="980"/>
    </row>
    <row r="85" spans="1:8">
      <c r="A85" s="1079"/>
      <c r="B85" s="1083"/>
      <c r="C85" s="1028"/>
      <c r="D85" s="955"/>
      <c r="E85" s="1086"/>
      <c r="F85" s="1052"/>
      <c r="G85" s="1088"/>
      <c r="H85" s="980"/>
    </row>
    <row r="86" spans="1:8">
      <c r="A86" s="1079"/>
      <c r="B86" s="1083"/>
      <c r="C86" s="1028"/>
      <c r="D86" s="955"/>
      <c r="E86" s="1086"/>
      <c r="F86" s="1052"/>
      <c r="G86" s="1088"/>
      <c r="H86" s="980"/>
    </row>
    <row r="87" spans="1:8">
      <c r="A87" s="1079"/>
      <c r="B87" s="1083"/>
      <c r="C87" s="1028"/>
      <c r="D87" s="955"/>
      <c r="E87" s="1086"/>
      <c r="F87" s="1052"/>
      <c r="G87" s="1088"/>
      <c r="H87" s="980"/>
    </row>
    <row r="88" spans="1:8">
      <c r="A88" s="1079"/>
      <c r="B88" s="1083"/>
      <c r="C88" s="1028"/>
      <c r="D88" s="955"/>
      <c r="E88" s="1086"/>
      <c r="F88" s="1052"/>
      <c r="G88" s="1088"/>
      <c r="H88" s="980"/>
    </row>
    <row r="89" spans="1:8">
      <c r="A89" s="1079"/>
      <c r="B89" s="1083"/>
      <c r="C89" s="1028"/>
      <c r="D89" s="955"/>
      <c r="E89" s="1086"/>
      <c r="F89" s="1052"/>
      <c r="G89" s="1088"/>
      <c r="H89" s="980"/>
    </row>
    <row r="90" spans="1:8">
      <c r="A90" s="1079"/>
      <c r="B90" s="1083"/>
      <c r="C90" s="1028"/>
      <c r="D90" s="955"/>
      <c r="E90" s="1086"/>
      <c r="F90" s="1052"/>
      <c r="G90" s="1088"/>
      <c r="H90" s="980"/>
    </row>
    <row r="91" spans="1:8">
      <c r="A91" s="1079"/>
      <c r="B91" s="1083"/>
      <c r="C91" s="1028"/>
      <c r="D91" s="955"/>
      <c r="E91" s="1086"/>
      <c r="F91" s="1052"/>
      <c r="G91" s="1088"/>
      <c r="H91" s="980"/>
    </row>
    <row r="92" spans="1:8">
      <c r="A92" s="1079"/>
      <c r="B92" s="1083"/>
      <c r="C92" s="1028"/>
      <c r="D92" s="955"/>
      <c r="E92" s="1086"/>
      <c r="F92" s="1052"/>
      <c r="G92" s="1088"/>
      <c r="H92" s="980"/>
    </row>
    <row r="93" spans="1:8">
      <c r="A93" s="1079"/>
      <c r="B93" s="1083"/>
      <c r="C93" s="1028"/>
      <c r="D93" s="955"/>
      <c r="E93" s="1086"/>
      <c r="F93" s="1052"/>
      <c r="G93" s="1088"/>
      <c r="H93" s="980"/>
    </row>
    <row r="94" spans="1:8">
      <c r="A94" s="1079"/>
      <c r="B94" s="1083"/>
      <c r="C94" s="1028"/>
      <c r="D94" s="955"/>
      <c r="E94" s="1086"/>
      <c r="F94" s="1052"/>
      <c r="G94" s="1088"/>
      <c r="H94" s="980"/>
    </row>
    <row r="95" spans="1:8">
      <c r="A95" s="1079"/>
      <c r="B95" s="1083"/>
      <c r="C95" s="1028"/>
      <c r="D95" s="955"/>
      <c r="E95" s="1086"/>
      <c r="F95" s="1052"/>
      <c r="G95" s="1088"/>
      <c r="H95" s="980"/>
    </row>
    <row r="96" spans="1:8">
      <c r="A96" s="1079"/>
      <c r="B96" s="1083"/>
      <c r="C96" s="1028"/>
      <c r="D96" s="955"/>
      <c r="E96" s="1086"/>
      <c r="F96" s="1052"/>
      <c r="G96" s="1088"/>
      <c r="H96" s="980"/>
    </row>
    <row r="97" spans="1:8">
      <c r="A97" s="1079"/>
      <c r="B97" s="1083"/>
      <c r="C97" s="1028"/>
      <c r="D97" s="955"/>
      <c r="E97" s="1086"/>
      <c r="F97" s="1052"/>
      <c r="G97" s="1088"/>
      <c r="H97" s="980"/>
    </row>
    <row r="98" spans="1:8">
      <c r="A98" s="1079"/>
      <c r="B98" s="1083"/>
      <c r="C98" s="1028"/>
      <c r="D98" s="955"/>
      <c r="E98" s="1086"/>
      <c r="F98" s="1052"/>
      <c r="G98" s="1088"/>
      <c r="H98" s="980"/>
    </row>
    <row r="99" spans="1:8">
      <c r="A99" s="1079"/>
      <c r="B99" s="1083"/>
      <c r="C99" s="1028"/>
      <c r="D99" s="955"/>
      <c r="E99" s="1086"/>
      <c r="F99" s="1052"/>
      <c r="G99" s="1088"/>
      <c r="H99" s="980"/>
    </row>
    <row r="100" spans="1:8">
      <c r="A100" s="1079"/>
      <c r="B100" s="1083"/>
      <c r="C100" s="1028"/>
      <c r="D100" s="955"/>
      <c r="E100" s="1086"/>
      <c r="F100" s="1052"/>
      <c r="G100" s="1088"/>
      <c r="H100" s="980"/>
    </row>
    <row r="101" spans="1:8">
      <c r="A101" s="1079"/>
      <c r="B101" s="1083"/>
      <c r="C101" s="1028"/>
      <c r="D101" s="955"/>
      <c r="E101" s="1086"/>
      <c r="F101" s="1052"/>
      <c r="G101" s="1088"/>
      <c r="H101" s="980"/>
    </row>
    <row r="102" spans="1:8">
      <c r="A102" s="1079"/>
      <c r="B102" s="1083"/>
      <c r="C102" s="1028"/>
      <c r="D102" s="955"/>
      <c r="E102" s="1086"/>
      <c r="F102" s="1052"/>
      <c r="G102" s="1088"/>
      <c r="H102" s="980"/>
    </row>
    <row r="103" spans="1:8">
      <c r="A103" s="1079"/>
      <c r="B103" s="1083"/>
      <c r="C103" s="1028"/>
      <c r="D103" s="955"/>
      <c r="E103" s="1086"/>
      <c r="F103" s="1052"/>
      <c r="G103" s="1088"/>
      <c r="H103" s="980"/>
    </row>
    <row r="104" spans="1:8">
      <c r="A104" s="1079"/>
      <c r="B104" s="1083"/>
      <c r="C104" s="1028"/>
      <c r="D104" s="955"/>
      <c r="E104" s="1086"/>
      <c r="F104" s="1052"/>
      <c r="G104" s="1088"/>
      <c r="H104" s="980"/>
    </row>
    <row r="105" spans="1:8">
      <c r="A105" s="1079"/>
      <c r="B105" s="1083"/>
      <c r="C105" s="1028"/>
      <c r="D105" s="955"/>
      <c r="E105" s="1086"/>
      <c r="F105" s="1052"/>
      <c r="G105" s="1088"/>
      <c r="H105" s="980"/>
    </row>
    <row r="106" spans="1:8">
      <c r="A106" s="1079"/>
      <c r="B106" s="1083"/>
      <c r="C106" s="1028"/>
      <c r="D106" s="955"/>
      <c r="E106" s="1086"/>
      <c r="F106" s="1052"/>
      <c r="G106" s="1088"/>
      <c r="H106" s="980"/>
    </row>
    <row r="107" spans="1:8">
      <c r="A107" s="1079"/>
      <c r="B107" s="1083"/>
      <c r="C107" s="1028"/>
      <c r="D107" s="955"/>
      <c r="E107" s="1086"/>
      <c r="F107" s="1052"/>
      <c r="G107" s="1088"/>
      <c r="H107" s="980"/>
    </row>
    <row r="108" spans="1:8">
      <c r="A108" s="1079"/>
      <c r="B108" s="1083"/>
      <c r="C108" s="1028"/>
      <c r="D108" s="955"/>
      <c r="E108" s="1086"/>
      <c r="F108" s="1052"/>
      <c r="G108" s="1088"/>
      <c r="H108" s="980"/>
    </row>
    <row r="109" spans="1:8">
      <c r="A109" s="1079"/>
      <c r="B109" s="1083"/>
      <c r="C109" s="1028"/>
      <c r="D109" s="955"/>
      <c r="E109" s="1086"/>
      <c r="F109" s="1052"/>
      <c r="G109" s="1088"/>
      <c r="H109" s="980"/>
    </row>
    <row r="110" spans="1:8">
      <c r="A110" s="1079"/>
      <c r="B110" s="1083"/>
      <c r="C110" s="1028"/>
      <c r="D110" s="955"/>
      <c r="E110" s="1086"/>
      <c r="F110" s="1052"/>
      <c r="G110" s="1088"/>
      <c r="H110" s="980"/>
    </row>
    <row r="111" spans="1:8">
      <c r="A111" s="1079"/>
      <c r="B111" s="1083"/>
      <c r="C111" s="1028"/>
      <c r="D111" s="955"/>
      <c r="E111" s="1086"/>
      <c r="F111" s="1052"/>
      <c r="G111" s="1088"/>
      <c r="H111" s="980"/>
    </row>
    <row r="112" spans="1:8" ht="15.75" thickBot="1">
      <c r="A112" s="1079"/>
      <c r="B112" s="1084"/>
      <c r="C112" s="1028"/>
      <c r="D112" s="955"/>
      <c r="E112" s="1086"/>
      <c r="F112" s="1060"/>
      <c r="G112" s="1088"/>
      <c r="H112" s="980"/>
    </row>
  </sheetData>
  <sheetProtection algorithmName="SHA-512" hashValue="VHwen3Bj3Sg3rYez1rhPR6/hapD1aWZ6gOUvaBbXMtOg8s2bwIgL5k6ZYaBooSMvQr581Wz3WfCqrLsi/zwQOw==" saltValue="jpKeLnGQBsdYfvzTIMdt4A==" spinCount="100000" sheet="1" objects="1" scenarios="1"/>
  <mergeCells count="10">
    <mergeCell ref="A1:G1"/>
    <mergeCell ref="E19:E23"/>
    <mergeCell ref="F19:F23"/>
    <mergeCell ref="G19:G23"/>
    <mergeCell ref="A46:G46"/>
    <mergeCell ref="A63:G63"/>
    <mergeCell ref="A30:G30"/>
    <mergeCell ref="A14:G14"/>
    <mergeCell ref="A9:G9"/>
    <mergeCell ref="A4:G4"/>
  </mergeCells>
  <conditionalFormatting sqref="F67:F112 F31:F39 F41:F45 F47:F49">
    <cfRule type="cellIs" dxfId="17" priority="29" operator="greaterThan">
      <formula>0</formula>
    </cfRule>
  </conditionalFormatting>
  <conditionalFormatting sqref="F112">
    <cfRule type="cellIs" dxfId="16" priority="28" operator="greaterThan">
      <formula>0</formula>
    </cfRule>
  </conditionalFormatting>
  <conditionalFormatting sqref="F64:F66 F15:F29 F10:F13 F5:F8 F52:F62">
    <cfRule type="cellIs" dxfId="15" priority="3" operator="greaterThan">
      <formula>0</formula>
    </cfRule>
  </conditionalFormatting>
  <conditionalFormatting sqref="F50:F51">
    <cfRule type="cellIs" dxfId="14" priority="2" operator="greaterThan">
      <formula>0</formula>
    </cfRule>
  </conditionalFormatting>
  <conditionalFormatting sqref="F40">
    <cfRule type="cellIs" dxfId="13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5"/>
  <dimension ref="A1:M46"/>
  <sheetViews>
    <sheetView zoomScale="115" zoomScaleNormal="115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M7" sqref="M7"/>
    </sheetView>
  </sheetViews>
  <sheetFormatPr defaultRowHeight="15"/>
  <cols>
    <col min="1" max="1" width="47.42578125" customWidth="1"/>
    <col min="2" max="13" width="14.28515625" customWidth="1"/>
  </cols>
  <sheetData>
    <row r="1" spans="1:13" ht="15" customHeight="1" thickBot="1">
      <c r="B1">
        <v>0.5</v>
      </c>
      <c r="C1">
        <v>0.3</v>
      </c>
      <c r="D1">
        <v>0.2</v>
      </c>
      <c r="F1">
        <v>0.5</v>
      </c>
      <c r="G1">
        <v>0.3</v>
      </c>
      <c r="H1">
        <v>0.2</v>
      </c>
      <c r="J1">
        <v>0.5</v>
      </c>
      <c r="K1">
        <v>0.3</v>
      </c>
      <c r="L1">
        <v>0.2</v>
      </c>
    </row>
    <row r="2" spans="1:13" s="12" customFormat="1" ht="51.6" customHeight="1" thickBot="1">
      <c r="A2" s="340"/>
      <c r="B2" s="1402" t="s">
        <v>202</v>
      </c>
      <c r="C2" s="1403"/>
      <c r="D2" s="1403"/>
      <c r="E2" s="1404"/>
      <c r="F2" s="1402" t="s">
        <v>204</v>
      </c>
      <c r="G2" s="1403"/>
      <c r="H2" s="1403"/>
      <c r="I2" s="1404"/>
      <c r="J2" s="1402">
        <v>771201</v>
      </c>
      <c r="K2" s="1403"/>
      <c r="L2" s="1403"/>
      <c r="M2" s="1404"/>
    </row>
    <row r="3" spans="1:13" s="12" customFormat="1" ht="23.1" customHeight="1" thickBot="1">
      <c r="A3" s="341"/>
      <c r="B3" s="346">
        <v>2021</v>
      </c>
      <c r="C3" s="347">
        <v>2020</v>
      </c>
      <c r="D3" s="347">
        <v>2019</v>
      </c>
      <c r="E3" s="348" t="s">
        <v>203</v>
      </c>
      <c r="F3" s="346">
        <v>2021</v>
      </c>
      <c r="G3" s="347">
        <v>2020</v>
      </c>
      <c r="H3" s="347">
        <v>2019</v>
      </c>
      <c r="I3" s="348" t="s">
        <v>203</v>
      </c>
      <c r="J3" s="346">
        <v>2021</v>
      </c>
      <c r="K3" s="347">
        <v>2020</v>
      </c>
      <c r="L3" s="347">
        <v>2019</v>
      </c>
      <c r="M3" s="348" t="s">
        <v>203</v>
      </c>
    </row>
    <row r="4" spans="1:13" s="5" customFormat="1" ht="15.75">
      <c r="A4" s="342" t="s">
        <v>2</v>
      </c>
      <c r="B4" s="337">
        <v>23478445</v>
      </c>
      <c r="C4" s="338">
        <v>20265730</v>
      </c>
      <c r="D4" s="338">
        <v>18384248.000000007</v>
      </c>
      <c r="E4" s="353">
        <v>1</v>
      </c>
      <c r="F4" s="351">
        <v>6052772</v>
      </c>
      <c r="G4" s="338">
        <v>4754716.2035000008</v>
      </c>
      <c r="H4" s="338">
        <v>4294839</v>
      </c>
      <c r="I4" s="353">
        <v>1</v>
      </c>
      <c r="J4" s="337">
        <v>25131702</v>
      </c>
      <c r="K4" s="338">
        <v>18823924.999999996</v>
      </c>
      <c r="L4" s="338">
        <v>17742310</v>
      </c>
      <c r="M4" s="353">
        <v>1</v>
      </c>
    </row>
    <row r="5" spans="1:13" s="5" customFormat="1" ht="15.75">
      <c r="A5" s="343" t="s">
        <v>6</v>
      </c>
      <c r="B5" s="23">
        <f>'T7-mzdy'!N4</f>
        <v>1865305.0680708315</v>
      </c>
      <c r="C5" s="339">
        <v>1764775.25</v>
      </c>
      <c r="D5" s="339">
        <v>1604664.94</v>
      </c>
      <c r="E5" s="352">
        <f>B$1*B5/B$16+C$1*C5/C$16+D$1*D5/D$16</f>
        <v>8.6212635239603361E-2</v>
      </c>
      <c r="F5" s="349">
        <f>'T8-TaS'!M6</f>
        <v>514293.54654256772</v>
      </c>
      <c r="G5" s="339">
        <v>414339.1416973563</v>
      </c>
      <c r="H5" s="339">
        <v>368479.77</v>
      </c>
      <c r="I5" s="352">
        <f t="shared" ref="I5:I14" si="0">F$1*F5/F$16+G$1*G5/G$16+H$1*H5/H$16</f>
        <v>8.5786154053181796E-2</v>
      </c>
      <c r="J5" s="350">
        <f>'T14-VVZ'!AL5-'T14-VVZ'!AK5</f>
        <v>1439617.5861349769</v>
      </c>
      <c r="K5" s="339">
        <v>972680.96891581826</v>
      </c>
      <c r="L5" s="339">
        <v>905851</v>
      </c>
      <c r="M5" s="352">
        <f t="shared" ref="M5:M14" si="1">J$1*J5/J$16+K$1*K5/K$16+L$1*L5/L$16</f>
        <v>5.4354437934080277E-2</v>
      </c>
    </row>
    <row r="6" spans="1:13" s="5" customFormat="1" ht="15.75">
      <c r="A6" s="343" t="s">
        <v>3</v>
      </c>
      <c r="B6" s="23">
        <f>'T7-mzdy'!N5</f>
        <v>4807241.7990445606</v>
      </c>
      <c r="C6" s="339">
        <v>3178256.84</v>
      </c>
      <c r="D6" s="339">
        <v>2725758.67</v>
      </c>
      <c r="E6" s="352">
        <f t="shared" ref="E6:E13" si="2">B$1*B6/B$16+C$1*C6/C$16+D$1*D6/D$16</f>
        <v>0.18426140327306242</v>
      </c>
      <c r="F6" s="349">
        <f>'T8-TaS'!M7</f>
        <v>1213778.7250443802</v>
      </c>
      <c r="G6" s="339">
        <v>819146.66054318729</v>
      </c>
      <c r="H6" s="339">
        <v>695695.89</v>
      </c>
      <c r="I6" s="352">
        <f t="shared" si="0"/>
        <v>0.1843474465938795</v>
      </c>
      <c r="J6" s="350">
        <f>'T14-VVZ'!AL6-'T14-VVZ'!AK6</f>
        <v>6440901</v>
      </c>
      <c r="K6" s="339">
        <v>4421596.6147845332</v>
      </c>
      <c r="L6" s="339">
        <v>4178828.24</v>
      </c>
      <c r="M6" s="352">
        <f t="shared" si="1"/>
        <v>0.24571645940861978</v>
      </c>
    </row>
    <row r="7" spans="1:13" s="5" customFormat="1" ht="15.75">
      <c r="A7" s="343" t="s">
        <v>5</v>
      </c>
      <c r="B7" s="23">
        <f>'T7-mzdy'!N6</f>
        <v>4562584.1676164716</v>
      </c>
      <c r="C7" s="339">
        <v>3677526.57</v>
      </c>
      <c r="D7" s="339">
        <v>3237283.96</v>
      </c>
      <c r="E7" s="352">
        <f t="shared" si="2"/>
        <v>0.19283596087270952</v>
      </c>
      <c r="F7" s="349">
        <f>'T8-TaS'!M8</f>
        <v>933393.72772259568</v>
      </c>
      <c r="G7" s="339">
        <v>712031.09428520408</v>
      </c>
      <c r="H7" s="339">
        <v>659711.9</v>
      </c>
      <c r="I7" s="352">
        <f t="shared" si="0"/>
        <v>0.15275157631096525</v>
      </c>
      <c r="J7" s="350">
        <f>'T14-VVZ'!AL7-'T14-VVZ'!AK7</f>
        <v>6089011</v>
      </c>
      <c r="K7" s="339">
        <v>4498190.3896476915</v>
      </c>
      <c r="L7" s="339">
        <v>4270679.16</v>
      </c>
      <c r="M7" s="352">
        <f t="shared" si="1"/>
        <v>0.24097161723461796</v>
      </c>
    </row>
    <row r="8" spans="1:13" s="5" customFormat="1" ht="15.75">
      <c r="A8" s="343" t="s">
        <v>7</v>
      </c>
      <c r="B8" s="23">
        <f>'T7-mzdy'!N7</f>
        <v>2294230.9547832208</v>
      </c>
      <c r="C8" s="339">
        <v>1459013.3</v>
      </c>
      <c r="D8" s="339">
        <v>1253192.07</v>
      </c>
      <c r="E8" s="352">
        <f t="shared" si="2"/>
        <v>8.6474687695948987E-2</v>
      </c>
      <c r="F8" s="349">
        <f>'T8-TaS'!M9</f>
        <v>740575.14757003041</v>
      </c>
      <c r="G8" s="339">
        <v>490754.87961592205</v>
      </c>
      <c r="H8" s="339">
        <v>401346.15</v>
      </c>
      <c r="I8" s="352">
        <f t="shared" si="0"/>
        <v>0.11083052430812969</v>
      </c>
      <c r="J8" s="350">
        <f>'T14-VVZ'!AL8-'T14-VVZ'!AK8</f>
        <v>931852</v>
      </c>
      <c r="K8" s="339">
        <v>618434.22959666466</v>
      </c>
      <c r="L8" s="339">
        <v>548484.67000000004</v>
      </c>
      <c r="M8" s="352">
        <f t="shared" si="1"/>
        <v>3.4578248349169644E-2</v>
      </c>
    </row>
    <row r="9" spans="1:13" s="5" customFormat="1" ht="15.75">
      <c r="A9" s="343" t="s">
        <v>0</v>
      </c>
      <c r="B9" s="23">
        <f>'T7-mzdy'!N8</f>
        <v>4634080.816595016</v>
      </c>
      <c r="C9" s="339">
        <v>3899702.03</v>
      </c>
      <c r="D9" s="339">
        <v>3650409.35</v>
      </c>
      <c r="E9" s="352">
        <f t="shared" si="2"/>
        <v>0.2026498862206178</v>
      </c>
      <c r="F9" s="349">
        <f>'T8-TaS'!M10</f>
        <v>1146152.1924180002</v>
      </c>
      <c r="G9" s="339">
        <v>948239.32178730587</v>
      </c>
      <c r="H9" s="339">
        <v>884756.93</v>
      </c>
      <c r="I9" s="352">
        <f t="shared" si="0"/>
        <v>0.19571027374227179</v>
      </c>
      <c r="J9" s="350">
        <f>'T14-VVZ'!AL9-'T14-VVZ'!AK9</f>
        <v>4892685.4138650233</v>
      </c>
      <c r="K9" s="339">
        <v>3987472.3893926768</v>
      </c>
      <c r="L9" s="339">
        <v>3744733.52</v>
      </c>
      <c r="M9" s="352">
        <f t="shared" si="1"/>
        <v>0.20310237900741343</v>
      </c>
    </row>
    <row r="10" spans="1:13" s="5" customFormat="1" ht="15.75">
      <c r="A10" s="343" t="s">
        <v>1</v>
      </c>
      <c r="B10" s="23">
        <f>'T7-mzdy'!N9</f>
        <v>1663306.8721612929</v>
      </c>
      <c r="C10" s="339">
        <v>1521743.46</v>
      </c>
      <c r="D10" s="339">
        <v>1448189.64</v>
      </c>
      <c r="E10" s="352">
        <f t="shared" si="2"/>
        <v>7.6258539741639653E-2</v>
      </c>
      <c r="F10" s="349">
        <f>'T8-TaS'!M11</f>
        <v>453860.73387741327</v>
      </c>
      <c r="G10" s="339">
        <v>385806.05465998076</v>
      </c>
      <c r="H10" s="339">
        <v>356952.32000000001</v>
      </c>
      <c r="I10" s="352">
        <f t="shared" si="0"/>
        <v>7.8456887007540471E-2</v>
      </c>
      <c r="J10" s="350">
        <f>'T14-VVZ'!AL10-'T14-VVZ'!AK10</f>
        <v>1941679</v>
      </c>
      <c r="K10" s="339">
        <v>1671373.6888961927</v>
      </c>
      <c r="L10" s="339">
        <v>1591287</v>
      </c>
      <c r="M10" s="352">
        <f t="shared" si="1"/>
        <v>8.3204796232498934E-2</v>
      </c>
    </row>
    <row r="11" spans="1:13" s="5" customFormat="1" ht="15.75">
      <c r="A11" s="343" t="s">
        <v>4</v>
      </c>
      <c r="B11" s="23">
        <f>'T7-mzdy'!N10</f>
        <v>3254889.4455333371</v>
      </c>
      <c r="C11" s="339">
        <v>3136295.97</v>
      </c>
      <c r="D11" s="339">
        <v>2974007.86</v>
      </c>
      <c r="E11" s="352">
        <f t="shared" si="2"/>
        <v>0.15334865490828087</v>
      </c>
      <c r="F11" s="349">
        <f>'T8-TaS'!M12</f>
        <v>902656.20173393178</v>
      </c>
      <c r="G11" s="339">
        <v>788800.25491461414</v>
      </c>
      <c r="H11" s="339">
        <v>749663.27</v>
      </c>
      <c r="I11" s="352">
        <f t="shared" si="0"/>
        <v>0.15924502972720614</v>
      </c>
      <c r="J11" s="350">
        <f>'T14-VVZ'!AL11-'T14-VVZ'!AK11</f>
        <v>2492643</v>
      </c>
      <c r="K11" s="339">
        <v>2134715.6374057774</v>
      </c>
      <c r="L11" s="339">
        <v>2010621.86</v>
      </c>
      <c r="M11" s="352">
        <f t="shared" si="1"/>
        <v>0.1062776344081974</v>
      </c>
    </row>
    <row r="12" spans="1:13" s="5" customFormat="1" ht="15.75">
      <c r="A12" s="343" t="s">
        <v>17</v>
      </c>
      <c r="B12" s="23">
        <f>'T7-mzdy'!N11</f>
        <v>289356.69476722722</v>
      </c>
      <c r="C12" s="339">
        <v>327271.71999999997</v>
      </c>
      <c r="D12" s="339">
        <v>306973.27</v>
      </c>
      <c r="E12" s="352">
        <f t="shared" si="2"/>
        <v>1.4889718927703825E-2</v>
      </c>
      <c r="F12" s="349">
        <f>'T8-TaS'!M13</f>
        <v>71246.914879912656</v>
      </c>
      <c r="G12" s="339">
        <v>73815.616067407187</v>
      </c>
      <c r="H12" s="339">
        <v>74944.69</v>
      </c>
      <c r="I12" s="352">
        <f t="shared" si="0"/>
        <v>1.4032881212309358E-2</v>
      </c>
      <c r="J12" s="350">
        <f>'T14-VVZ'!AL12-'T14-VVZ'!AK12</f>
        <v>731832</v>
      </c>
      <c r="K12" s="339">
        <v>317165.58700048679</v>
      </c>
      <c r="L12" s="339">
        <v>248079.69</v>
      </c>
      <c r="M12" s="352">
        <f t="shared" si="1"/>
        <v>2.2411132478214749E-2</v>
      </c>
    </row>
    <row r="13" spans="1:13" s="5" customFormat="1" ht="15.75">
      <c r="A13" s="343" t="s">
        <v>205</v>
      </c>
      <c r="B13" s="23">
        <f>'T7-mzdy'!N12</f>
        <v>58939.896542147413</v>
      </c>
      <c r="C13" s="339">
        <v>69244.23</v>
      </c>
      <c r="D13" s="339">
        <v>62087.93</v>
      </c>
      <c r="E13" s="352">
        <f t="shared" si="2"/>
        <v>3.0685131204337929E-3</v>
      </c>
      <c r="F13" s="349">
        <f>'T8-TaS'!M14</f>
        <v>491.40165555518428</v>
      </c>
      <c r="G13" s="339">
        <v>1193</v>
      </c>
      <c r="H13" s="339">
        <v>129.78</v>
      </c>
      <c r="I13" s="352">
        <f t="shared" si="0"/>
        <v>1.2190927264856363E-4</v>
      </c>
      <c r="J13" s="350">
        <f>'T14-VVZ'!AL13-'T14-VVZ'!AK13</f>
        <v>130191</v>
      </c>
      <c r="K13" s="339">
        <v>154454.25874587108</v>
      </c>
      <c r="L13" s="339">
        <v>164238.38</v>
      </c>
      <c r="M13" s="352">
        <f t="shared" si="1"/>
        <v>6.9031130512077149E-3</v>
      </c>
    </row>
    <row r="14" spans="1:13" s="5" customFormat="1" ht="16.5" thickBot="1">
      <c r="A14" s="344" t="s">
        <v>64</v>
      </c>
      <c r="B14" s="778">
        <f>'T7-mzdy'!N13</f>
        <v>0</v>
      </c>
      <c r="C14" s="779">
        <v>1231900.6299999999</v>
      </c>
      <c r="D14" s="779">
        <v>1121680.32</v>
      </c>
      <c r="E14" s="780"/>
      <c r="F14" s="781">
        <f>'T8-TaS'!M15</f>
        <v>76323.331773682599</v>
      </c>
      <c r="G14" s="779">
        <v>120590.1799290217</v>
      </c>
      <c r="H14" s="779">
        <v>103158.29</v>
      </c>
      <c r="I14" s="780">
        <f t="shared" si="0"/>
        <v>1.8717317771867584E-2</v>
      </c>
      <c r="J14" s="782">
        <f>'T14-VVZ'!AL14-'T14-VVZ'!AK14</f>
        <v>41291</v>
      </c>
      <c r="K14" s="779">
        <v>47841.235614286241</v>
      </c>
      <c r="L14" s="779">
        <v>79506.48</v>
      </c>
      <c r="M14" s="780">
        <f t="shared" si="1"/>
        <v>2.4801818959801812E-3</v>
      </c>
    </row>
    <row r="15" spans="1:13" s="17" customFormat="1" ht="15.75" thickBot="1">
      <c r="A15" s="342" t="s">
        <v>2</v>
      </c>
      <c r="B15" s="783">
        <f>SUM(B5:B14)</f>
        <v>23429935.715114098</v>
      </c>
      <c r="C15" s="784">
        <f t="shared" ref="C15:E15" si="3">SUM(C5:C14)</f>
        <v>20265729.999999996</v>
      </c>
      <c r="D15" s="784">
        <f t="shared" si="3"/>
        <v>18384248.009999998</v>
      </c>
      <c r="E15" s="785">
        <f t="shared" si="3"/>
        <v>1.0000000000000004</v>
      </c>
      <c r="F15" s="783">
        <f>SUM(F5:F14)</f>
        <v>6052771.9232180687</v>
      </c>
      <c r="G15" s="784">
        <f t="shared" ref="G15" si="4">SUM(G5:G14)</f>
        <v>4754716.2034999989</v>
      </c>
      <c r="H15" s="784">
        <f t="shared" ref="H15" si="5">SUM(H5:H14)</f>
        <v>4294838.9899999993</v>
      </c>
      <c r="I15" s="785">
        <f t="shared" ref="I15" si="6">SUM(I5:I14)</f>
        <v>1.0000000000000002</v>
      </c>
      <c r="J15" s="783">
        <f>SUM(J5:J14)</f>
        <v>25131703</v>
      </c>
      <c r="K15" s="784">
        <f t="shared" ref="K15" si="7">SUM(K5:K14)</f>
        <v>18823924.999999996</v>
      </c>
      <c r="L15" s="784">
        <f t="shared" ref="L15" si="8">SUM(L5:L14)</f>
        <v>17742310</v>
      </c>
      <c r="M15" s="785">
        <f t="shared" ref="M15" si="9">SUM(M5:M14)</f>
        <v>1</v>
      </c>
    </row>
    <row r="16" spans="1:13" s="17" customFormat="1" ht="15.75" thickBot="1">
      <c r="A16" s="345" t="s">
        <v>370</v>
      </c>
      <c r="B16" s="77">
        <f>SUM(B5:B13)</f>
        <v>23429935.715114098</v>
      </c>
      <c r="C16" s="78">
        <f t="shared" ref="C16:E16" si="10">SUM(C5:C13)</f>
        <v>19033829.369999997</v>
      </c>
      <c r="D16" s="78">
        <f t="shared" si="10"/>
        <v>17262567.689999998</v>
      </c>
      <c r="E16" s="354">
        <f t="shared" si="10"/>
        <v>1.0000000000000004</v>
      </c>
      <c r="F16" s="77">
        <f>SUM(F5:F14)</f>
        <v>6052771.9232180687</v>
      </c>
      <c r="G16" s="78">
        <f t="shared" ref="G16:M16" si="11">SUM(G5:G14)</f>
        <v>4754716.2034999989</v>
      </c>
      <c r="H16" s="78">
        <f t="shared" si="11"/>
        <v>4294838.9899999993</v>
      </c>
      <c r="I16" s="79">
        <f t="shared" si="11"/>
        <v>1.0000000000000002</v>
      </c>
      <c r="J16" s="77">
        <f>SUM(J5:J14)</f>
        <v>25131703</v>
      </c>
      <c r="K16" s="78">
        <f t="shared" si="11"/>
        <v>18823924.999999996</v>
      </c>
      <c r="L16" s="78">
        <f t="shared" si="11"/>
        <v>17742310</v>
      </c>
      <c r="M16" s="79">
        <f t="shared" si="11"/>
        <v>1</v>
      </c>
    </row>
    <row r="19" spans="1:13" ht="15.75" thickBot="1">
      <c r="C19" s="1001"/>
      <c r="D19" s="1001"/>
      <c r="E19" s="1001"/>
      <c r="F19" s="1001"/>
      <c r="G19" s="1001"/>
      <c r="H19" s="1001"/>
      <c r="I19" s="1001"/>
      <c r="J19" s="1001"/>
      <c r="K19" s="1001"/>
      <c r="L19" s="1001"/>
      <c r="M19" s="1001"/>
    </row>
    <row r="20" spans="1:13" ht="15.75" thickBot="1">
      <c r="A20" s="340" t="s">
        <v>479</v>
      </c>
      <c r="B20" s="42">
        <v>2021</v>
      </c>
      <c r="C20" s="43">
        <v>2020</v>
      </c>
      <c r="D20" s="43">
        <v>2019</v>
      </c>
      <c r="E20" s="44" t="s">
        <v>480</v>
      </c>
      <c r="F20" s="42">
        <v>2021</v>
      </c>
      <c r="G20" s="43">
        <v>2020</v>
      </c>
      <c r="H20" s="43">
        <v>2019</v>
      </c>
      <c r="I20" s="44" t="s">
        <v>480</v>
      </c>
      <c r="J20" s="42">
        <v>2021</v>
      </c>
      <c r="K20" s="43">
        <v>2020</v>
      </c>
      <c r="L20" s="43">
        <v>2019</v>
      </c>
      <c r="M20" s="44" t="s">
        <v>480</v>
      </c>
    </row>
    <row r="21" spans="1:13">
      <c r="A21" s="342" t="s">
        <v>2</v>
      </c>
      <c r="B21" s="1221">
        <f>B4/B$4</f>
        <v>1</v>
      </c>
      <c r="C21" s="1226">
        <f t="shared" ref="C21:L21" si="12">C4/C$4</f>
        <v>1</v>
      </c>
      <c r="D21" s="1226">
        <f t="shared" si="12"/>
        <v>1</v>
      </c>
      <c r="E21" s="1227">
        <f>E4-B21</f>
        <v>0</v>
      </c>
      <c r="F21" s="1228">
        <f t="shared" si="12"/>
        <v>1</v>
      </c>
      <c r="G21" s="1226">
        <f t="shared" si="12"/>
        <v>1</v>
      </c>
      <c r="H21" s="1226">
        <f t="shared" si="12"/>
        <v>1</v>
      </c>
      <c r="I21" s="1227">
        <f>I4-F21</f>
        <v>0</v>
      </c>
      <c r="J21" s="1221">
        <f t="shared" si="12"/>
        <v>1</v>
      </c>
      <c r="K21" s="1226">
        <f t="shared" si="12"/>
        <v>1</v>
      </c>
      <c r="L21" s="1226">
        <f t="shared" si="12"/>
        <v>1</v>
      </c>
      <c r="M21" s="1227">
        <f>M4-J21</f>
        <v>0</v>
      </c>
    </row>
    <row r="22" spans="1:13">
      <c r="A22" s="343" t="s">
        <v>6</v>
      </c>
      <c r="B22" s="1222">
        <f>B5/B$4</f>
        <v>7.944755575042689E-2</v>
      </c>
      <c r="C22" s="1229">
        <f t="shared" ref="C22:L22" si="13">C5/C$4</f>
        <v>8.7081750817759832E-2</v>
      </c>
      <c r="D22" s="1229">
        <f t="shared" si="13"/>
        <v>8.7284774443860819E-2</v>
      </c>
      <c r="E22" s="352">
        <f t="shared" ref="E22:E33" si="14">E5-B22</f>
        <v>6.7650794891764704E-3</v>
      </c>
      <c r="F22" s="1230">
        <f t="shared" si="13"/>
        <v>8.4968266860633065E-2</v>
      </c>
      <c r="G22" s="1229">
        <f t="shared" si="13"/>
        <v>8.7142770244069787E-2</v>
      </c>
      <c r="H22" s="1229">
        <f t="shared" si="13"/>
        <v>8.5795944853811756E-2</v>
      </c>
      <c r="I22" s="352">
        <f t="shared" ref="I22:I33" si="15">I5-F22</f>
        <v>8.1788719254873021E-4</v>
      </c>
      <c r="J22" s="1231">
        <f t="shared" si="13"/>
        <v>5.7282932375012918E-2</v>
      </c>
      <c r="K22" s="1229">
        <f t="shared" si="13"/>
        <v>5.167259054186725E-2</v>
      </c>
      <c r="L22" s="1229">
        <f t="shared" si="13"/>
        <v>5.1055978618342254E-2</v>
      </c>
      <c r="M22" s="352">
        <f t="shared" ref="M22:M33" si="16">M5-J22</f>
        <v>-2.9284944409326413E-3</v>
      </c>
    </row>
    <row r="23" spans="1:13">
      <c r="A23" s="343" t="s">
        <v>3</v>
      </c>
      <c r="B23" s="1222">
        <f t="shared" ref="B23:B31" si="17">B6/B$4</f>
        <v>0.20475128565987061</v>
      </c>
      <c r="C23" s="1229">
        <f t="shared" ref="C23:L23" si="18">C6/C$4</f>
        <v>0.15682913174112159</v>
      </c>
      <c r="D23" s="1229">
        <f t="shared" si="18"/>
        <v>0.1482659867295088</v>
      </c>
      <c r="E23" s="352">
        <f t="shared" si="14"/>
        <v>-2.0489882386808184E-2</v>
      </c>
      <c r="F23" s="1230">
        <f t="shared" si="18"/>
        <v>0.20053270221385841</v>
      </c>
      <c r="G23" s="1229">
        <f t="shared" si="18"/>
        <v>0.1722808734494404</v>
      </c>
      <c r="H23" s="1229">
        <f t="shared" si="18"/>
        <v>0.16198416052382872</v>
      </c>
      <c r="I23" s="352">
        <f t="shared" si="15"/>
        <v>-1.6185255619978911E-2</v>
      </c>
      <c r="J23" s="1231">
        <f t="shared" si="18"/>
        <v>0.25628590534775558</v>
      </c>
      <c r="K23" s="1229">
        <f t="shared" si="18"/>
        <v>0.23489238375017613</v>
      </c>
      <c r="L23" s="1229">
        <f t="shared" si="18"/>
        <v>0.23552898354272922</v>
      </c>
      <c r="M23" s="352">
        <f t="shared" si="16"/>
        <v>-1.0569445939135808E-2</v>
      </c>
    </row>
    <row r="24" spans="1:13">
      <c r="A24" s="343" t="s">
        <v>5</v>
      </c>
      <c r="B24" s="1222">
        <f t="shared" si="17"/>
        <v>0.19433076456368689</v>
      </c>
      <c r="C24" s="1229">
        <f t="shared" ref="C24:L24" si="19">C7/C$4</f>
        <v>0.18146528992540609</v>
      </c>
      <c r="D24" s="1229">
        <f t="shared" si="19"/>
        <v>0.1760900940848926</v>
      </c>
      <c r="E24" s="352">
        <f t="shared" si="14"/>
        <v>-1.4948036909773754E-3</v>
      </c>
      <c r="F24" s="1230">
        <f t="shared" si="19"/>
        <v>0.1542092990984289</v>
      </c>
      <c r="G24" s="1229">
        <f t="shared" si="19"/>
        <v>0.14975259590910386</v>
      </c>
      <c r="H24" s="1229">
        <f t="shared" si="19"/>
        <v>0.15360573469692346</v>
      </c>
      <c r="I24" s="352">
        <f t="shared" si="15"/>
        <v>-1.4577227874636445E-3</v>
      </c>
      <c r="J24" s="1231">
        <f t="shared" si="19"/>
        <v>0.24228406814627995</v>
      </c>
      <c r="K24" s="1229">
        <f t="shared" si="19"/>
        <v>0.23896134252806958</v>
      </c>
      <c r="L24" s="1229">
        <f t="shared" si="19"/>
        <v>0.24070592611672326</v>
      </c>
      <c r="M24" s="352">
        <f t="shared" si="16"/>
        <v>-1.3124509116619887E-3</v>
      </c>
    </row>
    <row r="25" spans="1:13">
      <c r="A25" s="343" t="s">
        <v>7</v>
      </c>
      <c r="B25" s="1222">
        <f t="shared" si="17"/>
        <v>9.7716478019869754E-2</v>
      </c>
      <c r="C25" s="1229">
        <f t="shared" ref="C25:L25" si="20">C8/C$4</f>
        <v>7.199411518854737E-2</v>
      </c>
      <c r="D25" s="1229">
        <f t="shared" si="20"/>
        <v>6.8166621229217517E-2</v>
      </c>
      <c r="E25" s="352">
        <f t="shared" si="14"/>
        <v>-1.1241790323920767E-2</v>
      </c>
      <c r="F25" s="1230">
        <f t="shared" si="20"/>
        <v>0.1223530553554686</v>
      </c>
      <c r="G25" s="1229">
        <f t="shared" si="20"/>
        <v>0.10321433679988551</v>
      </c>
      <c r="H25" s="1229">
        <f t="shared" si="20"/>
        <v>9.3448473854316774E-2</v>
      </c>
      <c r="I25" s="352">
        <f t="shared" si="15"/>
        <v>-1.1522531047338913E-2</v>
      </c>
      <c r="J25" s="1231">
        <f t="shared" si="20"/>
        <v>3.7078746198725421E-2</v>
      </c>
      <c r="K25" s="1229">
        <f t="shared" si="20"/>
        <v>3.2853628007796717E-2</v>
      </c>
      <c r="L25" s="1229">
        <f t="shared" si="20"/>
        <v>3.091393792578306E-2</v>
      </c>
      <c r="M25" s="352">
        <f t="shared" si="16"/>
        <v>-2.5004978495557773E-3</v>
      </c>
    </row>
    <row r="26" spans="1:13">
      <c r="A26" s="343" t="s">
        <v>0</v>
      </c>
      <c r="B26" s="1222">
        <f t="shared" si="17"/>
        <v>0.19737596832307319</v>
      </c>
      <c r="C26" s="1229">
        <f t="shared" ref="C26:L26" si="21">C9/C$4</f>
        <v>0.19242840154290025</v>
      </c>
      <c r="D26" s="1229">
        <f t="shared" si="21"/>
        <v>0.19856179866590129</v>
      </c>
      <c r="E26" s="352">
        <f t="shared" si="14"/>
        <v>5.273917897544611E-3</v>
      </c>
      <c r="F26" s="1230">
        <f t="shared" si="21"/>
        <v>0.18935988211979574</v>
      </c>
      <c r="G26" s="1229">
        <f t="shared" si="21"/>
        <v>0.19943131854837018</v>
      </c>
      <c r="H26" s="1229">
        <f t="shared" si="21"/>
        <v>0.20600467910438552</v>
      </c>
      <c r="I26" s="352">
        <f t="shared" si="15"/>
        <v>6.3503916224760537E-3</v>
      </c>
      <c r="J26" s="1231">
        <f t="shared" si="21"/>
        <v>0.19468181716721866</v>
      </c>
      <c r="K26" s="1229">
        <f t="shared" si="21"/>
        <v>0.21183001894624406</v>
      </c>
      <c r="L26" s="1229">
        <f t="shared" si="21"/>
        <v>0.21106234306581273</v>
      </c>
      <c r="M26" s="352">
        <f t="shared" si="16"/>
        <v>8.4205618401947679E-3</v>
      </c>
    </row>
    <row r="27" spans="1:13">
      <c r="A27" s="343" t="s">
        <v>1</v>
      </c>
      <c r="B27" s="1222">
        <f t="shared" si="17"/>
        <v>7.0843996361824341E-2</v>
      </c>
      <c r="C27" s="1229">
        <f t="shared" ref="C27:L27" si="22">C10/C$4</f>
        <v>7.5089496406001655E-2</v>
      </c>
      <c r="D27" s="1229">
        <f t="shared" si="22"/>
        <v>7.8773395572122359E-2</v>
      </c>
      <c r="E27" s="352">
        <f t="shared" si="14"/>
        <v>5.414543379815312E-3</v>
      </c>
      <c r="F27" s="1230">
        <f t="shared" si="22"/>
        <v>7.4983946839136395E-2</v>
      </c>
      <c r="G27" s="1229">
        <f t="shared" si="22"/>
        <v>8.1141762861889538E-2</v>
      </c>
      <c r="H27" s="1229">
        <f t="shared" si="22"/>
        <v>8.3111921075504816E-2</v>
      </c>
      <c r="I27" s="352">
        <f t="shared" si="15"/>
        <v>3.4729401684040762E-3</v>
      </c>
      <c r="J27" s="1231">
        <f t="shared" si="22"/>
        <v>7.726014736288056E-2</v>
      </c>
      <c r="K27" s="1229">
        <f t="shared" si="22"/>
        <v>8.8789861248182458E-2</v>
      </c>
      <c r="L27" s="1229">
        <f t="shared" si="22"/>
        <v>8.9688828568546042E-2</v>
      </c>
      <c r="M27" s="352">
        <f t="shared" si="16"/>
        <v>5.9446488696183741E-3</v>
      </c>
    </row>
    <row r="28" spans="1:13">
      <c r="A28" s="343" t="s">
        <v>4</v>
      </c>
      <c r="B28" s="1222">
        <f t="shared" si="17"/>
        <v>0.13863309284466399</v>
      </c>
      <c r="C28" s="1229">
        <f t="shared" ref="C28:L28" si="23">C11/C$4</f>
        <v>0.15475859838258973</v>
      </c>
      <c r="D28" s="1229">
        <f t="shared" si="23"/>
        <v>0.16176935058752465</v>
      </c>
      <c r="E28" s="352">
        <f t="shared" si="14"/>
        <v>1.4715562063616877E-2</v>
      </c>
      <c r="F28" s="1230">
        <f t="shared" si="23"/>
        <v>0.14913104305497246</v>
      </c>
      <c r="G28" s="1229">
        <f t="shared" si="23"/>
        <v>0.16589849344403967</v>
      </c>
      <c r="H28" s="1229">
        <f t="shared" si="23"/>
        <v>0.17454979569664894</v>
      </c>
      <c r="I28" s="352">
        <f t="shared" si="15"/>
        <v>1.0113986672233677E-2</v>
      </c>
      <c r="J28" s="1231">
        <f t="shared" si="23"/>
        <v>9.918321488930594E-2</v>
      </c>
      <c r="K28" s="1229">
        <f t="shared" si="23"/>
        <v>0.113404384973154</v>
      </c>
      <c r="L28" s="1229">
        <f t="shared" si="23"/>
        <v>0.11332356722433551</v>
      </c>
      <c r="M28" s="352">
        <f t="shared" si="16"/>
        <v>7.0944195188914622E-3</v>
      </c>
    </row>
    <row r="29" spans="1:13">
      <c r="A29" s="343" t="s">
        <v>17</v>
      </c>
      <c r="B29" s="1222">
        <f t="shared" si="17"/>
        <v>1.2324355159263197E-2</v>
      </c>
      <c r="C29" s="1229">
        <f t="shared" ref="C29:L29" si="24">C12/C$4</f>
        <v>1.6149022018945282E-2</v>
      </c>
      <c r="D29" s="1229">
        <f t="shared" si="24"/>
        <v>1.6697624509852124E-2</v>
      </c>
      <c r="E29" s="352">
        <f t="shared" si="14"/>
        <v>2.5653637684406282E-3</v>
      </c>
      <c r="F29" s="1230">
        <f t="shared" si="24"/>
        <v>1.1770956328755263E-2</v>
      </c>
      <c r="G29" s="1229">
        <f t="shared" si="24"/>
        <v>1.5524715442126845E-2</v>
      </c>
      <c r="H29" s="1229">
        <f t="shared" si="24"/>
        <v>1.744994166253962E-2</v>
      </c>
      <c r="I29" s="352">
        <f t="shared" si="15"/>
        <v>2.2619248835540947E-3</v>
      </c>
      <c r="J29" s="1231">
        <f t="shared" si="24"/>
        <v>2.9119874173265305E-2</v>
      </c>
      <c r="K29" s="1229">
        <f t="shared" si="24"/>
        <v>1.6849067715712152E-2</v>
      </c>
      <c r="L29" s="1229">
        <f t="shared" si="24"/>
        <v>1.3982378281069376E-2</v>
      </c>
      <c r="M29" s="352">
        <f t="shared" si="16"/>
        <v>-6.708741695050556E-3</v>
      </c>
    </row>
    <row r="30" spans="1:13">
      <c r="A30" s="343" t="s">
        <v>205</v>
      </c>
      <c r="B30" s="1222">
        <f t="shared" si="17"/>
        <v>2.5103833129556667E-3</v>
      </c>
      <c r="C30" s="1229">
        <f t="shared" ref="C30:L30" si="25">C13/C$4</f>
        <v>3.4168140007786543E-3</v>
      </c>
      <c r="D30" s="1229">
        <f t="shared" si="25"/>
        <v>3.3772352287675827E-3</v>
      </c>
      <c r="E30" s="352">
        <f t="shared" si="14"/>
        <v>5.5812980747812612E-4</v>
      </c>
      <c r="F30" s="1230">
        <f t="shared" si="25"/>
        <v>8.1186216093251859E-5</v>
      </c>
      <c r="G30" s="1229">
        <f t="shared" si="25"/>
        <v>2.5090877119476006E-4</v>
      </c>
      <c r="H30" s="1229">
        <f t="shared" si="25"/>
        <v>3.0217663572487816E-5</v>
      </c>
      <c r="I30" s="352">
        <f t="shared" si="15"/>
        <v>4.0723056555311767E-5</v>
      </c>
      <c r="J30" s="1231">
        <f t="shared" si="25"/>
        <v>5.1803495043829502E-3</v>
      </c>
      <c r="K30" s="1229">
        <f t="shared" si="25"/>
        <v>8.2052100582567719E-3</v>
      </c>
      <c r="L30" s="1229">
        <f t="shared" si="25"/>
        <v>9.2568769230162249E-3</v>
      </c>
      <c r="M30" s="352">
        <f t="shared" si="16"/>
        <v>1.7227635468247647E-3</v>
      </c>
    </row>
    <row r="31" spans="1:13" ht="15.75" thickBot="1">
      <c r="A31" s="344" t="s">
        <v>64</v>
      </c>
      <c r="B31" s="1223">
        <f t="shared" si="17"/>
        <v>0</v>
      </c>
      <c r="C31" s="1232">
        <f t="shared" ref="C31:L31" si="26">C14/C$4</f>
        <v>6.0787379975949539E-2</v>
      </c>
      <c r="D31" s="1232">
        <f t="shared" si="26"/>
        <v>6.1013119492295771E-2</v>
      </c>
      <c r="E31" s="780">
        <f t="shared" si="14"/>
        <v>0</v>
      </c>
      <c r="F31" s="1233">
        <f t="shared" si="26"/>
        <v>1.2609649227442005E-2</v>
      </c>
      <c r="G31" s="1232">
        <f t="shared" si="26"/>
        <v>2.5362224529879174E-2</v>
      </c>
      <c r="H31" s="1232">
        <f t="shared" si="26"/>
        <v>2.4019128540091954E-2</v>
      </c>
      <c r="I31" s="780">
        <f t="shared" si="15"/>
        <v>6.1076685444255794E-3</v>
      </c>
      <c r="J31" s="1234">
        <f t="shared" si="26"/>
        <v>1.6429846255538124E-3</v>
      </c>
      <c r="K31" s="1232">
        <f t="shared" si="26"/>
        <v>2.541512230540987E-3</v>
      </c>
      <c r="L31" s="1232">
        <f t="shared" si="26"/>
        <v>4.4811797336423492E-3</v>
      </c>
      <c r="M31" s="780">
        <f t="shared" si="16"/>
        <v>8.3719727042636883E-4</v>
      </c>
    </row>
    <row r="32" spans="1:13" ht="15.75" thickBot="1">
      <c r="A32" s="342" t="s">
        <v>2</v>
      </c>
      <c r="B32" s="1224">
        <f>SUM(B22:B31)</f>
        <v>0.99793387999563454</v>
      </c>
      <c r="C32" s="1235">
        <f t="shared" ref="C32:L32" si="27">SUM(C22:C31)</f>
        <v>0.99999999999999989</v>
      </c>
      <c r="D32" s="1235">
        <f t="shared" si="27"/>
        <v>1.0000000005439433</v>
      </c>
      <c r="E32" s="1236">
        <f t="shared" si="14"/>
        <v>2.0661200043659012E-3</v>
      </c>
      <c r="F32" s="1224">
        <f t="shared" si="27"/>
        <v>0.99999998731458406</v>
      </c>
      <c r="G32" s="1235">
        <f t="shared" si="27"/>
        <v>0.99999999999999967</v>
      </c>
      <c r="H32" s="1235">
        <f t="shared" si="27"/>
        <v>0.99999999767162395</v>
      </c>
      <c r="I32" s="1236">
        <f t="shared" si="15"/>
        <v>1.2685416161950513E-8</v>
      </c>
      <c r="J32" s="1224">
        <f t="shared" si="27"/>
        <v>1.0000000397903812</v>
      </c>
      <c r="K32" s="1235">
        <f t="shared" si="27"/>
        <v>1</v>
      </c>
      <c r="L32" s="1235">
        <f t="shared" si="27"/>
        <v>1</v>
      </c>
      <c r="M32" s="1236">
        <f t="shared" si="16"/>
        <v>-3.9790381212156944E-8</v>
      </c>
    </row>
    <row r="33" spans="1:13" ht="15.75" thickBot="1">
      <c r="A33" s="345" t="s">
        <v>370</v>
      </c>
      <c r="B33" s="1225">
        <f>SUM(B22:B30)</f>
        <v>0.99793387999563454</v>
      </c>
      <c r="C33" s="1237">
        <f t="shared" ref="C33:L33" si="28">SUM(C22:C30)</f>
        <v>0.93921262002405037</v>
      </c>
      <c r="D33" s="1237">
        <f t="shared" si="28"/>
        <v>0.93898688105164763</v>
      </c>
      <c r="E33" s="1238">
        <f t="shared" si="14"/>
        <v>2.0661200043659012E-3</v>
      </c>
      <c r="F33" s="1225">
        <f t="shared" si="28"/>
        <v>0.98739033808714205</v>
      </c>
      <c r="G33" s="1237">
        <f t="shared" si="28"/>
        <v>0.97463777547012054</v>
      </c>
      <c r="H33" s="1237">
        <f t="shared" si="28"/>
        <v>0.97598086913153204</v>
      </c>
      <c r="I33" s="1238">
        <f t="shared" si="15"/>
        <v>1.2609661912858172E-2</v>
      </c>
      <c r="J33" s="1225">
        <f t="shared" si="28"/>
        <v>0.99835705516482731</v>
      </c>
      <c r="K33" s="1237">
        <f t="shared" si="28"/>
        <v>0.99745848776945911</v>
      </c>
      <c r="L33" s="1237">
        <f t="shared" si="28"/>
        <v>0.99551882026635763</v>
      </c>
      <c r="M33" s="1238">
        <f t="shared" si="16"/>
        <v>1.6429448351726883E-3</v>
      </c>
    </row>
    <row r="37" spans="1:13">
      <c r="E37" s="1001"/>
    </row>
    <row r="38" spans="1:13">
      <c r="E38" s="1001"/>
    </row>
    <row r="39" spans="1:13">
      <c r="E39" s="1001"/>
    </row>
    <row r="40" spans="1:13">
      <c r="E40" s="1001"/>
    </row>
    <row r="41" spans="1:13">
      <c r="E41" s="1001"/>
    </row>
    <row r="42" spans="1:13">
      <c r="E42" s="1001"/>
    </row>
    <row r="43" spans="1:13">
      <c r="E43" s="1001"/>
    </row>
    <row r="44" spans="1:13">
      <c r="E44" s="1001"/>
    </row>
    <row r="45" spans="1:13">
      <c r="E45" s="1001"/>
    </row>
    <row r="46" spans="1:13">
      <c r="E46" s="1001"/>
    </row>
  </sheetData>
  <sheetProtection algorithmName="SHA-512" hashValue="PrIb/6VxakILXzWXCSP8Ro3hTN6s9Vr40ahXubD7W2jUE9KTATVOZKVw1YEuvzagW3qWkJoLc9UL1pcGlZQZjA==" saltValue="wO9eWaAD/T4Xddyv4/UzMg==" spinCount="100000" sheet="1" objects="1" scenarios="1"/>
  <mergeCells count="3">
    <mergeCell ref="B2:E2"/>
    <mergeCell ref="F2:I2"/>
    <mergeCell ref="J2:M2"/>
  </mergeCells>
  <conditionalFormatting sqref="E21:E33 I21:I33 M21:M33">
    <cfRule type="cellIs" dxfId="12" priority="1" operator="lessThan">
      <formula>0</formula>
    </cfRule>
    <cfRule type="cellIs" dxfId="11" priority="2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15:D16 H15:I16 L15:L16 C15:C16 G15:G16 K15:K16" formulaRange="1"/>
    <ignoredError sqref="I21 I22:I33 E21:E33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BI45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J4" sqref="J4"/>
    </sheetView>
  </sheetViews>
  <sheetFormatPr defaultColWidth="9.42578125" defaultRowHeight="15"/>
  <cols>
    <col min="1" max="1" width="48" style="1" customWidth="1"/>
    <col min="2" max="10" width="9.42578125" style="1"/>
    <col min="11" max="12" width="10.28515625" style="1" customWidth="1"/>
    <col min="13" max="37" width="9.42578125" style="1"/>
    <col min="38" max="38" width="9.42578125" style="3"/>
    <col min="39" max="39" width="9.42578125" style="4"/>
    <col min="40" max="58" width="9.42578125" style="1"/>
    <col min="62" max="16384" width="9.42578125" style="1"/>
  </cols>
  <sheetData>
    <row r="1" spans="1:12" ht="100.9" customHeight="1" thickBot="1">
      <c r="A1" s="497"/>
      <c r="B1" s="503" t="s">
        <v>9</v>
      </c>
      <c r="C1" s="484" t="s">
        <v>10</v>
      </c>
      <c r="D1" s="484" t="s">
        <v>356</v>
      </c>
      <c r="E1" s="484" t="s">
        <v>357</v>
      </c>
      <c r="F1" s="484" t="s">
        <v>11</v>
      </c>
      <c r="G1" s="484" t="s">
        <v>12</v>
      </c>
      <c r="H1" s="484" t="s">
        <v>13</v>
      </c>
      <c r="I1" s="484" t="s">
        <v>358</v>
      </c>
      <c r="J1" s="484" t="s">
        <v>359</v>
      </c>
      <c r="K1" s="484" t="s">
        <v>14</v>
      </c>
      <c r="L1" s="485" t="s">
        <v>15</v>
      </c>
    </row>
    <row r="2" spans="1:12">
      <c r="A2" s="498" t="s">
        <v>18</v>
      </c>
      <c r="B2" s="504">
        <v>10981</v>
      </c>
      <c r="C2" s="333">
        <v>487</v>
      </c>
      <c r="D2" s="333">
        <v>10211</v>
      </c>
      <c r="E2" s="333">
        <v>7589</v>
      </c>
      <c r="F2" s="333">
        <v>10943.6</v>
      </c>
      <c r="G2" s="333">
        <v>17081.468821311242</v>
      </c>
      <c r="H2" s="333">
        <v>17958.209500000001</v>
      </c>
      <c r="I2" s="333">
        <v>7392</v>
      </c>
      <c r="J2" s="333">
        <v>9250</v>
      </c>
      <c r="K2" s="333">
        <v>2990.1388645376883</v>
      </c>
      <c r="L2" s="334">
        <v>20071.607685848929</v>
      </c>
    </row>
    <row r="3" spans="1:12">
      <c r="A3" s="499" t="s">
        <v>6</v>
      </c>
      <c r="B3" s="505">
        <v>914</v>
      </c>
      <c r="C3" s="506">
        <v>33</v>
      </c>
      <c r="D3" s="506">
        <v>842</v>
      </c>
      <c r="E3" s="506">
        <v>0</v>
      </c>
      <c r="F3" s="506">
        <v>992.4</v>
      </c>
      <c r="G3" s="506">
        <v>1604.8292958267789</v>
      </c>
      <c r="H3" s="506">
        <v>1803.8999999999999</v>
      </c>
      <c r="I3" s="506">
        <v>456</v>
      </c>
      <c r="J3" s="506">
        <v>822</v>
      </c>
      <c r="K3" s="507">
        <v>184.99161353937265</v>
      </c>
      <c r="L3" s="508">
        <v>1789.8209093661515</v>
      </c>
    </row>
    <row r="4" spans="1:12">
      <c r="A4" s="499" t="s">
        <v>3</v>
      </c>
      <c r="B4" s="505">
        <v>2285</v>
      </c>
      <c r="C4" s="506">
        <v>73</v>
      </c>
      <c r="D4" s="506">
        <v>2150</v>
      </c>
      <c r="E4" s="506">
        <v>2039</v>
      </c>
      <c r="F4" s="506">
        <v>2142.1</v>
      </c>
      <c r="G4" s="506">
        <v>3320.0624623655908</v>
      </c>
      <c r="H4" s="506">
        <v>3360.1079999999993</v>
      </c>
      <c r="I4" s="506">
        <v>1774</v>
      </c>
      <c r="J4" s="506">
        <v>1878</v>
      </c>
      <c r="K4" s="507">
        <v>434.58515811739824</v>
      </c>
      <c r="L4" s="508">
        <v>3754.6476204829892</v>
      </c>
    </row>
    <row r="5" spans="1:12">
      <c r="A5" s="499" t="s">
        <v>5</v>
      </c>
      <c r="B5" s="505">
        <v>1474</v>
      </c>
      <c r="C5" s="506">
        <v>136</v>
      </c>
      <c r="D5" s="506">
        <v>1302</v>
      </c>
      <c r="E5" s="506">
        <v>1069</v>
      </c>
      <c r="F5" s="506">
        <v>1666.5999999999997</v>
      </c>
      <c r="G5" s="506">
        <v>2928.9614468024351</v>
      </c>
      <c r="H5" s="506">
        <v>3189.4674999999997</v>
      </c>
      <c r="I5" s="506">
        <v>1026</v>
      </c>
      <c r="J5" s="506">
        <v>1291</v>
      </c>
      <c r="K5" s="507">
        <v>633.33301389753547</v>
      </c>
      <c r="L5" s="508">
        <v>3562.2944606999708</v>
      </c>
    </row>
    <row r="6" spans="1:12">
      <c r="A6" s="499" t="s">
        <v>7</v>
      </c>
      <c r="B6" s="505">
        <v>1302</v>
      </c>
      <c r="C6" s="506">
        <v>29</v>
      </c>
      <c r="D6" s="506">
        <v>1248</v>
      </c>
      <c r="E6" s="506">
        <v>1248</v>
      </c>
      <c r="F6" s="506">
        <v>1283.5</v>
      </c>
      <c r="G6" s="506">
        <v>1967.4762711553619</v>
      </c>
      <c r="H6" s="506">
        <v>1974.9800000000002</v>
      </c>
      <c r="I6" s="506">
        <v>1157</v>
      </c>
      <c r="J6" s="506">
        <v>1157</v>
      </c>
      <c r="K6" s="507">
        <v>301.203125</v>
      </c>
      <c r="L6" s="508">
        <v>2268.6793961553622</v>
      </c>
    </row>
    <row r="7" spans="1:12">
      <c r="A7" s="499" t="s">
        <v>0</v>
      </c>
      <c r="B7" s="505">
        <v>2142</v>
      </c>
      <c r="C7" s="506">
        <v>117</v>
      </c>
      <c r="D7" s="506">
        <v>1978</v>
      </c>
      <c r="E7" s="506">
        <v>1352</v>
      </c>
      <c r="F7" s="506">
        <v>2125.4</v>
      </c>
      <c r="G7" s="506">
        <v>3214.3303424513115</v>
      </c>
      <c r="H7" s="506">
        <v>3378.518</v>
      </c>
      <c r="I7" s="506">
        <v>1345</v>
      </c>
      <c r="J7" s="506">
        <v>1808</v>
      </c>
      <c r="K7" s="507">
        <v>623.55558149452588</v>
      </c>
      <c r="L7" s="508">
        <v>3837.8859239458375</v>
      </c>
    </row>
    <row r="8" spans="1:12">
      <c r="A8" s="499" t="s">
        <v>1</v>
      </c>
      <c r="B8" s="505">
        <v>850</v>
      </c>
      <c r="C8" s="506">
        <v>29</v>
      </c>
      <c r="D8" s="506">
        <v>788</v>
      </c>
      <c r="E8" s="506">
        <v>663</v>
      </c>
      <c r="F8" s="506">
        <v>814.99999999999989</v>
      </c>
      <c r="G8" s="506">
        <v>1236.3316941620064</v>
      </c>
      <c r="H8" s="506">
        <v>1277.7000000000003</v>
      </c>
      <c r="I8" s="506">
        <v>591</v>
      </c>
      <c r="J8" s="506">
        <v>681</v>
      </c>
      <c r="K8" s="507">
        <v>274.86340476190475</v>
      </c>
      <c r="L8" s="508">
        <v>1511.1950989239112</v>
      </c>
    </row>
    <row r="9" spans="1:12">
      <c r="A9" s="499" t="s">
        <v>4</v>
      </c>
      <c r="B9" s="505">
        <v>1873</v>
      </c>
      <c r="C9" s="506">
        <v>61</v>
      </c>
      <c r="D9" s="506">
        <v>1783</v>
      </c>
      <c r="E9" s="506">
        <v>1218</v>
      </c>
      <c r="F9" s="506">
        <v>1766.0999999999997</v>
      </c>
      <c r="G9" s="506">
        <v>2579.4693085477543</v>
      </c>
      <c r="H9" s="506">
        <v>2732.7780000000002</v>
      </c>
      <c r="I9" s="506">
        <v>1001</v>
      </c>
      <c r="J9" s="506">
        <v>1500</v>
      </c>
      <c r="K9" s="507">
        <v>480.32696772695095</v>
      </c>
      <c r="L9" s="508">
        <v>3059.7962762747052</v>
      </c>
    </row>
    <row r="10" spans="1:12">
      <c r="A10" s="499" t="s">
        <v>17</v>
      </c>
      <c r="B10" s="505">
        <v>141</v>
      </c>
      <c r="C10" s="506">
        <v>9</v>
      </c>
      <c r="D10" s="506">
        <v>120</v>
      </c>
      <c r="E10" s="506">
        <v>0</v>
      </c>
      <c r="F10" s="506">
        <v>152.5</v>
      </c>
      <c r="G10" s="506">
        <v>230.00799999999998</v>
      </c>
      <c r="H10" s="506">
        <v>240.75799999999998</v>
      </c>
      <c r="I10" s="506">
        <v>42</v>
      </c>
      <c r="J10" s="506">
        <v>113</v>
      </c>
      <c r="K10" s="507">
        <v>57.28</v>
      </c>
      <c r="L10" s="508">
        <v>287.28800000000001</v>
      </c>
    </row>
    <row r="11" spans="1:12">
      <c r="A11" s="500" t="s">
        <v>205</v>
      </c>
      <c r="B11" s="505">
        <v>0</v>
      </c>
      <c r="C11" s="506">
        <v>0</v>
      </c>
      <c r="D11" s="506">
        <v>0</v>
      </c>
      <c r="E11" s="506">
        <v>0</v>
      </c>
      <c r="F11" s="506">
        <v>0</v>
      </c>
      <c r="G11" s="506">
        <v>0</v>
      </c>
      <c r="H11" s="506">
        <v>0</v>
      </c>
      <c r="I11" s="506">
        <v>0</v>
      </c>
      <c r="J11" s="506">
        <v>0</v>
      </c>
      <c r="K11" s="507">
        <v>0</v>
      </c>
      <c r="L11" s="508">
        <v>0</v>
      </c>
    </row>
    <row r="12" spans="1:12">
      <c r="A12" s="501" t="s">
        <v>64</v>
      </c>
      <c r="B12" s="505">
        <v>0</v>
      </c>
      <c r="C12" s="506">
        <v>0</v>
      </c>
      <c r="D12" s="506">
        <v>0</v>
      </c>
      <c r="E12" s="506">
        <v>0</v>
      </c>
      <c r="F12" s="506">
        <v>0</v>
      </c>
      <c r="G12" s="506">
        <v>0</v>
      </c>
      <c r="H12" s="506">
        <v>0</v>
      </c>
      <c r="I12" s="506">
        <v>0</v>
      </c>
      <c r="J12" s="506">
        <v>0</v>
      </c>
      <c r="K12" s="507">
        <v>0</v>
      </c>
      <c r="L12" s="508">
        <v>0</v>
      </c>
    </row>
    <row r="13" spans="1:12" ht="15.75" thickBot="1">
      <c r="A13" s="502" t="s">
        <v>18</v>
      </c>
      <c r="B13" s="509">
        <f>SUM(B3:B12)</f>
        <v>10981</v>
      </c>
      <c r="C13" s="335">
        <f t="shared" ref="C13:L13" si="0">SUM(C3:C12)</f>
        <v>487</v>
      </c>
      <c r="D13" s="335">
        <f t="shared" si="0"/>
        <v>10211</v>
      </c>
      <c r="E13" s="335">
        <f t="shared" si="0"/>
        <v>7589</v>
      </c>
      <c r="F13" s="335">
        <f t="shared" si="0"/>
        <v>10943.6</v>
      </c>
      <c r="G13" s="335">
        <f t="shared" si="0"/>
        <v>17081.468821311242</v>
      </c>
      <c r="H13" s="335">
        <f t="shared" si="0"/>
        <v>17958.209500000001</v>
      </c>
      <c r="I13" s="335">
        <f t="shared" si="0"/>
        <v>7392</v>
      </c>
      <c r="J13" s="335">
        <f t="shared" si="0"/>
        <v>9250</v>
      </c>
      <c r="K13" s="335">
        <f t="shared" si="0"/>
        <v>2990.1388645376883</v>
      </c>
      <c r="L13" s="336">
        <f t="shared" si="0"/>
        <v>20071.607685848929</v>
      </c>
    </row>
    <row r="17" spans="1:12" ht="15.75" thickBot="1">
      <c r="A17" s="1" t="s">
        <v>270</v>
      </c>
    </row>
    <row r="18" spans="1:12">
      <c r="A18" s="498" t="s">
        <v>18</v>
      </c>
      <c r="B18" s="504">
        <f t="shared" ref="B18:L18" si="1">B2-B34</f>
        <v>-154</v>
      </c>
      <c r="C18" s="504">
        <f t="shared" si="1"/>
        <v>14</v>
      </c>
      <c r="D18" s="504">
        <f t="shared" si="1"/>
        <v>-137</v>
      </c>
      <c r="E18" s="504">
        <f t="shared" si="1"/>
        <v>-1422</v>
      </c>
      <c r="F18" s="504">
        <f t="shared" si="1"/>
        <v>-8.3999999999996362</v>
      </c>
      <c r="G18" s="504">
        <f t="shared" si="1"/>
        <v>-728.53117868875779</v>
      </c>
      <c r="H18" s="504">
        <f t="shared" si="1"/>
        <v>0.20950000000084401</v>
      </c>
      <c r="I18" s="504">
        <f t="shared" si="1"/>
        <v>-1419</v>
      </c>
      <c r="J18" s="504">
        <f t="shared" si="1"/>
        <v>86</v>
      </c>
      <c r="K18" s="504">
        <f t="shared" si="1"/>
        <v>-1152.8611354623117</v>
      </c>
      <c r="L18" s="504">
        <f t="shared" si="1"/>
        <v>15928.607685848929</v>
      </c>
    </row>
    <row r="19" spans="1:12">
      <c r="A19" s="499" t="s">
        <v>6</v>
      </c>
      <c r="B19" s="505">
        <f t="shared" ref="B19:L19" si="2">B3-B35</f>
        <v>-15</v>
      </c>
      <c r="C19" s="506">
        <f t="shared" si="2"/>
        <v>-6</v>
      </c>
      <c r="D19" s="506">
        <f t="shared" si="2"/>
        <v>1</v>
      </c>
      <c r="E19" s="506">
        <f t="shared" si="2"/>
        <v>0</v>
      </c>
      <c r="F19" s="506">
        <f t="shared" si="2"/>
        <v>-9.6000000000000227</v>
      </c>
      <c r="G19" s="506">
        <f t="shared" si="2"/>
        <v>-180.17070417322111</v>
      </c>
      <c r="H19" s="506">
        <f t="shared" si="2"/>
        <v>-24.100000000000136</v>
      </c>
      <c r="I19" s="506">
        <f t="shared" si="2"/>
        <v>-195</v>
      </c>
      <c r="J19" s="506">
        <f t="shared" si="2"/>
        <v>19</v>
      </c>
      <c r="K19" s="507">
        <f t="shared" si="2"/>
        <v>-73.008386460627349</v>
      </c>
      <c r="L19" s="508">
        <f t="shared" si="2"/>
        <v>1531.8209093661515</v>
      </c>
    </row>
    <row r="20" spans="1:12">
      <c r="A20" s="499" t="s">
        <v>3</v>
      </c>
      <c r="B20" s="505">
        <f t="shared" ref="B20:L20" si="3">B4-B36</f>
        <v>12</v>
      </c>
      <c r="C20" s="506">
        <f t="shared" si="3"/>
        <v>-3</v>
      </c>
      <c r="D20" s="506">
        <f t="shared" si="3"/>
        <v>17</v>
      </c>
      <c r="E20" s="506">
        <f t="shared" si="3"/>
        <v>-94</v>
      </c>
      <c r="F20" s="506">
        <f t="shared" si="3"/>
        <v>56.099999999999909</v>
      </c>
      <c r="G20" s="506">
        <f t="shared" si="3"/>
        <v>48.062462365590818</v>
      </c>
      <c r="H20" s="506">
        <f t="shared" si="3"/>
        <v>75.107999999999265</v>
      </c>
      <c r="I20" s="506">
        <f t="shared" si="3"/>
        <v>-51</v>
      </c>
      <c r="J20" s="506">
        <f t="shared" si="3"/>
        <v>53</v>
      </c>
      <c r="K20" s="507">
        <f t="shared" si="3"/>
        <v>-175.41484188260176</v>
      </c>
      <c r="L20" s="508">
        <f t="shared" si="3"/>
        <v>3144.6476204829892</v>
      </c>
    </row>
    <row r="21" spans="1:12">
      <c r="A21" s="499" t="s">
        <v>5</v>
      </c>
      <c r="B21" s="505">
        <f t="shared" ref="B21:L21" si="4">B5-B37</f>
        <v>10</v>
      </c>
      <c r="C21" s="506">
        <f t="shared" si="4"/>
        <v>4</v>
      </c>
      <c r="D21" s="506">
        <f t="shared" si="4"/>
        <v>5</v>
      </c>
      <c r="E21" s="506">
        <f t="shared" si="4"/>
        <v>-228</v>
      </c>
      <c r="F21" s="506">
        <f t="shared" si="4"/>
        <v>61.599999999999682</v>
      </c>
      <c r="G21" s="506">
        <f t="shared" si="4"/>
        <v>-141.03855319756485</v>
      </c>
      <c r="H21" s="506">
        <f t="shared" si="4"/>
        <v>90.467499999999745</v>
      </c>
      <c r="I21" s="506">
        <f t="shared" si="4"/>
        <v>-211</v>
      </c>
      <c r="J21" s="506">
        <f t="shared" si="4"/>
        <v>54</v>
      </c>
      <c r="K21" s="507">
        <f t="shared" si="4"/>
        <v>-281.66698610246453</v>
      </c>
      <c r="L21" s="508">
        <f t="shared" si="4"/>
        <v>2647.2944606999708</v>
      </c>
    </row>
    <row r="22" spans="1:12">
      <c r="A22" s="499" t="s">
        <v>7</v>
      </c>
      <c r="B22" s="505">
        <f t="shared" ref="B22:L22" si="5">B6-B38</f>
        <v>45</v>
      </c>
      <c r="C22" s="506">
        <f t="shared" si="5"/>
        <v>2</v>
      </c>
      <c r="D22" s="506">
        <f t="shared" si="5"/>
        <v>40</v>
      </c>
      <c r="E22" s="506">
        <f t="shared" si="5"/>
        <v>40</v>
      </c>
      <c r="F22" s="506">
        <f t="shared" si="5"/>
        <v>22.5</v>
      </c>
      <c r="G22" s="506">
        <f t="shared" si="5"/>
        <v>34.476271155361928</v>
      </c>
      <c r="H22" s="506">
        <f t="shared" si="5"/>
        <v>37.980000000000246</v>
      </c>
      <c r="I22" s="506">
        <f t="shared" si="5"/>
        <v>37</v>
      </c>
      <c r="J22" s="506">
        <f t="shared" si="5"/>
        <v>37</v>
      </c>
      <c r="K22" s="507">
        <f t="shared" si="5"/>
        <v>86.203125</v>
      </c>
      <c r="L22" s="508">
        <f t="shared" si="5"/>
        <v>2053.6793961553622</v>
      </c>
    </row>
    <row r="23" spans="1:12">
      <c r="A23" s="499" t="s">
        <v>0</v>
      </c>
      <c r="B23" s="505">
        <f t="shared" ref="B23:L23" si="6">B7-B39</f>
        <v>-88</v>
      </c>
      <c r="C23" s="506">
        <f t="shared" si="6"/>
        <v>10</v>
      </c>
      <c r="D23" s="506">
        <f t="shared" si="6"/>
        <v>-94</v>
      </c>
      <c r="E23" s="506">
        <f t="shared" si="6"/>
        <v>-500</v>
      </c>
      <c r="F23" s="506">
        <f t="shared" si="6"/>
        <v>-36.599999999999909</v>
      </c>
      <c r="G23" s="506">
        <f t="shared" si="6"/>
        <v>-167.66965754868852</v>
      </c>
      <c r="H23" s="506">
        <f t="shared" si="6"/>
        <v>-37.481999999999971</v>
      </c>
      <c r="I23" s="506">
        <f t="shared" si="6"/>
        <v>-406</v>
      </c>
      <c r="J23" s="506">
        <f t="shared" si="6"/>
        <v>5</v>
      </c>
      <c r="K23" s="507">
        <f t="shared" si="6"/>
        <v>-262.44441850547412</v>
      </c>
      <c r="L23" s="508">
        <f t="shared" si="6"/>
        <v>2951.8859239458375</v>
      </c>
    </row>
    <row r="24" spans="1:12">
      <c r="A24" s="499" t="s">
        <v>1</v>
      </c>
      <c r="B24" s="505">
        <f t="shared" ref="B24:L24" si="7">B8-B40</f>
        <v>-42</v>
      </c>
      <c r="C24" s="506">
        <f t="shared" si="7"/>
        <v>-3</v>
      </c>
      <c r="D24" s="506">
        <f t="shared" si="7"/>
        <v>-34</v>
      </c>
      <c r="E24" s="506">
        <f t="shared" si="7"/>
        <v>-159</v>
      </c>
      <c r="F24" s="506">
        <f t="shared" si="7"/>
        <v>-62.000000000000114</v>
      </c>
      <c r="G24" s="506">
        <f t="shared" si="7"/>
        <v>-132.66830583799356</v>
      </c>
      <c r="H24" s="506">
        <f t="shared" si="7"/>
        <v>-100.29999999999973</v>
      </c>
      <c r="I24" s="506">
        <f t="shared" si="7"/>
        <v>-137</v>
      </c>
      <c r="J24" s="506">
        <f t="shared" si="7"/>
        <v>-47</v>
      </c>
      <c r="K24" s="507">
        <f t="shared" si="7"/>
        <v>-65.136595238095254</v>
      </c>
      <c r="L24" s="508">
        <f t="shared" si="7"/>
        <v>1171.1950989239112</v>
      </c>
    </row>
    <row r="25" spans="1:12">
      <c r="A25" s="499" t="s">
        <v>4</v>
      </c>
      <c r="B25" s="505">
        <f t="shared" ref="B25:L25" si="8">B9-B41</f>
        <v>-57</v>
      </c>
      <c r="C25" s="506">
        <f t="shared" si="8"/>
        <v>12</v>
      </c>
      <c r="D25" s="506">
        <f t="shared" si="8"/>
        <v>-63</v>
      </c>
      <c r="E25" s="506">
        <f t="shared" si="8"/>
        <v>-481</v>
      </c>
      <c r="F25" s="506">
        <f t="shared" si="8"/>
        <v>-32.900000000000318</v>
      </c>
      <c r="G25" s="506">
        <f t="shared" si="8"/>
        <v>-162.53069145224572</v>
      </c>
      <c r="H25" s="506">
        <f t="shared" si="8"/>
        <v>-26.221999999999753</v>
      </c>
      <c r="I25" s="506">
        <f t="shared" si="8"/>
        <v>-410</v>
      </c>
      <c r="J25" s="506">
        <f t="shared" si="8"/>
        <v>-32</v>
      </c>
      <c r="K25" s="507">
        <f t="shared" si="8"/>
        <v>-376.67303227304905</v>
      </c>
      <c r="L25" s="508">
        <f t="shared" si="8"/>
        <v>2202.7962762747052</v>
      </c>
    </row>
    <row r="26" spans="1:12">
      <c r="A26" s="499" t="s">
        <v>17</v>
      </c>
      <c r="B26" s="505">
        <f t="shared" ref="B26:L26" si="9">B10-B42</f>
        <v>-19</v>
      </c>
      <c r="C26" s="506">
        <f t="shared" si="9"/>
        <v>-2</v>
      </c>
      <c r="D26" s="506">
        <f t="shared" si="9"/>
        <v>-9</v>
      </c>
      <c r="E26" s="506">
        <f t="shared" si="9"/>
        <v>0</v>
      </c>
      <c r="F26" s="506">
        <f t="shared" si="9"/>
        <v>-7.5</v>
      </c>
      <c r="G26" s="506">
        <f t="shared" si="9"/>
        <v>-26.992000000000019</v>
      </c>
      <c r="H26" s="506">
        <f t="shared" si="9"/>
        <v>-15.242000000000019</v>
      </c>
      <c r="I26" s="506">
        <f t="shared" si="9"/>
        <v>-46</v>
      </c>
      <c r="J26" s="506">
        <f t="shared" si="9"/>
        <v>-3</v>
      </c>
      <c r="K26" s="507">
        <f t="shared" si="9"/>
        <v>-4.7199999999999989</v>
      </c>
      <c r="L26" s="508">
        <f t="shared" si="9"/>
        <v>225.28800000000001</v>
      </c>
    </row>
    <row r="27" spans="1:12">
      <c r="A27" s="500" t="s">
        <v>205</v>
      </c>
      <c r="B27" s="505">
        <f t="shared" ref="B27:L27" si="10">B11-B43</f>
        <v>0</v>
      </c>
      <c r="C27" s="506">
        <f t="shared" si="10"/>
        <v>0</v>
      </c>
      <c r="D27" s="506">
        <f t="shared" si="10"/>
        <v>0</v>
      </c>
      <c r="E27" s="506">
        <f t="shared" si="10"/>
        <v>0</v>
      </c>
      <c r="F27" s="506">
        <f t="shared" si="10"/>
        <v>0</v>
      </c>
      <c r="G27" s="506">
        <f t="shared" si="10"/>
        <v>0</v>
      </c>
      <c r="H27" s="506">
        <f t="shared" si="10"/>
        <v>0</v>
      </c>
      <c r="I27" s="506">
        <f t="shared" si="10"/>
        <v>0</v>
      </c>
      <c r="J27" s="506">
        <f t="shared" si="10"/>
        <v>0</v>
      </c>
      <c r="K27" s="507">
        <f t="shared" si="10"/>
        <v>0</v>
      </c>
      <c r="L27" s="508">
        <f t="shared" si="10"/>
        <v>0</v>
      </c>
    </row>
    <row r="28" spans="1:12">
      <c r="A28" s="501" t="s">
        <v>64</v>
      </c>
      <c r="B28" s="505">
        <f t="shared" ref="B28:L28" si="11">B12-B44</f>
        <v>0</v>
      </c>
      <c r="C28" s="506">
        <f t="shared" si="11"/>
        <v>0</v>
      </c>
      <c r="D28" s="506">
        <f t="shared" si="11"/>
        <v>0</v>
      </c>
      <c r="E28" s="506">
        <f t="shared" si="11"/>
        <v>0</v>
      </c>
      <c r="F28" s="506">
        <f t="shared" si="11"/>
        <v>0</v>
      </c>
      <c r="G28" s="506">
        <f t="shared" si="11"/>
        <v>0</v>
      </c>
      <c r="H28" s="506">
        <f t="shared" si="11"/>
        <v>0</v>
      </c>
      <c r="I28" s="506">
        <f t="shared" si="11"/>
        <v>0</v>
      </c>
      <c r="J28" s="506">
        <f t="shared" si="11"/>
        <v>0</v>
      </c>
      <c r="K28" s="507">
        <f t="shared" si="11"/>
        <v>0</v>
      </c>
      <c r="L28" s="508">
        <f t="shared" si="11"/>
        <v>0</v>
      </c>
    </row>
    <row r="29" spans="1:12" ht="15.75" thickBot="1">
      <c r="A29" s="502" t="s">
        <v>18</v>
      </c>
      <c r="B29" s="509">
        <f>SUM(B19:B28)</f>
        <v>-154</v>
      </c>
      <c r="C29" s="335">
        <f t="shared" ref="C29:L29" si="12">SUM(C19:C28)</f>
        <v>14</v>
      </c>
      <c r="D29" s="335">
        <f t="shared" si="12"/>
        <v>-137</v>
      </c>
      <c r="E29" s="335">
        <f t="shared" si="12"/>
        <v>-1422</v>
      </c>
      <c r="F29" s="335">
        <f t="shared" si="12"/>
        <v>-8.4000000000007731</v>
      </c>
      <c r="G29" s="335">
        <f t="shared" si="12"/>
        <v>-728.53117868876097</v>
      </c>
      <c r="H29" s="335">
        <f t="shared" si="12"/>
        <v>0.2094999999996503</v>
      </c>
      <c r="I29" s="335">
        <f t="shared" si="12"/>
        <v>-1419</v>
      </c>
      <c r="J29" s="335">
        <f t="shared" si="12"/>
        <v>86</v>
      </c>
      <c r="K29" s="335">
        <f t="shared" si="12"/>
        <v>-1152.8611354623122</v>
      </c>
      <c r="L29" s="336">
        <f t="shared" si="12"/>
        <v>15928.607685848929</v>
      </c>
    </row>
    <row r="33" spans="1:12" ht="15.75" thickBot="1">
      <c r="A33" s="1" t="s">
        <v>229</v>
      </c>
    </row>
    <row r="34" spans="1:12">
      <c r="A34" s="498" t="s">
        <v>18</v>
      </c>
      <c r="B34" s="504">
        <v>11135</v>
      </c>
      <c r="C34" s="333">
        <v>473</v>
      </c>
      <c r="D34" s="333">
        <v>10348</v>
      </c>
      <c r="E34" s="333">
        <v>9011</v>
      </c>
      <c r="F34" s="333">
        <v>10952</v>
      </c>
      <c r="G34" s="333">
        <v>17810</v>
      </c>
      <c r="H34" s="333">
        <v>17958</v>
      </c>
      <c r="I34" s="333">
        <v>8811</v>
      </c>
      <c r="J34" s="333">
        <v>9164</v>
      </c>
      <c r="K34" s="333">
        <v>4143</v>
      </c>
      <c r="L34" s="334">
        <v>4143</v>
      </c>
    </row>
    <row r="35" spans="1:12">
      <c r="A35" s="499" t="s">
        <v>6</v>
      </c>
      <c r="B35" s="505">
        <v>929</v>
      </c>
      <c r="C35" s="506">
        <v>39</v>
      </c>
      <c r="D35" s="506">
        <v>841</v>
      </c>
      <c r="E35" s="506">
        <v>0</v>
      </c>
      <c r="F35" s="506">
        <v>1002</v>
      </c>
      <c r="G35" s="506">
        <v>1785</v>
      </c>
      <c r="H35" s="506">
        <v>1828</v>
      </c>
      <c r="I35" s="506">
        <v>651</v>
      </c>
      <c r="J35" s="506">
        <v>803</v>
      </c>
      <c r="K35" s="507">
        <v>258</v>
      </c>
      <c r="L35" s="508">
        <v>258</v>
      </c>
    </row>
    <row r="36" spans="1:12">
      <c r="A36" s="499" t="s">
        <v>3</v>
      </c>
      <c r="B36" s="505">
        <v>2273</v>
      </c>
      <c r="C36" s="506">
        <v>76</v>
      </c>
      <c r="D36" s="506">
        <v>2133</v>
      </c>
      <c r="E36" s="506">
        <v>2133</v>
      </c>
      <c r="F36" s="506">
        <v>2086</v>
      </c>
      <c r="G36" s="506">
        <v>3272</v>
      </c>
      <c r="H36" s="506">
        <v>3285</v>
      </c>
      <c r="I36" s="506">
        <v>1825</v>
      </c>
      <c r="J36" s="506">
        <v>1825</v>
      </c>
      <c r="K36" s="507">
        <v>610</v>
      </c>
      <c r="L36" s="508">
        <v>610</v>
      </c>
    </row>
    <row r="37" spans="1:12">
      <c r="A37" s="499" t="s">
        <v>5</v>
      </c>
      <c r="B37" s="505">
        <v>1464</v>
      </c>
      <c r="C37" s="506">
        <v>132</v>
      </c>
      <c r="D37" s="506">
        <v>1297</v>
      </c>
      <c r="E37" s="506">
        <v>1297</v>
      </c>
      <c r="F37" s="506">
        <v>1605</v>
      </c>
      <c r="G37" s="506">
        <v>3070</v>
      </c>
      <c r="H37" s="506">
        <v>3099</v>
      </c>
      <c r="I37" s="506">
        <v>1237</v>
      </c>
      <c r="J37" s="506">
        <v>1237</v>
      </c>
      <c r="K37" s="507">
        <v>915</v>
      </c>
      <c r="L37" s="508">
        <v>915</v>
      </c>
    </row>
    <row r="38" spans="1:12">
      <c r="A38" s="499" t="s">
        <v>7</v>
      </c>
      <c r="B38" s="505">
        <v>1257</v>
      </c>
      <c r="C38" s="506">
        <v>27</v>
      </c>
      <c r="D38" s="506">
        <v>1208</v>
      </c>
      <c r="E38" s="506">
        <v>1208</v>
      </c>
      <c r="F38" s="506">
        <v>1261</v>
      </c>
      <c r="G38" s="506">
        <v>1933</v>
      </c>
      <c r="H38" s="506">
        <v>1937</v>
      </c>
      <c r="I38" s="506">
        <v>1120</v>
      </c>
      <c r="J38" s="506">
        <v>1120</v>
      </c>
      <c r="K38" s="507">
        <v>215</v>
      </c>
      <c r="L38" s="508">
        <v>215</v>
      </c>
    </row>
    <row r="39" spans="1:12">
      <c r="A39" s="499" t="s">
        <v>0</v>
      </c>
      <c r="B39" s="505">
        <v>2230</v>
      </c>
      <c r="C39" s="506">
        <v>107</v>
      </c>
      <c r="D39" s="506">
        <v>2072</v>
      </c>
      <c r="E39" s="506">
        <v>1852</v>
      </c>
      <c r="F39" s="506">
        <v>2162</v>
      </c>
      <c r="G39" s="506">
        <v>3382</v>
      </c>
      <c r="H39" s="506">
        <v>3416</v>
      </c>
      <c r="I39" s="506">
        <v>1751</v>
      </c>
      <c r="J39" s="506">
        <v>1803</v>
      </c>
      <c r="K39" s="507">
        <v>886</v>
      </c>
      <c r="L39" s="508">
        <v>886</v>
      </c>
    </row>
    <row r="40" spans="1:12">
      <c r="A40" s="499" t="s">
        <v>1</v>
      </c>
      <c r="B40" s="505">
        <v>892</v>
      </c>
      <c r="C40" s="506">
        <v>32</v>
      </c>
      <c r="D40" s="506">
        <v>822</v>
      </c>
      <c r="E40" s="506">
        <v>822</v>
      </c>
      <c r="F40" s="506">
        <v>877</v>
      </c>
      <c r="G40" s="506">
        <v>1369</v>
      </c>
      <c r="H40" s="506">
        <v>1378</v>
      </c>
      <c r="I40" s="506">
        <v>728</v>
      </c>
      <c r="J40" s="506">
        <v>728</v>
      </c>
      <c r="K40" s="507">
        <v>340</v>
      </c>
      <c r="L40" s="508">
        <v>340</v>
      </c>
    </row>
    <row r="41" spans="1:12">
      <c r="A41" s="499" t="s">
        <v>4</v>
      </c>
      <c r="B41" s="505">
        <v>1930</v>
      </c>
      <c r="C41" s="506">
        <v>49</v>
      </c>
      <c r="D41" s="506">
        <v>1846</v>
      </c>
      <c r="E41" s="506">
        <v>1699</v>
      </c>
      <c r="F41" s="506">
        <v>1799</v>
      </c>
      <c r="G41" s="506">
        <v>2742</v>
      </c>
      <c r="H41" s="506">
        <v>2759</v>
      </c>
      <c r="I41" s="506">
        <v>1411</v>
      </c>
      <c r="J41" s="506">
        <v>1532</v>
      </c>
      <c r="K41" s="507">
        <v>857</v>
      </c>
      <c r="L41" s="508">
        <v>857</v>
      </c>
    </row>
    <row r="42" spans="1:12">
      <c r="A42" s="499" t="s">
        <v>17</v>
      </c>
      <c r="B42" s="505">
        <v>160</v>
      </c>
      <c r="C42" s="506">
        <v>11</v>
      </c>
      <c r="D42" s="506">
        <v>129</v>
      </c>
      <c r="E42" s="506">
        <v>0</v>
      </c>
      <c r="F42" s="506">
        <v>160</v>
      </c>
      <c r="G42" s="506">
        <v>257</v>
      </c>
      <c r="H42" s="506">
        <v>256</v>
      </c>
      <c r="I42" s="506">
        <v>88</v>
      </c>
      <c r="J42" s="506">
        <v>116</v>
      </c>
      <c r="K42" s="507">
        <v>62</v>
      </c>
      <c r="L42" s="508">
        <v>62</v>
      </c>
    </row>
    <row r="43" spans="1:12">
      <c r="A43" s="500" t="s">
        <v>205</v>
      </c>
      <c r="B43" s="505">
        <v>0</v>
      </c>
      <c r="C43" s="506">
        <v>0</v>
      </c>
      <c r="D43" s="506">
        <v>0</v>
      </c>
      <c r="E43" s="506">
        <v>0</v>
      </c>
      <c r="F43" s="506">
        <v>0</v>
      </c>
      <c r="G43" s="506">
        <v>0</v>
      </c>
      <c r="H43" s="506">
        <v>0</v>
      </c>
      <c r="I43" s="506">
        <v>0</v>
      </c>
      <c r="J43" s="506">
        <v>0</v>
      </c>
      <c r="K43" s="507">
        <v>0</v>
      </c>
      <c r="L43" s="508">
        <v>0</v>
      </c>
    </row>
    <row r="44" spans="1:12">
      <c r="A44" s="501" t="s">
        <v>64</v>
      </c>
      <c r="B44" s="505">
        <v>0</v>
      </c>
      <c r="C44" s="506">
        <v>0</v>
      </c>
      <c r="D44" s="506">
        <v>0</v>
      </c>
      <c r="E44" s="506">
        <v>0</v>
      </c>
      <c r="F44" s="506">
        <v>0</v>
      </c>
      <c r="G44" s="506">
        <v>0</v>
      </c>
      <c r="H44" s="506">
        <v>0</v>
      </c>
      <c r="I44" s="506">
        <v>0</v>
      </c>
      <c r="J44" s="506">
        <v>0</v>
      </c>
      <c r="K44" s="507">
        <v>0</v>
      </c>
      <c r="L44" s="508">
        <v>0</v>
      </c>
    </row>
    <row r="45" spans="1:12" ht="15.75" thickBot="1">
      <c r="A45" s="502" t="s">
        <v>18</v>
      </c>
      <c r="B45" s="509">
        <v>11135</v>
      </c>
      <c r="C45" s="335">
        <v>473</v>
      </c>
      <c r="D45" s="335">
        <v>10348</v>
      </c>
      <c r="E45" s="335">
        <v>9011</v>
      </c>
      <c r="F45" s="335">
        <v>10952</v>
      </c>
      <c r="G45" s="335">
        <v>17810</v>
      </c>
      <c r="H45" s="335">
        <v>17958</v>
      </c>
      <c r="I45" s="335">
        <v>8811</v>
      </c>
      <c r="J45" s="335">
        <v>9164</v>
      </c>
      <c r="K45" s="335">
        <v>0</v>
      </c>
      <c r="L45" s="336">
        <v>4143</v>
      </c>
    </row>
  </sheetData>
  <sheetProtection algorithmName="SHA-512" hashValue="zX1Jfy61HvJTu6rn9gyIxqkw5jKbG2c/Ub3XHeh5ZrzR4uYVivDZrcXYki8bjB8OcmIYH1OR7YsRt6gBeReOUQ==" saltValue="SEHIjxgv7WAb1y2+is83WQ==" spinCount="100000" sheet="1" objects="1" scenarios="1"/>
  <conditionalFormatting sqref="A18:L29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AZ3336"/>
  <sheetViews>
    <sheetView zoomScale="55" zoomScaleNormal="55"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A9" sqref="AA9"/>
    </sheetView>
  </sheetViews>
  <sheetFormatPr defaultColWidth="10.42578125" defaultRowHeight="15.75"/>
  <cols>
    <col min="1" max="1" width="49" style="5" customWidth="1"/>
    <col min="2" max="2" width="12.42578125" style="5" customWidth="1"/>
    <col min="3" max="3" width="8.42578125" style="5" customWidth="1"/>
    <col min="4" max="4" width="10.5703125" style="5" customWidth="1"/>
    <col min="5" max="5" width="10.42578125" style="5"/>
    <col min="6" max="6" width="10.5703125" style="5" customWidth="1"/>
    <col min="7" max="7" width="7.5703125" style="5" customWidth="1"/>
    <col min="8" max="8" width="8.42578125" style="5" customWidth="1"/>
    <col min="9" max="9" width="8" style="5" customWidth="1"/>
    <col min="10" max="10" width="10" style="5" customWidth="1"/>
    <col min="11" max="11" width="11.5703125" style="5" customWidth="1"/>
    <col min="12" max="12" width="10.42578125" style="5"/>
    <col min="13" max="13" width="11.5703125" style="5" customWidth="1"/>
    <col min="14" max="14" width="11.42578125" style="5" customWidth="1"/>
    <col min="15" max="18" width="10" style="5" customWidth="1"/>
    <col min="19" max="19" width="2.42578125" style="5" customWidth="1"/>
    <col min="20" max="20" width="12.42578125" style="5" customWidth="1"/>
    <col min="21" max="21" width="7.42578125" style="5" customWidth="1"/>
    <col min="22" max="22" width="9.5703125" style="5" customWidth="1"/>
    <col min="23" max="24" width="8.5703125" style="5" customWidth="1"/>
    <col min="25" max="25" width="9" style="5" customWidth="1"/>
    <col min="26" max="34" width="10.5703125" style="5" customWidth="1"/>
    <col min="35" max="35" width="13.5703125" style="5" customWidth="1"/>
    <col min="36" max="36" width="12.42578125" style="5" customWidth="1"/>
    <col min="37" max="37" width="11.42578125" style="5" customWidth="1"/>
    <col min="38" max="38" width="12.42578125" style="5" customWidth="1"/>
    <col min="39" max="39" width="21.5703125" style="5" customWidth="1"/>
    <col min="40" max="40" width="12.42578125" style="5" customWidth="1"/>
    <col min="41" max="51" width="13.140625" style="5" customWidth="1"/>
    <col min="52" max="16384" width="10.42578125" style="5"/>
  </cols>
  <sheetData>
    <row r="1" spans="1:52" ht="16.5" thickBot="1">
      <c r="B1" s="6" t="s">
        <v>19</v>
      </c>
      <c r="C1" s="7" t="s">
        <v>20</v>
      </c>
      <c r="D1" s="8"/>
      <c r="E1" s="1405" t="s">
        <v>21</v>
      </c>
      <c r="F1" s="1406"/>
      <c r="G1" s="1406"/>
      <c r="H1" s="1406"/>
      <c r="I1" s="1406"/>
      <c r="J1" s="1407"/>
      <c r="K1" s="8"/>
      <c r="L1" s="8"/>
      <c r="M1" s="7" t="s">
        <v>22</v>
      </c>
      <c r="N1" s="8"/>
      <c r="O1" s="9"/>
      <c r="P1" s="9"/>
      <c r="Q1" s="9"/>
      <c r="R1" s="9"/>
      <c r="AD1" s="17" t="s">
        <v>26</v>
      </c>
      <c r="AE1" s="17">
        <v>0.4</v>
      </c>
      <c r="AF1" s="17">
        <v>0.38740000000000002</v>
      </c>
      <c r="AG1" s="17">
        <v>0.1203</v>
      </c>
      <c r="AH1" s="17">
        <v>9.2299999999999993E-2</v>
      </c>
      <c r="AI1" s="106" t="s">
        <v>23</v>
      </c>
      <c r="AJ1" s="107" t="s">
        <v>24</v>
      </c>
      <c r="AK1" s="108" t="s">
        <v>25</v>
      </c>
    </row>
    <row r="2" spans="1:52" s="12" customFormat="1" ht="132.75" customHeight="1" thickBot="1">
      <c r="A2" s="41"/>
      <c r="B2" s="42" t="s">
        <v>27</v>
      </c>
      <c r="C2" s="43" t="s">
        <v>28</v>
      </c>
      <c r="D2" s="43" t="s">
        <v>29</v>
      </c>
      <c r="E2" s="44" t="s">
        <v>11</v>
      </c>
      <c r="F2" s="45" t="s">
        <v>12</v>
      </c>
      <c r="G2" s="43" t="s">
        <v>30</v>
      </c>
      <c r="H2" s="43" t="s">
        <v>31</v>
      </c>
      <c r="I2" s="44" t="s">
        <v>32</v>
      </c>
      <c r="J2" s="46" t="s">
        <v>13</v>
      </c>
      <c r="K2" s="42" t="s">
        <v>33</v>
      </c>
      <c r="L2" s="43" t="s">
        <v>34</v>
      </c>
      <c r="M2" s="43" t="s">
        <v>35</v>
      </c>
      <c r="N2" s="44" t="s">
        <v>36</v>
      </c>
      <c r="O2" s="47" t="s">
        <v>37</v>
      </c>
      <c r="P2" s="48" t="s">
        <v>38</v>
      </c>
      <c r="Q2" s="48" t="s">
        <v>39</v>
      </c>
      <c r="R2" s="49" t="s">
        <v>40</v>
      </c>
      <c r="S2" s="10"/>
      <c r="T2" s="29" t="s">
        <v>41</v>
      </c>
      <c r="U2" s="85" t="s">
        <v>42</v>
      </c>
      <c r="V2" s="86" t="s">
        <v>43</v>
      </c>
      <c r="W2" s="30"/>
      <c r="X2" s="31" t="s">
        <v>44</v>
      </c>
      <c r="Y2" s="31" t="s">
        <v>45</v>
      </c>
      <c r="Z2" s="31" t="s">
        <v>46</v>
      </c>
      <c r="AA2" s="31" t="s">
        <v>47</v>
      </c>
      <c r="AB2" s="31" t="s">
        <v>48</v>
      </c>
      <c r="AC2" s="31" t="s">
        <v>49</v>
      </c>
      <c r="AD2" s="31" t="s">
        <v>50</v>
      </c>
      <c r="AE2" s="32" t="s">
        <v>51</v>
      </c>
      <c r="AF2" s="33" t="s">
        <v>52</v>
      </c>
      <c r="AG2" s="33" t="s">
        <v>53</v>
      </c>
      <c r="AH2" s="34" t="s">
        <v>54</v>
      </c>
      <c r="AI2" s="11" t="s">
        <v>65</v>
      </c>
      <c r="AJ2" s="35" t="s">
        <v>69</v>
      </c>
      <c r="AK2" s="36" t="s">
        <v>70</v>
      </c>
      <c r="AM2" s="1209"/>
      <c r="AN2" s="1210" t="s">
        <v>467</v>
      </c>
      <c r="AO2" s="1211" t="s">
        <v>471</v>
      </c>
      <c r="AP2" s="1211" t="s">
        <v>472</v>
      </c>
      <c r="AQ2" s="1211" t="s">
        <v>473</v>
      </c>
      <c r="AR2" s="1211" t="s">
        <v>474</v>
      </c>
      <c r="AS2" s="1211" t="s">
        <v>476</v>
      </c>
      <c r="AT2" s="1211" t="s">
        <v>475</v>
      </c>
      <c r="AU2" s="1211" t="s">
        <v>468</v>
      </c>
      <c r="AV2" s="1211" t="s">
        <v>469</v>
      </c>
      <c r="AW2" s="1211" t="s">
        <v>470</v>
      </c>
      <c r="AX2" s="1211" t="s">
        <v>50</v>
      </c>
      <c r="AY2" s="1217" t="s">
        <v>55</v>
      </c>
      <c r="AZ2" s="1209" t="s">
        <v>477</v>
      </c>
    </row>
    <row r="3" spans="1:52">
      <c r="A3" s="27" t="s">
        <v>2</v>
      </c>
      <c r="B3" s="24">
        <v>10981</v>
      </c>
      <c r="C3" s="20">
        <v>487</v>
      </c>
      <c r="D3" s="20">
        <v>10211</v>
      </c>
      <c r="E3" s="25">
        <v>10943.599999999995</v>
      </c>
      <c r="F3" s="24">
        <v>17081.468821311239</v>
      </c>
      <c r="G3" s="20">
        <v>7525.9834580139832</v>
      </c>
      <c r="H3" s="20">
        <v>6306.8519542063468</v>
      </c>
      <c r="I3" s="25">
        <v>3248.6334090909072</v>
      </c>
      <c r="J3" s="28">
        <v>17958.209500000001</v>
      </c>
      <c r="K3" s="24">
        <v>7589</v>
      </c>
      <c r="L3" s="20">
        <v>7392</v>
      </c>
      <c r="M3" s="20">
        <v>9250</v>
      </c>
      <c r="N3" s="25">
        <v>9254</v>
      </c>
      <c r="O3" s="24">
        <v>2990.1388645376883</v>
      </c>
      <c r="P3" s="20">
        <v>130.22751542652207</v>
      </c>
      <c r="Q3" s="20">
        <v>2494.9713491111665</v>
      </c>
      <c r="R3" s="25">
        <v>364.93999999999994</v>
      </c>
      <c r="S3" s="13"/>
      <c r="T3" s="519">
        <v>20071.607685848925</v>
      </c>
      <c r="U3" s="520">
        <v>559.32203389830511</v>
      </c>
      <c r="V3" s="521">
        <v>2272.985310734462</v>
      </c>
      <c r="W3" s="522" t="s">
        <v>16</v>
      </c>
      <c r="X3" s="93">
        <v>1</v>
      </c>
      <c r="Y3" s="94">
        <v>1.1346030329692485</v>
      </c>
      <c r="Z3" s="94">
        <v>1.2692060659384967</v>
      </c>
      <c r="AA3" s="95">
        <v>7656.2109734405049</v>
      </c>
      <c r="AB3" s="96">
        <v>9986.57541560346</v>
      </c>
      <c r="AC3" s="96">
        <v>4586.3692905322323</v>
      </c>
      <c r="AD3" s="96">
        <v>2832.3073446327671</v>
      </c>
      <c r="AE3" s="546">
        <v>0.1025619813667403</v>
      </c>
      <c r="AF3" s="547">
        <v>0.1276497005301859</v>
      </c>
      <c r="AG3" s="547">
        <v>0.17114701449624029</v>
      </c>
      <c r="AH3" s="548">
        <v>9.9437209620979392E-2</v>
      </c>
      <c r="AI3" s="1074">
        <v>0.12024332682400424</v>
      </c>
      <c r="AJ3" s="523">
        <v>0.11338206590213715</v>
      </c>
      <c r="AK3" s="524">
        <v>0.10705650851352411</v>
      </c>
      <c r="AM3" s="1203" t="s">
        <v>16</v>
      </c>
      <c r="AN3" s="1212">
        <v>1.5214788404738191</v>
      </c>
      <c r="AO3" s="1207">
        <v>7507.16</v>
      </c>
      <c r="AP3" s="1207">
        <v>6865.95</v>
      </c>
      <c r="AQ3" s="1207">
        <v>3387.11</v>
      </c>
      <c r="AR3" s="1207">
        <v>124.48</v>
      </c>
      <c r="AS3" s="1207">
        <v>2690.6</v>
      </c>
      <c r="AT3" s="1207">
        <v>369.93</v>
      </c>
      <c r="AU3" s="1204">
        <v>11611.378820300175</v>
      </c>
      <c r="AV3" s="1204">
        <v>14540.089130902492</v>
      </c>
      <c r="AW3" s="1204">
        <v>5716.2550287040685</v>
      </c>
      <c r="AX3" s="1213">
        <v>2832.3073446327671</v>
      </c>
      <c r="AY3" s="1301">
        <v>34700.030324539504</v>
      </c>
      <c r="AZ3" s="1218">
        <v>0.11185016627018039</v>
      </c>
    </row>
    <row r="4" spans="1:52">
      <c r="A4" s="21" t="s">
        <v>6</v>
      </c>
      <c r="B4" s="23">
        <f>'T5b-studenti'!B3</f>
        <v>914</v>
      </c>
      <c r="C4" s="14">
        <f>'T5b-studenti'!C3</f>
        <v>33</v>
      </c>
      <c r="D4" s="14">
        <f>'T5b-studenti'!D3</f>
        <v>842</v>
      </c>
      <c r="E4" s="15">
        <f>'T5b-studenti'!F3</f>
        <v>992.4</v>
      </c>
      <c r="F4" s="23">
        <f>'T5b-studenti'!G3</f>
        <v>1604.8292958267789</v>
      </c>
      <c r="G4" s="14">
        <v>844.76018691588774</v>
      </c>
      <c r="H4" s="14">
        <v>520.10910891089111</v>
      </c>
      <c r="I4" s="15">
        <v>239.95999999999998</v>
      </c>
      <c r="J4" s="26">
        <f>'T5b-studenti'!H3</f>
        <v>1803.8999999999999</v>
      </c>
      <c r="K4" s="23">
        <f>'T5b-studenti'!E3</f>
        <v>0</v>
      </c>
      <c r="L4" s="14">
        <f>'T5b-studenti'!I3</f>
        <v>456</v>
      </c>
      <c r="M4" s="14">
        <f>'T5b-studenti'!J3</f>
        <v>822</v>
      </c>
      <c r="N4" s="15">
        <v>822</v>
      </c>
      <c r="O4" s="23">
        <f>P4+Q4+R4</f>
        <v>184.99161353937265</v>
      </c>
      <c r="P4" s="14">
        <v>15.970425420560744</v>
      </c>
      <c r="Q4" s="14">
        <v>160.50118811881188</v>
      </c>
      <c r="R4" s="15">
        <v>8.52</v>
      </c>
      <c r="S4" s="13"/>
      <c r="T4" s="83">
        <f t="shared" ref="T4:T13" si="0">F4+O4</f>
        <v>1789.8209093661515</v>
      </c>
      <c r="U4" s="87">
        <f>U$3/8</f>
        <v>69.915254237288138</v>
      </c>
      <c r="V4" s="88">
        <f t="shared" ref="V4:V10" si="1">T4/T$14*V$3</f>
        <v>202.68613752862882</v>
      </c>
      <c r="W4" s="91" t="s">
        <v>56</v>
      </c>
      <c r="X4" s="97">
        <v>1</v>
      </c>
      <c r="Y4" s="18">
        <f>'T16-KIVC'!N6</f>
        <v>0.92736398416823507</v>
      </c>
      <c r="Z4" s="18">
        <f>'T16-KIVC'!O6</f>
        <v>0.85472796833647025</v>
      </c>
      <c r="AA4" s="37">
        <f>+X4*(G4+P4)*AA$16</f>
        <v>860.73061233644819</v>
      </c>
      <c r="AB4" s="38">
        <f>+Y4*(H4+Q4)*AB$16</f>
        <v>634.48475248049363</v>
      </c>
      <c r="AC4" s="38">
        <f>+Z4*(I4+R4)*AC$16</f>
        <v>209.71106090915396</v>
      </c>
      <c r="AD4" s="38">
        <f t="shared" ref="AD4:AD13" si="2">+U4+V4</f>
        <v>272.60139176591696</v>
      </c>
      <c r="AE4" s="549">
        <f t="shared" ref="AE4:AH10" si="3">+AA4/AA$15</f>
        <v>1.1530277487189435E-2</v>
      </c>
      <c r="AF4" s="543">
        <f t="shared" si="3"/>
        <v>8.1100662914495233E-3</v>
      </c>
      <c r="AG4" s="543">
        <f t="shared" si="3"/>
        <v>7.8256720529532031E-3</v>
      </c>
      <c r="AH4" s="550">
        <f t="shared" si="3"/>
        <v>9.5705438844289094E-3</v>
      </c>
      <c r="AI4" s="1075">
        <f>+SUMPRODUCT(AE4:AH4,$AE$1:$AH$1)</f>
        <v>9.5787402246863777E-3</v>
      </c>
      <c r="AJ4" s="39">
        <f>J4/$J$15</f>
        <v>1.1389214981641971E-2</v>
      </c>
      <c r="AK4" s="40">
        <f>E4/$E$15</f>
        <v>9.708220242773985E-3</v>
      </c>
      <c r="AM4" s="1205" t="s">
        <v>56</v>
      </c>
      <c r="AN4" s="1214">
        <f>'T16a-KKS'!G6/'T16a-KKS'!G$14*AN$3</f>
        <v>1.477639982167972</v>
      </c>
      <c r="AO4" s="1208">
        <v>834.87</v>
      </c>
      <c r="AP4" s="1208">
        <v>680.77</v>
      </c>
      <c r="AQ4" s="1208">
        <v>232.59</v>
      </c>
      <c r="AR4" s="1208">
        <v>14.144</v>
      </c>
      <c r="AS4" s="1208">
        <v>202.98400000000001</v>
      </c>
      <c r="AT4" s="1208">
        <v>8.26</v>
      </c>
      <c r="AU4" s="1206">
        <f>$AN4*(AO4+AR4)+5.325</f>
        <v>1259.8620318203587</v>
      </c>
      <c r="AV4" s="1206">
        <f>$AN4*(AP4+AS4)+3.05625</f>
        <v>1308.926494800874</v>
      </c>
      <c r="AW4" s="1206">
        <f>$AN4*(AQ4+AT4)-1.9232</f>
        <v>353.96638970515602</v>
      </c>
      <c r="AX4" s="1299">
        <f>U4+V4</f>
        <v>272.60139176591696</v>
      </c>
      <c r="AY4" s="1300">
        <f>SUM(AU4:AX4)</f>
        <v>3195.3563080923054</v>
      </c>
      <c r="AZ4" s="1219">
        <f>AY4/AY$15</f>
        <v>1.0299735504837404E-2</v>
      </c>
    </row>
    <row r="5" spans="1:52">
      <c r="A5" s="21" t="s">
        <v>3</v>
      </c>
      <c r="B5" s="23">
        <f>'T5b-studenti'!B4</f>
        <v>2285</v>
      </c>
      <c r="C5" s="14">
        <f>'T5b-studenti'!C4</f>
        <v>73</v>
      </c>
      <c r="D5" s="14">
        <f>'T5b-studenti'!D4</f>
        <v>2150</v>
      </c>
      <c r="E5" s="15">
        <f>'T5b-studenti'!F4</f>
        <v>2142.1</v>
      </c>
      <c r="F5" s="23">
        <f>'T5b-studenti'!G4</f>
        <v>3320.0624623655908</v>
      </c>
      <c r="G5" s="14">
        <v>1601.5079999999998</v>
      </c>
      <c r="H5" s="14">
        <v>1096.5944623655914</v>
      </c>
      <c r="I5" s="15">
        <v>621.96</v>
      </c>
      <c r="J5" s="26">
        <f>'T5b-studenti'!H4</f>
        <v>3360.1079999999993</v>
      </c>
      <c r="K5" s="23">
        <f>'T5b-studenti'!E4</f>
        <v>2039</v>
      </c>
      <c r="L5" s="14">
        <f>'T5b-studenti'!I4</f>
        <v>1774</v>
      </c>
      <c r="M5" s="14">
        <f>'T5b-studenti'!J4</f>
        <v>1878</v>
      </c>
      <c r="N5" s="15">
        <v>1878</v>
      </c>
      <c r="O5" s="23">
        <f t="shared" ref="O5:O13" si="4">P5+Q5+R5</f>
        <v>434.58515811739818</v>
      </c>
      <c r="P5" s="14">
        <v>19.683999999999997</v>
      </c>
      <c r="Q5" s="14">
        <v>389.34115811739821</v>
      </c>
      <c r="R5" s="15">
        <v>25.56</v>
      </c>
      <c r="S5" s="13"/>
      <c r="T5" s="83">
        <f t="shared" si="0"/>
        <v>3754.6476204829892</v>
      </c>
      <c r="U5" s="87">
        <f t="shared" ref="U5:U11" si="5">U$3/8</f>
        <v>69.915254237288138</v>
      </c>
      <c r="V5" s="88">
        <f t="shared" si="1"/>
        <v>425.19059867630023</v>
      </c>
      <c r="W5" s="91" t="s">
        <v>57</v>
      </c>
      <c r="X5" s="97">
        <v>1</v>
      </c>
      <c r="Y5" s="18">
        <f>'T16-KIVC'!N7</f>
        <v>1.3759295951652337</v>
      </c>
      <c r="Z5" s="18">
        <f>'T16-KIVC'!O7</f>
        <v>1.7518591903304672</v>
      </c>
      <c r="AA5" s="37">
        <f t="shared" ref="AA5:AA13" si="6">+X5*(G5+P5)*AA$16</f>
        <v>1621.1919999999993</v>
      </c>
      <c r="AB5" s="38">
        <f t="shared" ref="AB5:AB13" si="7">+Y5*(H5+Q5)*AB$16</f>
        <v>2055.2689207780004</v>
      </c>
      <c r="AC5" s="38">
        <f t="shared" ref="AC5:AC13" si="8">+Z5*(I5+R5)*AC$16</f>
        <v>1120.0937312678109</v>
      </c>
      <c r="AD5" s="38">
        <f t="shared" si="2"/>
        <v>495.10585291358836</v>
      </c>
      <c r="AE5" s="549">
        <f t="shared" si="3"/>
        <v>2.1717356571378504E-2</v>
      </c>
      <c r="AF5" s="543">
        <f t="shared" si="3"/>
        <v>2.6270713565773117E-2</v>
      </c>
      <c r="AG5" s="543">
        <f t="shared" si="3"/>
        <v>4.1797920297908173E-2</v>
      </c>
      <c r="AH5" s="550">
        <f t="shared" si="3"/>
        <v>1.7382274764084833E-2</v>
      </c>
      <c r="AI5" s="1075">
        <f t="shared" ref="AI5:AI13" si="9">+SUMPRODUCT(AE5:AH5,$AE$1:$AH$1)</f>
        <v>2.5496890836495291E-2</v>
      </c>
      <c r="AJ5" s="39">
        <f t="shared" ref="AJ5:AJ13" si="10">J5/$J$15</f>
        <v>2.121458638147072E-2</v>
      </c>
      <c r="AK5" s="40">
        <f t="shared" ref="AK5:AK13" si="11">E5/$E$15</f>
        <v>2.095523839383933E-2</v>
      </c>
      <c r="AM5" s="1205" t="s">
        <v>57</v>
      </c>
      <c r="AN5" s="1214">
        <f>'T16a-KKS'!G7/'T16a-KKS'!G$14*AN$3</f>
        <v>1.5212455307935719</v>
      </c>
      <c r="AO5" s="1208">
        <v>1597.31</v>
      </c>
      <c r="AP5" s="1208">
        <v>1133.29</v>
      </c>
      <c r="AQ5" s="1208">
        <v>619.63</v>
      </c>
      <c r="AR5" s="1208">
        <v>19.137</v>
      </c>
      <c r="AS5" s="1208">
        <v>402.81</v>
      </c>
      <c r="AT5" s="1208">
        <v>25.481999999999999</v>
      </c>
      <c r="AU5" s="1206">
        <f t="shared" ref="AU5:AU11" si="12">$AN5*(AO5+AR5)+5.325</f>
        <v>2464.3377745146768</v>
      </c>
      <c r="AV5" s="1206">
        <f t="shared" ref="AV5:AV11" si="13">$AN5*(AP5+AS5)+3.05625</f>
        <v>2339.8415098520059</v>
      </c>
      <c r="AW5" s="1206">
        <f t="shared" ref="AW5:AW11" si="14">$AN5*(AQ5+AT5)-1.9232</f>
        <v>979.45054686130277</v>
      </c>
      <c r="AX5" s="1299">
        <f t="shared" ref="AX5:AX11" si="15">U5+V5</f>
        <v>495.10585291358836</v>
      </c>
      <c r="AY5" s="1300">
        <f t="shared" ref="AY5:AY11" si="16">SUM(AU5:AX5)</f>
        <v>6278.7356841415731</v>
      </c>
      <c r="AZ5" s="1219">
        <f t="shared" ref="AZ5:AZ13" si="17">AY5/AY$15</f>
        <v>2.023853073526297E-2</v>
      </c>
    </row>
    <row r="6" spans="1:52">
      <c r="A6" s="21" t="s">
        <v>5</v>
      </c>
      <c r="B6" s="23">
        <f>'T5b-studenti'!B5</f>
        <v>1474</v>
      </c>
      <c r="C6" s="14">
        <f>'T5b-studenti'!C5</f>
        <v>136</v>
      </c>
      <c r="D6" s="14">
        <f>'T5b-studenti'!D5</f>
        <v>1302</v>
      </c>
      <c r="E6" s="15">
        <f>'T5b-studenti'!F5</f>
        <v>1666.5999999999997</v>
      </c>
      <c r="F6" s="23">
        <f>'T5b-studenti'!G5</f>
        <v>2928.9614468024351</v>
      </c>
      <c r="G6" s="14">
        <v>1021.6437850970356</v>
      </c>
      <c r="H6" s="14">
        <v>1133.4015253417638</v>
      </c>
      <c r="I6" s="15">
        <v>773.91613636363627</v>
      </c>
      <c r="J6" s="26">
        <f>'T5b-studenti'!H5</f>
        <v>3189.4674999999997</v>
      </c>
      <c r="K6" s="23">
        <f>'T5b-studenti'!E5</f>
        <v>1069</v>
      </c>
      <c r="L6" s="14">
        <f>'T5b-studenti'!I5</f>
        <v>1026</v>
      </c>
      <c r="M6" s="14">
        <f>'T5b-studenti'!J5</f>
        <v>1291</v>
      </c>
      <c r="N6" s="15">
        <v>1291</v>
      </c>
      <c r="O6" s="23">
        <f t="shared" si="4"/>
        <v>633.33301389753569</v>
      </c>
      <c r="P6" s="14">
        <v>19.840229729729725</v>
      </c>
      <c r="Q6" s="14">
        <v>455.87278416780589</v>
      </c>
      <c r="R6" s="15">
        <v>157.62</v>
      </c>
      <c r="S6" s="13"/>
      <c r="T6" s="83">
        <f t="shared" si="0"/>
        <v>3562.2944606999708</v>
      </c>
      <c r="U6" s="87">
        <f t="shared" si="5"/>
        <v>69.915254237288138</v>
      </c>
      <c r="V6" s="88">
        <f t="shared" si="1"/>
        <v>403.40779415444774</v>
      </c>
      <c r="W6" s="91" t="s">
        <v>58</v>
      </c>
      <c r="X6" s="97">
        <v>1</v>
      </c>
      <c r="Y6" s="18">
        <f>'T16-KIVC'!N8</f>
        <v>1.1279580254540285</v>
      </c>
      <c r="Z6" s="18">
        <f>'T16-KIVC'!O8</f>
        <v>1.2559160509080569</v>
      </c>
      <c r="AA6" s="37">
        <f t="shared" si="6"/>
        <v>1041.4840148267649</v>
      </c>
      <c r="AB6" s="38">
        <f t="shared" si="7"/>
        <v>1802.0392705356164</v>
      </c>
      <c r="AC6" s="38">
        <f t="shared" si="8"/>
        <v>1155.2136222816607</v>
      </c>
      <c r="AD6" s="38">
        <f t="shared" si="2"/>
        <v>473.32304839173588</v>
      </c>
      <c r="AE6" s="549">
        <f t="shared" si="3"/>
        <v>1.3951635409861213E-2</v>
      </c>
      <c r="AF6" s="543">
        <f t="shared" si="3"/>
        <v>2.3033899375365211E-2</v>
      </c>
      <c r="AG6" s="543">
        <f t="shared" si="3"/>
        <v>4.3108469910400501E-2</v>
      </c>
      <c r="AH6" s="550">
        <f t="shared" si="3"/>
        <v>1.6617519730180452E-2</v>
      </c>
      <c r="AI6" s="1075">
        <f t="shared" si="9"/>
        <v>2.1223732783277806E-2</v>
      </c>
      <c r="AJ6" s="39">
        <f t="shared" si="10"/>
        <v>2.0137219931515141E-2</v>
      </c>
      <c r="AK6" s="40">
        <f t="shared" si="11"/>
        <v>1.6303627425037402E-2</v>
      </c>
      <c r="AM6" s="1205" t="s">
        <v>58</v>
      </c>
      <c r="AN6" s="1214">
        <f>'T16a-KKS'!G8/'T16a-KKS'!G$14*AN$3</f>
        <v>1.5597814419033857</v>
      </c>
      <c r="AO6" s="1208">
        <v>1022.54</v>
      </c>
      <c r="AP6" s="1208">
        <v>1266.04</v>
      </c>
      <c r="AQ6" s="1208">
        <v>856</v>
      </c>
      <c r="AR6" s="1208">
        <v>18.603999999999999</v>
      </c>
      <c r="AS6" s="1208">
        <v>506.83600000000001</v>
      </c>
      <c r="AT6" s="1208">
        <v>159.322</v>
      </c>
      <c r="AU6" s="1206">
        <f t="shared" si="12"/>
        <v>1629.2820895490588</v>
      </c>
      <c r="AV6" s="1206">
        <f t="shared" si="13"/>
        <v>2768.3553335959068</v>
      </c>
      <c r="AW6" s="1206">
        <f t="shared" si="14"/>
        <v>1581.7572131562295</v>
      </c>
      <c r="AX6" s="1299">
        <f t="shared" si="15"/>
        <v>473.32304839173588</v>
      </c>
      <c r="AY6" s="1300">
        <f t="shared" si="16"/>
        <v>6452.7176846929306</v>
      </c>
      <c r="AZ6" s="1219">
        <f t="shared" si="17"/>
        <v>2.0799334731907492E-2</v>
      </c>
    </row>
    <row r="7" spans="1:52">
      <c r="A7" s="21" t="s">
        <v>7</v>
      </c>
      <c r="B7" s="23">
        <f>'T5b-studenti'!B6</f>
        <v>1302</v>
      </c>
      <c r="C7" s="14">
        <f>'T5b-studenti'!C6</f>
        <v>29</v>
      </c>
      <c r="D7" s="14">
        <f>'T5b-studenti'!D6</f>
        <v>1248</v>
      </c>
      <c r="E7" s="15">
        <f>'T5b-studenti'!F6</f>
        <v>1283.5</v>
      </c>
      <c r="F7" s="23">
        <f>'T5b-studenti'!G6</f>
        <v>1967.4762711553619</v>
      </c>
      <c r="G7" s="14">
        <v>1019.3054937163375</v>
      </c>
      <c r="H7" s="14">
        <v>701.09077743902435</v>
      </c>
      <c r="I7" s="15">
        <v>247.08</v>
      </c>
      <c r="J7" s="26">
        <f>'T5b-studenti'!H6</f>
        <v>1974.9800000000002</v>
      </c>
      <c r="K7" s="23">
        <f>'T5b-studenti'!E6</f>
        <v>1248</v>
      </c>
      <c r="L7" s="14">
        <f>'T5b-studenti'!I6</f>
        <v>1157</v>
      </c>
      <c r="M7" s="14">
        <f>'T5b-studenti'!J6</f>
        <v>1157</v>
      </c>
      <c r="N7" s="15">
        <v>1161</v>
      </c>
      <c r="O7" s="23">
        <f t="shared" si="4"/>
        <v>301.203125</v>
      </c>
      <c r="P7" s="14">
        <v>19.239999999999995</v>
      </c>
      <c r="Q7" s="14">
        <v>281.96312499999999</v>
      </c>
      <c r="R7" s="15">
        <v>0</v>
      </c>
      <c r="S7" s="13"/>
      <c r="T7" s="83">
        <f t="shared" si="0"/>
        <v>2268.6793961553622</v>
      </c>
      <c r="U7" s="87">
        <f t="shared" si="5"/>
        <v>69.915254237288138</v>
      </c>
      <c r="V7" s="88">
        <f t="shared" si="1"/>
        <v>256.91389663134328</v>
      </c>
      <c r="W7" s="91" t="s">
        <v>59</v>
      </c>
      <c r="X7" s="97">
        <v>1</v>
      </c>
      <c r="Y7" s="18">
        <f>'T16-KIVC'!N9</f>
        <v>1.0792978156055462</v>
      </c>
      <c r="Z7" s="18">
        <f>'T16-KIVC'!O9</f>
        <v>1.1585956312110925</v>
      </c>
      <c r="AA7" s="37">
        <f t="shared" si="6"/>
        <v>1038.545493716337</v>
      </c>
      <c r="AB7" s="38">
        <f t="shared" si="7"/>
        <v>1066.5742119638635</v>
      </c>
      <c r="AC7" s="38">
        <f t="shared" si="8"/>
        <v>282.66462651392357</v>
      </c>
      <c r="AD7" s="38">
        <f t="shared" si="2"/>
        <v>326.82915086863142</v>
      </c>
      <c r="AE7" s="549">
        <f t="shared" si="3"/>
        <v>1.3912271219347266E-2</v>
      </c>
      <c r="AF7" s="543">
        <f t="shared" si="3"/>
        <v>1.3633089731409111E-2</v>
      </c>
      <c r="AG7" s="543">
        <f t="shared" si="3"/>
        <v>1.054804004366138E-2</v>
      </c>
      <c r="AH7" s="550">
        <f t="shared" si="3"/>
        <v>1.1474382837285114E-2</v>
      </c>
      <c r="AI7" s="1075">
        <f t="shared" si="9"/>
        <v>1.3174382202820679E-2</v>
      </c>
      <c r="AJ7" s="39">
        <f t="shared" si="10"/>
        <v>1.2469356286070881E-2</v>
      </c>
      <c r="AK7" s="40">
        <f t="shared" si="11"/>
        <v>1.255592571704999E-2</v>
      </c>
      <c r="AM7" s="1205" t="s">
        <v>59</v>
      </c>
      <c r="AN7" s="1214">
        <f>'T16a-KKS'!G9/'T16a-KKS'!G$14*AN$3</f>
        <v>1.4846238877745055</v>
      </c>
      <c r="AO7" s="1208">
        <v>1017.42</v>
      </c>
      <c r="AP7" s="1208">
        <v>706.58</v>
      </c>
      <c r="AQ7" s="1208">
        <v>246.52</v>
      </c>
      <c r="AR7" s="1208">
        <v>18.835999999999999</v>
      </c>
      <c r="AS7" s="1208">
        <v>283.51900000000001</v>
      </c>
      <c r="AT7" s="1208"/>
      <c r="AU7" s="1206">
        <f t="shared" si="12"/>
        <v>1543.7754114496579</v>
      </c>
      <c r="AV7" s="1206">
        <f t="shared" si="13"/>
        <v>1472.9808766616502</v>
      </c>
      <c r="AW7" s="1206">
        <f t="shared" si="14"/>
        <v>364.06628081417108</v>
      </c>
      <c r="AX7" s="1299">
        <f t="shared" si="15"/>
        <v>326.82915086863142</v>
      </c>
      <c r="AY7" s="1300">
        <f t="shared" si="16"/>
        <v>3707.6517197941107</v>
      </c>
      <c r="AZ7" s="1219">
        <f t="shared" si="17"/>
        <v>1.1951040314729032E-2</v>
      </c>
    </row>
    <row r="8" spans="1:52">
      <c r="A8" s="21" t="s">
        <v>0</v>
      </c>
      <c r="B8" s="23">
        <f>'T5b-studenti'!B7</f>
        <v>2142</v>
      </c>
      <c r="C8" s="14">
        <f>'T5b-studenti'!C7</f>
        <v>117</v>
      </c>
      <c r="D8" s="14">
        <f>'T5b-studenti'!D7</f>
        <v>1978</v>
      </c>
      <c r="E8" s="15">
        <f>'T5b-studenti'!F7</f>
        <v>2125.4</v>
      </c>
      <c r="F8" s="23">
        <f>'T5b-studenti'!G7</f>
        <v>3214.3303424513115</v>
      </c>
      <c r="G8" s="14">
        <v>1460.5546488029904</v>
      </c>
      <c r="H8" s="14">
        <v>1059.0084209210493</v>
      </c>
      <c r="I8" s="15">
        <v>694.76727272727271</v>
      </c>
      <c r="J8" s="26">
        <f>'T5b-studenti'!H7</f>
        <v>3378.518</v>
      </c>
      <c r="K8" s="23">
        <f>'T5b-studenti'!E7</f>
        <v>1352</v>
      </c>
      <c r="L8" s="14">
        <f>'T5b-studenti'!I7</f>
        <v>1345</v>
      </c>
      <c r="M8" s="14">
        <f>'T5b-studenti'!J7</f>
        <v>1808</v>
      </c>
      <c r="N8" s="15">
        <v>1808</v>
      </c>
      <c r="O8" s="23">
        <f t="shared" si="4"/>
        <v>623.55558149452588</v>
      </c>
      <c r="P8" s="14">
        <v>20.763826262626264</v>
      </c>
      <c r="Q8" s="14">
        <v>543.15175523189964</v>
      </c>
      <c r="R8" s="15">
        <v>59.639999999999993</v>
      </c>
      <c r="S8" s="13"/>
      <c r="T8" s="83">
        <f t="shared" si="0"/>
        <v>3837.8859239458375</v>
      </c>
      <c r="U8" s="87">
        <f t="shared" si="5"/>
        <v>69.915254237288138</v>
      </c>
      <c r="V8" s="88">
        <f t="shared" si="1"/>
        <v>434.61682123020671</v>
      </c>
      <c r="W8" s="91" t="s">
        <v>60</v>
      </c>
      <c r="X8" s="97">
        <v>1</v>
      </c>
      <c r="Y8" s="18">
        <f>'T16-KIVC'!N10</f>
        <v>1.1924015616205117</v>
      </c>
      <c r="Z8" s="18">
        <f>'T16-KIVC'!O10</f>
        <v>1.3848031232410236</v>
      </c>
      <c r="AA8" s="37">
        <f t="shared" si="6"/>
        <v>1481.3184750656162</v>
      </c>
      <c r="AB8" s="38">
        <f t="shared" si="7"/>
        <v>1920.4407732386692</v>
      </c>
      <c r="AC8" s="38">
        <f t="shared" si="8"/>
        <v>1031.5633043220387</v>
      </c>
      <c r="AD8" s="38">
        <f t="shared" si="2"/>
        <v>504.53207546749485</v>
      </c>
      <c r="AE8" s="549">
        <f t="shared" si="3"/>
        <v>1.9843622173543084E-2</v>
      </c>
      <c r="AF8" s="543">
        <f t="shared" si="3"/>
        <v>2.4547322719543241E-2</v>
      </c>
      <c r="AG8" s="543">
        <f t="shared" si="3"/>
        <v>3.8494279159562744E-2</v>
      </c>
      <c r="AH8" s="550">
        <f t="shared" si="3"/>
        <v>1.771321246044855E-2</v>
      </c>
      <c r="AI8" s="1075">
        <f t="shared" si="9"/>
        <v>2.3712872983963084E-2</v>
      </c>
      <c r="AJ8" s="39">
        <f t="shared" si="10"/>
        <v>2.1330820899909682E-2</v>
      </c>
      <c r="AK8" s="40">
        <f t="shared" si="11"/>
        <v>2.0791869512285194E-2</v>
      </c>
      <c r="AM8" s="1205" t="s">
        <v>60</v>
      </c>
      <c r="AN8" s="1214">
        <f>'T16a-KKS'!G10/'T16a-KKS'!G$14*AN$3</f>
        <v>1.529796865206666</v>
      </c>
      <c r="AO8" s="1208">
        <v>1461.25</v>
      </c>
      <c r="AP8" s="1208">
        <v>1137.6600000000001</v>
      </c>
      <c r="AQ8" s="1208">
        <v>739.11</v>
      </c>
      <c r="AR8" s="1208">
        <v>20.8</v>
      </c>
      <c r="AS8" s="1208">
        <v>582.64400000000001</v>
      </c>
      <c r="AT8" s="1208">
        <v>58.981000000000002</v>
      </c>
      <c r="AU8" s="1206">
        <f t="shared" si="12"/>
        <v>2272.5604440795391</v>
      </c>
      <c r="AV8" s="1206">
        <f t="shared" si="13"/>
        <v>2634.7719164024884</v>
      </c>
      <c r="AW8" s="1206">
        <f t="shared" si="14"/>
        <v>1218.9939099496532</v>
      </c>
      <c r="AX8" s="1299">
        <f t="shared" si="15"/>
        <v>504.53207546749485</v>
      </c>
      <c r="AY8" s="1300">
        <f t="shared" si="16"/>
        <v>6630.8583458991752</v>
      </c>
      <c r="AZ8" s="1219">
        <f t="shared" si="17"/>
        <v>2.1373543526223952E-2</v>
      </c>
    </row>
    <row r="9" spans="1:52">
      <c r="A9" s="21" t="s">
        <v>1</v>
      </c>
      <c r="B9" s="23">
        <f>'T5b-studenti'!B8</f>
        <v>850</v>
      </c>
      <c r="C9" s="14">
        <f>'T5b-studenti'!C8</f>
        <v>29</v>
      </c>
      <c r="D9" s="14">
        <f>'T5b-studenti'!D8</f>
        <v>788</v>
      </c>
      <c r="E9" s="15">
        <f>'T5b-studenti'!F8</f>
        <v>814.99999999999989</v>
      </c>
      <c r="F9" s="23">
        <f>'T5b-studenti'!G8</f>
        <v>1236.3316941620064</v>
      </c>
      <c r="G9" s="14">
        <v>484.35896797153026</v>
      </c>
      <c r="H9" s="14">
        <v>517.67272619047628</v>
      </c>
      <c r="I9" s="15">
        <v>234.29999999999998</v>
      </c>
      <c r="J9" s="26">
        <f>'T5b-studenti'!H8</f>
        <v>1277.7000000000003</v>
      </c>
      <c r="K9" s="23">
        <f>'T5b-studenti'!E8</f>
        <v>663</v>
      </c>
      <c r="L9" s="14">
        <f>'T5b-studenti'!I8</f>
        <v>591</v>
      </c>
      <c r="M9" s="14">
        <f>'T5b-studenti'!J8</f>
        <v>681</v>
      </c>
      <c r="N9" s="15">
        <v>681</v>
      </c>
      <c r="O9" s="23">
        <f t="shared" si="4"/>
        <v>274.86340476190475</v>
      </c>
      <c r="P9" s="14">
        <v>11.543999999999997</v>
      </c>
      <c r="Q9" s="14">
        <v>212.19940476190476</v>
      </c>
      <c r="R9" s="15">
        <v>51.11999999999999</v>
      </c>
      <c r="S9" s="13"/>
      <c r="T9" s="83">
        <f t="shared" si="0"/>
        <v>1511.1950989239112</v>
      </c>
      <c r="U9" s="87">
        <f t="shared" si="5"/>
        <v>69.915254237288138</v>
      </c>
      <c r="V9" s="88">
        <f t="shared" si="1"/>
        <v>171.13348941797446</v>
      </c>
      <c r="W9" s="91" t="s">
        <v>61</v>
      </c>
      <c r="X9" s="97">
        <v>1</v>
      </c>
      <c r="Y9" s="18">
        <f>'T16-KIVC'!N11</f>
        <v>1.0940590745894117</v>
      </c>
      <c r="Z9" s="18">
        <f>'T16-KIVC'!O11</f>
        <v>1.1881181491788233</v>
      </c>
      <c r="AA9" s="37">
        <f t="shared" si="6"/>
        <v>495.90296797153007</v>
      </c>
      <c r="AB9" s="38">
        <f t="shared" si="7"/>
        <v>802.71245775625698</v>
      </c>
      <c r="AC9" s="38">
        <f t="shared" si="8"/>
        <v>334.84669414467862</v>
      </c>
      <c r="AD9" s="38">
        <f t="shared" si="2"/>
        <v>241.0487436552626</v>
      </c>
      <c r="AE9" s="549">
        <f t="shared" si="3"/>
        <v>6.6430759467371028E-3</v>
      </c>
      <c r="AF9" s="543">
        <f t="shared" si="3"/>
        <v>1.0260374610934032E-2</v>
      </c>
      <c r="AG9" s="543">
        <f t="shared" si="3"/>
        <v>1.2495289495135063E-2</v>
      </c>
      <c r="AH9" s="550">
        <f t="shared" si="3"/>
        <v>8.462787238519091E-3</v>
      </c>
      <c r="AI9" s="1075">
        <f t="shared" si="9"/>
        <v>8.9163980913507454E-3</v>
      </c>
      <c r="AJ9" s="39">
        <f t="shared" si="10"/>
        <v>8.0669660081179387E-3</v>
      </c>
      <c r="AK9" s="40">
        <f t="shared" si="11"/>
        <v>7.9727927225521928E-3</v>
      </c>
      <c r="AM9" s="1205" t="s">
        <v>61</v>
      </c>
      <c r="AN9" s="1214">
        <f>'T16a-KKS'!G11/'T16a-KKS'!G$14*AN$3</f>
        <v>1.5036028392015437</v>
      </c>
      <c r="AO9" s="1208">
        <v>483.45</v>
      </c>
      <c r="AP9" s="1208">
        <v>549.74</v>
      </c>
      <c r="AQ9" s="1208">
        <v>232.07</v>
      </c>
      <c r="AR9" s="1208">
        <v>10.547000000000001</v>
      </c>
      <c r="AS9" s="1208">
        <v>219.75200000000001</v>
      </c>
      <c r="AT9" s="1208">
        <v>50.634999999999998</v>
      </c>
      <c r="AU9" s="1206">
        <f t="shared" si="12"/>
        <v>748.10029175704506</v>
      </c>
      <c r="AV9" s="1206">
        <f t="shared" si="13"/>
        <v>1160.0666059428743</v>
      </c>
      <c r="AW9" s="1206">
        <f t="shared" si="14"/>
        <v>423.15284065647239</v>
      </c>
      <c r="AX9" s="1299">
        <f t="shared" si="15"/>
        <v>241.0487436552626</v>
      </c>
      <c r="AY9" s="1300">
        <f t="shared" si="16"/>
        <v>2572.3684820116546</v>
      </c>
      <c r="AZ9" s="1219">
        <f t="shared" si="17"/>
        <v>8.2916308640140473E-3</v>
      </c>
    </row>
    <row r="10" spans="1:52">
      <c r="A10" s="21" t="s">
        <v>4</v>
      </c>
      <c r="B10" s="23">
        <f>'T5b-studenti'!B9</f>
        <v>1873</v>
      </c>
      <c r="C10" s="14">
        <f>'T5b-studenti'!C9</f>
        <v>61</v>
      </c>
      <c r="D10" s="14">
        <f>'T5b-studenti'!D9</f>
        <v>1783</v>
      </c>
      <c r="E10" s="15">
        <f>'T5b-studenti'!F9</f>
        <v>1766.0999999999997</v>
      </c>
      <c r="F10" s="23">
        <f>'T5b-studenti'!G9</f>
        <v>2579.4693085477543</v>
      </c>
      <c r="G10" s="14">
        <v>1026.524375510204</v>
      </c>
      <c r="H10" s="14">
        <v>1192.9749330375505</v>
      </c>
      <c r="I10" s="15">
        <v>359.96999999999997</v>
      </c>
      <c r="J10" s="26">
        <f>'T5b-studenti'!H9</f>
        <v>2732.7780000000002</v>
      </c>
      <c r="K10" s="23">
        <f>'T5b-studenti'!E9</f>
        <v>1218</v>
      </c>
      <c r="L10" s="14">
        <f>'T5b-studenti'!I9</f>
        <v>1001</v>
      </c>
      <c r="M10" s="14">
        <f>'T5b-studenti'!J9</f>
        <v>1500</v>
      </c>
      <c r="N10" s="15">
        <v>1500</v>
      </c>
      <c r="O10" s="23">
        <f t="shared" si="4"/>
        <v>480.3269677269509</v>
      </c>
      <c r="P10" s="14">
        <v>21.465034013605433</v>
      </c>
      <c r="Q10" s="14">
        <v>421.94193371334546</v>
      </c>
      <c r="R10" s="15">
        <v>36.92</v>
      </c>
      <c r="S10" s="13"/>
      <c r="T10" s="83">
        <f t="shared" si="0"/>
        <v>3059.7962762747052</v>
      </c>
      <c r="U10" s="87">
        <f t="shared" si="5"/>
        <v>69.915254237288138</v>
      </c>
      <c r="V10" s="88">
        <f t="shared" si="1"/>
        <v>346.50298564353665</v>
      </c>
      <c r="W10" s="91" t="s">
        <v>62</v>
      </c>
      <c r="X10" s="97">
        <v>1</v>
      </c>
      <c r="Y10" s="18">
        <f>'T16-KIVC'!N12</f>
        <v>0.99016905032033686</v>
      </c>
      <c r="Z10" s="18">
        <f>'T16-KIVC'!O12</f>
        <v>0.98033810064067373</v>
      </c>
      <c r="AA10" s="37">
        <f t="shared" si="6"/>
        <v>1047.9894095238089</v>
      </c>
      <c r="AB10" s="38">
        <f t="shared" si="7"/>
        <v>1607.4296217381359</v>
      </c>
      <c r="AC10" s="38">
        <f t="shared" si="8"/>
        <v>384.19173884159835</v>
      </c>
      <c r="AD10" s="38">
        <f t="shared" si="2"/>
        <v>416.41823988082479</v>
      </c>
      <c r="AE10" s="549">
        <f t="shared" si="3"/>
        <v>1.4038781149707734E-2</v>
      </c>
      <c r="AF10" s="543">
        <f t="shared" si="3"/>
        <v>2.0546373636514931E-2</v>
      </c>
      <c r="AG10" s="543">
        <f t="shared" si="3"/>
        <v>1.4336671325746723E-2</v>
      </c>
      <c r="AH10" s="550">
        <f t="shared" si="3"/>
        <v>1.4619694394217548E-2</v>
      </c>
      <c r="AI10" s="1075">
        <f t="shared" si="9"/>
        <v>1.6649276959742589E-2</v>
      </c>
      <c r="AJ10" s="39">
        <f t="shared" si="10"/>
        <v>1.7253836764289366E-2</v>
      </c>
      <c r="AK10" s="40">
        <f t="shared" si="11"/>
        <v>1.7276992916931813E-2</v>
      </c>
      <c r="AM10" s="1205" t="s">
        <v>62</v>
      </c>
      <c r="AN10" s="1214">
        <f>'T16a-KKS'!G12/'T16a-KKS'!G$14*AN$3</f>
        <v>1.5127410825275387</v>
      </c>
      <c r="AO10" s="1208">
        <v>1023.74</v>
      </c>
      <c r="AP10" s="1208">
        <v>1296.79</v>
      </c>
      <c r="AQ10" s="1208">
        <v>385.83</v>
      </c>
      <c r="AR10" s="1208">
        <v>20.896999999999998</v>
      </c>
      <c r="AS10" s="1208">
        <v>458.88600000000002</v>
      </c>
      <c r="AT10" s="1208">
        <v>42.128</v>
      </c>
      <c r="AU10" s="1206">
        <f t="shared" si="12"/>
        <v>1585.5903062283203</v>
      </c>
      <c r="AV10" s="1206">
        <f t="shared" si="13"/>
        <v>2658.9394628076188</v>
      </c>
      <c r="AW10" s="1206">
        <f t="shared" si="14"/>
        <v>645.46644819632036</v>
      </c>
      <c r="AX10" s="1299">
        <f t="shared" si="15"/>
        <v>416.41823988082479</v>
      </c>
      <c r="AY10" s="1300">
        <f t="shared" si="16"/>
        <v>5306.4144571130837</v>
      </c>
      <c r="AZ10" s="1219">
        <f t="shared" si="17"/>
        <v>1.7104404053124238E-2</v>
      </c>
    </row>
    <row r="11" spans="1:52">
      <c r="A11" s="21" t="s">
        <v>17</v>
      </c>
      <c r="B11" s="23">
        <f>'T5b-studenti'!B10</f>
        <v>141</v>
      </c>
      <c r="C11" s="14">
        <f>'T5b-studenti'!C10</f>
        <v>9</v>
      </c>
      <c r="D11" s="14">
        <f>'T5b-studenti'!D10</f>
        <v>120</v>
      </c>
      <c r="E11" s="15">
        <f>'T5b-studenti'!F10</f>
        <v>152.5</v>
      </c>
      <c r="F11" s="23">
        <f>'T5b-studenti'!G10</f>
        <v>230.00799999999998</v>
      </c>
      <c r="G11" s="14">
        <v>67.328000000000003</v>
      </c>
      <c r="H11" s="14">
        <v>86</v>
      </c>
      <c r="I11" s="15">
        <v>76.679999999999993</v>
      </c>
      <c r="J11" s="26">
        <f>'T5b-studenti'!H10</f>
        <v>240.75799999999998</v>
      </c>
      <c r="K11" s="23">
        <f>'T5b-studenti'!E10</f>
        <v>0</v>
      </c>
      <c r="L11" s="14">
        <f>'T5b-studenti'!I10</f>
        <v>42</v>
      </c>
      <c r="M11" s="14">
        <f>'T5b-studenti'!J10</f>
        <v>113</v>
      </c>
      <c r="N11" s="15">
        <v>113</v>
      </c>
      <c r="O11" s="23">
        <f t="shared" si="4"/>
        <v>57.28</v>
      </c>
      <c r="P11" s="14">
        <v>1.7199999999999989</v>
      </c>
      <c r="Q11" s="14">
        <v>30</v>
      </c>
      <c r="R11" s="15">
        <v>25.56</v>
      </c>
      <c r="S11" s="13"/>
      <c r="T11" s="83">
        <f t="shared" si="0"/>
        <v>287.28800000000001</v>
      </c>
      <c r="U11" s="87">
        <f t="shared" si="5"/>
        <v>69.915254237288138</v>
      </c>
      <c r="V11" s="88">
        <f t="shared" ref="V11:V13" si="18">T11/T$14*V$3</f>
        <v>32.533587452023944</v>
      </c>
      <c r="W11" s="91" t="s">
        <v>66</v>
      </c>
      <c r="X11" s="97">
        <v>1</v>
      </c>
      <c r="Y11" s="18">
        <f>'T16-KIVC'!N13</f>
        <v>0.8372061683121732</v>
      </c>
      <c r="Z11" s="18">
        <f>'T16-KIVC'!O13</f>
        <v>0.67441233662434641</v>
      </c>
      <c r="AA11" s="37">
        <f t="shared" si="6"/>
        <v>69.047999999999973</v>
      </c>
      <c r="AB11" s="38">
        <f t="shared" si="7"/>
        <v>97.625407112426515</v>
      </c>
      <c r="AC11" s="38">
        <f t="shared" si="8"/>
        <v>68.084512251368622</v>
      </c>
      <c r="AD11" s="38">
        <f t="shared" si="2"/>
        <v>102.44884168931208</v>
      </c>
      <c r="AE11" s="549">
        <f t="shared" ref="AE11:AE12" si="19">+AA11/AA$15</f>
        <v>9.249614089759529E-4</v>
      </c>
      <c r="AF11" s="543">
        <f t="shared" ref="AF11:AF12" si="20">+AB11/AB$15</f>
        <v>1.2478605991967761E-3</v>
      </c>
      <c r="AG11" s="543">
        <f t="shared" ref="AG11:AG12" si="21">+AC11/AC$15</f>
        <v>2.5406722108725368E-3</v>
      </c>
      <c r="AH11" s="550">
        <f t="shared" ref="AH11:AH12" si="22">+AD11/AD$15</f>
        <v>3.5967943118148846E-3</v>
      </c>
      <c r="AI11" s="1075">
        <f t="shared" si="9"/>
        <v>1.4910327416676923E-3</v>
      </c>
      <c r="AJ11" s="39">
        <f t="shared" si="10"/>
        <v>1.5200646491214356E-3</v>
      </c>
      <c r="AK11" s="40">
        <f t="shared" si="11"/>
        <v>1.4918415830542449E-3</v>
      </c>
      <c r="AM11" s="1205" t="s">
        <v>66</v>
      </c>
      <c r="AN11" s="1214">
        <f>'T16a-KKS'!G13/'T16a-KKS'!G$14*AN$3</f>
        <v>1.5060405014610569</v>
      </c>
      <c r="AO11" s="1208">
        <v>66.58</v>
      </c>
      <c r="AP11" s="1208">
        <v>95.08</v>
      </c>
      <c r="AQ11" s="1208">
        <v>75.36</v>
      </c>
      <c r="AR11" s="1208">
        <v>1.5129999999999999</v>
      </c>
      <c r="AS11" s="1208">
        <v>33.167999999999999</v>
      </c>
      <c r="AT11" s="1208">
        <v>25.119</v>
      </c>
      <c r="AU11" s="1206">
        <f t="shared" si="12"/>
        <v>107.87581586598776</v>
      </c>
      <c r="AV11" s="1206">
        <f t="shared" si="13"/>
        <v>196.20293223137762</v>
      </c>
      <c r="AW11" s="1206">
        <f t="shared" si="14"/>
        <v>149.40224354630553</v>
      </c>
      <c r="AX11" s="1299">
        <f t="shared" si="15"/>
        <v>102.44884168931208</v>
      </c>
      <c r="AY11" s="1300">
        <f t="shared" si="16"/>
        <v>555.92983333298298</v>
      </c>
      <c r="AZ11" s="1219">
        <f t="shared" si="17"/>
        <v>1.7919536009417885E-3</v>
      </c>
    </row>
    <row r="12" spans="1:52">
      <c r="A12" s="343" t="s">
        <v>205</v>
      </c>
      <c r="B12" s="23">
        <f>'T5b-studenti'!B11</f>
        <v>0</v>
      </c>
      <c r="C12" s="14">
        <f>'T5b-studenti'!C11</f>
        <v>0</v>
      </c>
      <c r="D12" s="14">
        <f>'T5b-studenti'!D11</f>
        <v>0</v>
      </c>
      <c r="E12" s="15">
        <f>'T5b-studenti'!F11</f>
        <v>0</v>
      </c>
      <c r="F12" s="23">
        <f>'T5b-studenti'!G11</f>
        <v>0</v>
      </c>
      <c r="G12" s="14">
        <v>0</v>
      </c>
      <c r="H12" s="14">
        <v>0</v>
      </c>
      <c r="I12" s="15">
        <v>0</v>
      </c>
      <c r="J12" s="26">
        <f>'T5b-studenti'!H11</f>
        <v>0</v>
      </c>
      <c r="K12" s="23">
        <f>'T5b-studenti'!E11</f>
        <v>0</v>
      </c>
      <c r="L12" s="14">
        <f>'T5b-studenti'!I11</f>
        <v>0</v>
      </c>
      <c r="M12" s="14">
        <f>'T5b-studenti'!J11</f>
        <v>0</v>
      </c>
      <c r="N12" s="15">
        <v>0</v>
      </c>
      <c r="O12" s="23">
        <f t="shared" si="4"/>
        <v>0</v>
      </c>
      <c r="P12" s="14">
        <v>0</v>
      </c>
      <c r="Q12" s="14">
        <v>0</v>
      </c>
      <c r="R12" s="15">
        <v>0</v>
      </c>
      <c r="S12" s="13"/>
      <c r="T12" s="83">
        <f t="shared" si="0"/>
        <v>0</v>
      </c>
      <c r="U12" s="87">
        <v>0</v>
      </c>
      <c r="V12" s="88">
        <f t="shared" si="18"/>
        <v>0</v>
      </c>
      <c r="W12" s="91" t="s">
        <v>67</v>
      </c>
      <c r="X12" s="97">
        <v>1</v>
      </c>
      <c r="Y12" s="18">
        <f>'T16-KIVC'!N14</f>
        <v>0.68335144500799028</v>
      </c>
      <c r="Z12" s="18">
        <f>'T16-KIVC'!O14</f>
        <v>0.3667028900159805</v>
      </c>
      <c r="AA12" s="37">
        <f t="shared" si="6"/>
        <v>0</v>
      </c>
      <c r="AB12" s="38">
        <f t="shared" si="7"/>
        <v>0</v>
      </c>
      <c r="AC12" s="38">
        <f t="shared" si="8"/>
        <v>0</v>
      </c>
      <c r="AD12" s="38">
        <f t="shared" si="2"/>
        <v>0</v>
      </c>
      <c r="AE12" s="549">
        <f t="shared" si="19"/>
        <v>0</v>
      </c>
      <c r="AF12" s="543">
        <f t="shared" si="20"/>
        <v>0</v>
      </c>
      <c r="AG12" s="543">
        <f t="shared" si="21"/>
        <v>0</v>
      </c>
      <c r="AH12" s="550">
        <f t="shared" si="22"/>
        <v>0</v>
      </c>
      <c r="AI12" s="1075">
        <f t="shared" si="9"/>
        <v>0</v>
      </c>
      <c r="AJ12" s="39">
        <f t="shared" si="10"/>
        <v>0</v>
      </c>
      <c r="AK12" s="40">
        <f t="shared" si="11"/>
        <v>0</v>
      </c>
      <c r="AM12" s="1205" t="s">
        <v>205</v>
      </c>
      <c r="AN12" s="1214"/>
      <c r="AO12" s="1208"/>
      <c r="AP12" s="1208"/>
      <c r="AQ12" s="1208"/>
      <c r="AR12" s="1208"/>
      <c r="AS12" s="1208"/>
      <c r="AT12" s="1208"/>
      <c r="AU12" s="1206"/>
      <c r="AV12" s="1206"/>
      <c r="AW12" s="1094"/>
      <c r="AX12" s="1215"/>
      <c r="AY12" s="1300"/>
      <c r="AZ12" s="1219">
        <f t="shared" si="17"/>
        <v>0</v>
      </c>
    </row>
    <row r="13" spans="1:52">
      <c r="A13" s="22" t="s">
        <v>64</v>
      </c>
      <c r="B13" s="23">
        <f>'T5b-studenti'!B12</f>
        <v>0</v>
      </c>
      <c r="C13" s="14">
        <f>'T5b-studenti'!C12</f>
        <v>0</v>
      </c>
      <c r="D13" s="14">
        <f>'T5b-studenti'!D12</f>
        <v>0</v>
      </c>
      <c r="E13" s="15">
        <f>'T5b-studenti'!F12</f>
        <v>0</v>
      </c>
      <c r="F13" s="23">
        <f>'T5b-studenti'!G12</f>
        <v>0</v>
      </c>
      <c r="G13" s="14">
        <v>0</v>
      </c>
      <c r="H13" s="14">
        <v>0</v>
      </c>
      <c r="I13" s="15">
        <v>0</v>
      </c>
      <c r="J13" s="26">
        <f>'T5b-studenti'!H12</f>
        <v>0</v>
      </c>
      <c r="K13" s="23">
        <f>'T5b-studenti'!E12</f>
        <v>0</v>
      </c>
      <c r="L13" s="14">
        <f>'T5b-studenti'!I12</f>
        <v>0</v>
      </c>
      <c r="M13" s="14">
        <f>'T5b-studenti'!J12</f>
        <v>0</v>
      </c>
      <c r="N13" s="15">
        <v>0</v>
      </c>
      <c r="O13" s="23">
        <f t="shared" si="4"/>
        <v>0</v>
      </c>
      <c r="P13" s="14">
        <v>0</v>
      </c>
      <c r="Q13" s="14">
        <v>0</v>
      </c>
      <c r="R13" s="15">
        <v>0</v>
      </c>
      <c r="S13" s="13"/>
      <c r="T13" s="83">
        <f t="shared" si="0"/>
        <v>0</v>
      </c>
      <c r="U13" s="87">
        <v>0</v>
      </c>
      <c r="V13" s="88">
        <f t="shared" si="18"/>
        <v>0</v>
      </c>
      <c r="W13" s="91" t="s">
        <v>68</v>
      </c>
      <c r="X13" s="97">
        <v>1</v>
      </c>
      <c r="Y13" s="18">
        <f>'T16-KIVC'!N15</f>
        <v>2.3945519298314446</v>
      </c>
      <c r="Z13" s="18">
        <f>'T16-KIVC'!O15</f>
        <v>3.7891038596628888</v>
      </c>
      <c r="AA13" s="37">
        <f t="shared" si="6"/>
        <v>0</v>
      </c>
      <c r="AB13" s="38">
        <f t="shared" si="7"/>
        <v>0</v>
      </c>
      <c r="AC13" s="38">
        <f t="shared" si="8"/>
        <v>0</v>
      </c>
      <c r="AD13" s="38">
        <f t="shared" si="2"/>
        <v>0</v>
      </c>
      <c r="AE13" s="549">
        <f>+AA13/AA$15</f>
        <v>0</v>
      </c>
      <c r="AF13" s="543">
        <f>+AB13/AB$15</f>
        <v>0</v>
      </c>
      <c r="AG13" s="543">
        <f>+AC13/AC$15</f>
        <v>0</v>
      </c>
      <c r="AH13" s="550">
        <f>+AD13/AD$15</f>
        <v>0</v>
      </c>
      <c r="AI13" s="1075">
        <f t="shared" si="9"/>
        <v>0</v>
      </c>
      <c r="AJ13" s="39">
        <f t="shared" si="10"/>
        <v>0</v>
      </c>
      <c r="AK13" s="40">
        <f t="shared" si="11"/>
        <v>0</v>
      </c>
      <c r="AM13" s="1205" t="s">
        <v>64</v>
      </c>
      <c r="AN13" s="1214"/>
      <c r="AO13" s="1208"/>
      <c r="AP13" s="1208"/>
      <c r="AQ13" s="1208"/>
      <c r="AR13" s="1208"/>
      <c r="AS13" s="1208"/>
      <c r="AT13" s="1208"/>
      <c r="AU13" s="1206"/>
      <c r="AV13" s="1206"/>
      <c r="AW13" s="1094"/>
      <c r="AX13" s="1215"/>
      <c r="AY13" s="1300"/>
      <c r="AZ13" s="1219">
        <f t="shared" si="17"/>
        <v>0</v>
      </c>
    </row>
    <row r="14" spans="1:52" s="17" customFormat="1" thickBot="1">
      <c r="A14" s="71" t="s">
        <v>2</v>
      </c>
      <c r="B14" s="72">
        <f>SUM(B4:B13)</f>
        <v>10981</v>
      </c>
      <c r="C14" s="73">
        <f>SUM(C4:C13)</f>
        <v>487</v>
      </c>
      <c r="D14" s="73">
        <f>SUM(D4:D13)</f>
        <v>10211</v>
      </c>
      <c r="E14" s="74">
        <f>SUM(E4:E13)</f>
        <v>10943.6</v>
      </c>
      <c r="F14" s="72">
        <f>SUM(F4:F13)</f>
        <v>17081.468821311242</v>
      </c>
      <c r="G14" s="73">
        <f t="shared" ref="G14:W14" si="23">SUM(G4:G13)</f>
        <v>7525.9834580139859</v>
      </c>
      <c r="H14" s="73">
        <f t="shared" si="23"/>
        <v>6306.8519542063468</v>
      </c>
      <c r="I14" s="74">
        <f t="shared" si="23"/>
        <v>3248.6334090909086</v>
      </c>
      <c r="J14" s="75">
        <f t="shared" si="23"/>
        <v>17958.209500000001</v>
      </c>
      <c r="K14" s="72">
        <f t="shared" si="23"/>
        <v>7589</v>
      </c>
      <c r="L14" s="73">
        <f t="shared" si="23"/>
        <v>7392</v>
      </c>
      <c r="M14" s="73">
        <f t="shared" si="23"/>
        <v>9250</v>
      </c>
      <c r="N14" s="74">
        <f t="shared" si="23"/>
        <v>9254</v>
      </c>
      <c r="O14" s="72">
        <f t="shared" si="23"/>
        <v>2990.1388645376883</v>
      </c>
      <c r="P14" s="73">
        <f t="shared" si="23"/>
        <v>130.22751542652216</v>
      </c>
      <c r="Q14" s="73">
        <f t="shared" si="23"/>
        <v>2494.9713491111661</v>
      </c>
      <c r="R14" s="74">
        <f t="shared" si="23"/>
        <v>364.94</v>
      </c>
      <c r="S14" s="13"/>
      <c r="T14" s="84">
        <f t="shared" si="23"/>
        <v>20071.607685848929</v>
      </c>
      <c r="U14" s="89">
        <f t="shared" si="23"/>
        <v>559.32203389830511</v>
      </c>
      <c r="V14" s="786">
        <f t="shared" si="23"/>
        <v>2272.9853107344616</v>
      </c>
      <c r="W14" s="92">
        <f t="shared" si="23"/>
        <v>0</v>
      </c>
      <c r="X14" s="98"/>
      <c r="Y14" s="99"/>
      <c r="Z14" s="99"/>
      <c r="AA14" s="100">
        <f t="shared" ref="AA14:AI14" si="24">SUM(AA4:AA13)</f>
        <v>7656.2109734405049</v>
      </c>
      <c r="AB14" s="100">
        <f t="shared" si="24"/>
        <v>9986.5754156034618</v>
      </c>
      <c r="AC14" s="100">
        <f t="shared" si="24"/>
        <v>4586.3692905322332</v>
      </c>
      <c r="AD14" s="542">
        <f t="shared" si="24"/>
        <v>2832.3073446327671</v>
      </c>
      <c r="AE14" s="148">
        <f t="shared" si="24"/>
        <v>0.10256198136674029</v>
      </c>
      <c r="AF14" s="149">
        <f t="shared" si="24"/>
        <v>0.12764970053018593</v>
      </c>
      <c r="AG14" s="149">
        <f t="shared" si="24"/>
        <v>0.17114701449624034</v>
      </c>
      <c r="AH14" s="150">
        <f t="shared" si="24"/>
        <v>9.9437209620979378E-2</v>
      </c>
      <c r="AI14" s="1076">
        <f t="shared" si="24"/>
        <v>0.12024332682400425</v>
      </c>
      <c r="AJ14" s="525">
        <f>SUM(AJ4:AJ13)</f>
        <v>0.11338206590213713</v>
      </c>
      <c r="AK14" s="526">
        <f t="shared" ref="AK14" si="25">SUM(AK4:AK13)</f>
        <v>0.10705650851352416</v>
      </c>
      <c r="AM14" s="1203" t="s">
        <v>16</v>
      </c>
      <c r="AN14" s="1212">
        <f>'T16a-KKS'!B15</f>
        <v>1.5214788404738191</v>
      </c>
      <c r="AO14" s="1207">
        <f>SUM(AO4:AO13)</f>
        <v>7507.1599999999989</v>
      </c>
      <c r="AP14" s="1207">
        <f t="shared" ref="AP14:AQ14" si="26">SUM(AP4:AP13)</f>
        <v>6865.95</v>
      </c>
      <c r="AQ14" s="1207">
        <f t="shared" si="26"/>
        <v>3387.11</v>
      </c>
      <c r="AR14" s="1207">
        <f>SUM(AR4:AR13)</f>
        <v>124.47800000000001</v>
      </c>
      <c r="AS14" s="1207">
        <f t="shared" ref="AS14" si="27">SUM(AS4:AS13)</f>
        <v>2690.5990000000002</v>
      </c>
      <c r="AT14" s="1207">
        <f t="shared" ref="AT14:AZ14" si="28">SUM(AT4:AT13)</f>
        <v>369.92700000000002</v>
      </c>
      <c r="AU14" s="1204">
        <f t="shared" si="28"/>
        <v>11611.384165264644</v>
      </c>
      <c r="AV14" s="1204">
        <f t="shared" si="28"/>
        <v>14540.085132294796</v>
      </c>
      <c r="AW14" s="1204">
        <f t="shared" si="28"/>
        <v>5716.2558728856111</v>
      </c>
      <c r="AX14" s="1213">
        <f t="shared" si="28"/>
        <v>2832.3073446327671</v>
      </c>
      <c r="AY14" s="1301">
        <f t="shared" si="28"/>
        <v>34700.032515077815</v>
      </c>
      <c r="AZ14" s="1220">
        <f t="shared" si="28"/>
        <v>0.11185017333104093</v>
      </c>
    </row>
    <row r="15" spans="1:52" s="17" customFormat="1" ht="16.5" thickBot="1">
      <c r="A15" s="76" t="s">
        <v>83</v>
      </c>
      <c r="B15" s="77">
        <v>137718.5</v>
      </c>
      <c r="C15" s="78">
        <v>4428</v>
      </c>
      <c r="D15" s="78">
        <v>116942.5</v>
      </c>
      <c r="E15" s="79">
        <v>102222.65</v>
      </c>
      <c r="F15" s="77">
        <v>182322.67701042542</v>
      </c>
      <c r="G15" s="78">
        <v>86030.049247728224</v>
      </c>
      <c r="H15" s="78">
        <v>69027.352548758281</v>
      </c>
      <c r="I15" s="79">
        <v>27265.275213938923</v>
      </c>
      <c r="J15" s="76">
        <v>158386.68449999997</v>
      </c>
      <c r="K15" s="77">
        <v>37812.5</v>
      </c>
      <c r="L15" s="78">
        <v>23802</v>
      </c>
      <c r="M15" s="78">
        <v>106314.5</v>
      </c>
      <c r="N15" s="79">
        <v>106689.5</v>
      </c>
      <c r="O15" s="80">
        <v>36106.192615414533</v>
      </c>
      <c r="P15" s="81">
        <v>3931.9735689281902</v>
      </c>
      <c r="Q15" s="81">
        <v>26898.683141724436</v>
      </c>
      <c r="R15" s="82">
        <v>5275.5359047619031</v>
      </c>
      <c r="S15" s="13"/>
      <c r="T15" s="101">
        <v>218428.86962584002</v>
      </c>
      <c r="U15" s="102">
        <v>559.32203389830511</v>
      </c>
      <c r="V15" s="103">
        <v>21842.905084745751</v>
      </c>
      <c r="AA15" s="104">
        <v>74649.6008697754</v>
      </c>
      <c r="AB15" s="104">
        <v>78234.225181295187</v>
      </c>
      <c r="AC15" s="104">
        <v>26797.834037782672</v>
      </c>
      <c r="AD15" s="105">
        <v>28483.375141242934</v>
      </c>
      <c r="AE15" s="5"/>
      <c r="AF15" s="5"/>
      <c r="AG15" s="5"/>
      <c r="AH15" s="5"/>
      <c r="AI15" s="5"/>
      <c r="AJ15" s="5"/>
      <c r="AK15" s="5"/>
      <c r="AY15" s="1216">
        <v>310236.73438910785</v>
      </c>
    </row>
    <row r="16" spans="1:52" ht="16.5" thickBot="1"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13"/>
      <c r="Q16" s="13"/>
      <c r="R16" s="13"/>
      <c r="S16" s="13"/>
      <c r="T16" s="16"/>
      <c r="U16" s="2"/>
      <c r="V16" s="2"/>
      <c r="W16" s="2"/>
      <c r="X16" s="2"/>
      <c r="Y16" s="2"/>
      <c r="Z16" s="2"/>
      <c r="AA16" s="104">
        <v>0.99999999999999967</v>
      </c>
      <c r="AB16" s="104">
        <v>1.0052462213372988</v>
      </c>
      <c r="AC16" s="104">
        <v>0.98742014610884632</v>
      </c>
      <c r="AD16" s="105">
        <v>1</v>
      </c>
    </row>
    <row r="17" spans="1:37">
      <c r="E17" s="2"/>
      <c r="F17" s="2"/>
      <c r="G17" s="2"/>
      <c r="H17" s="2"/>
      <c r="I17" s="2"/>
      <c r="J17" s="2"/>
      <c r="K17" s="2"/>
      <c r="L17" s="2"/>
      <c r="M17" s="2"/>
      <c r="N17" s="2"/>
      <c r="O17" s="13"/>
      <c r="P17" s="13"/>
      <c r="Q17" s="13"/>
      <c r="R17" s="13"/>
      <c r="S17" s="13"/>
      <c r="T17" s="16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3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37" ht="16.5" thickBot="1">
      <c r="A20" s="1" t="s">
        <v>270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AD20" s="5" t="s">
        <v>275</v>
      </c>
    </row>
    <row r="21" spans="1:37">
      <c r="A21" s="510" t="s">
        <v>2</v>
      </c>
      <c r="B21" s="337">
        <f t="shared" ref="B21:F31" si="29">B3-B37</f>
        <v>-154</v>
      </c>
      <c r="C21" s="338">
        <f t="shared" si="29"/>
        <v>14</v>
      </c>
      <c r="D21" s="338">
        <f t="shared" si="29"/>
        <v>-137</v>
      </c>
      <c r="E21" s="511">
        <f t="shared" si="29"/>
        <v>-8.4000000000050932</v>
      </c>
      <c r="F21" s="337">
        <f t="shared" si="29"/>
        <v>-728.53117868876143</v>
      </c>
      <c r="G21" s="338"/>
      <c r="H21" s="338"/>
      <c r="I21" s="511"/>
      <c r="J21" s="512">
        <f t="shared" ref="J21:O21" si="30">J3-J37</f>
        <v>-0.11450000000331784</v>
      </c>
      <c r="K21" s="337">
        <f t="shared" si="30"/>
        <v>-1422</v>
      </c>
      <c r="L21" s="338">
        <f t="shared" si="30"/>
        <v>-1419</v>
      </c>
      <c r="M21" s="338">
        <f t="shared" si="30"/>
        <v>86</v>
      </c>
      <c r="N21" s="511">
        <f t="shared" si="30"/>
        <v>83</v>
      </c>
      <c r="O21" s="337">
        <f t="shared" si="30"/>
        <v>-1152.8238904571635</v>
      </c>
      <c r="P21" s="338"/>
      <c r="Q21" s="338"/>
      <c r="R21" s="511"/>
      <c r="S21" s="13"/>
      <c r="T21" s="519">
        <f t="shared" ref="T21:V31" si="31">T3-T37</f>
        <v>-1881.3550691459277</v>
      </c>
      <c r="U21" s="520">
        <f t="shared" si="31"/>
        <v>0</v>
      </c>
      <c r="V21" s="521">
        <f t="shared" si="31"/>
        <v>-2.0881355932215229</v>
      </c>
      <c r="W21" s="522" t="s">
        <v>16</v>
      </c>
      <c r="X21" s="93"/>
      <c r="Y21" s="94"/>
      <c r="Z21" s="94"/>
      <c r="AA21" s="95"/>
      <c r="AB21" s="96"/>
      <c r="AC21" s="96"/>
      <c r="AD21" s="96">
        <f t="shared" ref="AD21:AD31" si="32">SUM(AA3:AD3)-AD37</f>
        <v>-11218.536975791038</v>
      </c>
      <c r="AE21" s="546"/>
      <c r="AF21" s="547"/>
      <c r="AG21" s="547"/>
      <c r="AH21" s="548"/>
      <c r="AI21" s="544">
        <f t="shared" ref="AI21:AK31" si="33">AI3-AI37</f>
        <v>6.6333268240042348E-3</v>
      </c>
      <c r="AJ21" s="523">
        <f t="shared" si="33"/>
        <v>7.3206590213714673E-4</v>
      </c>
      <c r="AK21" s="524">
        <f t="shared" si="33"/>
        <v>1.1565085135241127E-3</v>
      </c>
    </row>
    <row r="22" spans="1:37">
      <c r="A22" s="486" t="s">
        <v>6</v>
      </c>
      <c r="B22" s="513">
        <f t="shared" si="29"/>
        <v>-15</v>
      </c>
      <c r="C22" s="514">
        <f t="shared" si="29"/>
        <v>-6</v>
      </c>
      <c r="D22" s="514">
        <f t="shared" si="29"/>
        <v>1</v>
      </c>
      <c r="E22" s="515">
        <f t="shared" si="29"/>
        <v>-9.6000000000000227</v>
      </c>
      <c r="F22" s="513">
        <f t="shared" si="29"/>
        <v>-180.17070417322111</v>
      </c>
      <c r="G22" s="514"/>
      <c r="H22" s="514"/>
      <c r="I22" s="515"/>
      <c r="J22" s="516">
        <f t="shared" ref="J22:M31" si="34">J4-J38</f>
        <v>-24.100000000000136</v>
      </c>
      <c r="K22" s="513">
        <f t="shared" si="34"/>
        <v>0</v>
      </c>
      <c r="L22" s="514">
        <f t="shared" si="34"/>
        <v>-195</v>
      </c>
      <c r="M22" s="514">
        <f t="shared" si="34"/>
        <v>19</v>
      </c>
      <c r="N22" s="515"/>
      <c r="O22" s="513">
        <f t="shared" ref="O22:O31" si="35">O4-O38</f>
        <v>-73.008386460627349</v>
      </c>
      <c r="P22" s="514"/>
      <c r="Q22" s="514"/>
      <c r="R22" s="515"/>
      <c r="S22" s="13"/>
      <c r="T22" s="83">
        <f t="shared" si="31"/>
        <v>-253.17909063384855</v>
      </c>
      <c r="U22" s="87">
        <f t="shared" si="31"/>
        <v>0</v>
      </c>
      <c r="V22" s="88">
        <f t="shared" si="31"/>
        <v>-1.3138624713711806</v>
      </c>
      <c r="W22" s="91" t="s">
        <v>56</v>
      </c>
      <c r="X22" s="97"/>
      <c r="Y22" s="18"/>
      <c r="Z22" s="18"/>
      <c r="AA22" s="37"/>
      <c r="AB22" s="38"/>
      <c r="AC22" s="38"/>
      <c r="AD22" s="38">
        <f t="shared" si="32"/>
        <v>-1377.2822082721284</v>
      </c>
      <c r="AE22" s="549"/>
      <c r="AF22" s="543"/>
      <c r="AG22" s="543"/>
      <c r="AH22" s="550"/>
      <c r="AI22" s="146">
        <f t="shared" si="33"/>
        <v>-9.7921906905945773E-4</v>
      </c>
      <c r="AJ22" s="39">
        <f t="shared" si="33"/>
        <v>-7.7530869519363763E-5</v>
      </c>
      <c r="AK22" s="40">
        <f t="shared" si="33"/>
        <v>1.8959971021501737E-5</v>
      </c>
    </row>
    <row r="23" spans="1:37">
      <c r="A23" s="486" t="s">
        <v>3</v>
      </c>
      <c r="B23" s="513">
        <f t="shared" si="29"/>
        <v>12</v>
      </c>
      <c r="C23" s="514">
        <f t="shared" si="29"/>
        <v>-3</v>
      </c>
      <c r="D23" s="514">
        <f t="shared" si="29"/>
        <v>17</v>
      </c>
      <c r="E23" s="515">
        <f t="shared" si="29"/>
        <v>56.099999999999909</v>
      </c>
      <c r="F23" s="513">
        <f t="shared" si="29"/>
        <v>48.062462365590818</v>
      </c>
      <c r="G23" s="514"/>
      <c r="H23" s="514"/>
      <c r="I23" s="515"/>
      <c r="J23" s="516">
        <f t="shared" si="34"/>
        <v>75.107999999999265</v>
      </c>
      <c r="K23" s="513">
        <f t="shared" si="34"/>
        <v>-94</v>
      </c>
      <c r="L23" s="514">
        <f t="shared" si="34"/>
        <v>-51</v>
      </c>
      <c r="M23" s="514">
        <f t="shared" si="34"/>
        <v>53</v>
      </c>
      <c r="N23" s="515"/>
      <c r="O23" s="513">
        <f t="shared" si="35"/>
        <v>-175.41484188260182</v>
      </c>
      <c r="P23" s="514"/>
      <c r="Q23" s="514"/>
      <c r="R23" s="515"/>
      <c r="S23" s="13"/>
      <c r="T23" s="83">
        <f t="shared" si="31"/>
        <v>-127.35237951701083</v>
      </c>
      <c r="U23" s="87">
        <f t="shared" si="31"/>
        <v>0</v>
      </c>
      <c r="V23" s="88">
        <f t="shared" si="31"/>
        <v>37.190598676300226</v>
      </c>
      <c r="W23" s="91" t="s">
        <v>57</v>
      </c>
      <c r="X23" s="97"/>
      <c r="Y23" s="18"/>
      <c r="Z23" s="18"/>
      <c r="AA23" s="37"/>
      <c r="AB23" s="38"/>
      <c r="AC23" s="38"/>
      <c r="AD23" s="38">
        <f t="shared" si="32"/>
        <v>-1056.5262491784297</v>
      </c>
      <c r="AE23" s="549"/>
      <c r="AF23" s="543"/>
      <c r="AG23" s="543"/>
      <c r="AH23" s="550"/>
      <c r="AI23" s="146">
        <f t="shared" si="33"/>
        <v>5.5184429289964615E-3</v>
      </c>
      <c r="AJ23" s="39">
        <f t="shared" si="33"/>
        <v>6.0831716863429808E-4</v>
      </c>
      <c r="AK23" s="40">
        <f t="shared" si="33"/>
        <v>7.8378437500132778E-4</v>
      </c>
    </row>
    <row r="24" spans="1:37">
      <c r="A24" s="486" t="s">
        <v>5</v>
      </c>
      <c r="B24" s="513">
        <f t="shared" si="29"/>
        <v>10</v>
      </c>
      <c r="C24" s="514">
        <f t="shared" si="29"/>
        <v>4</v>
      </c>
      <c r="D24" s="514">
        <f t="shared" si="29"/>
        <v>5</v>
      </c>
      <c r="E24" s="515">
        <f t="shared" si="29"/>
        <v>61.599999999999682</v>
      </c>
      <c r="F24" s="513">
        <f t="shared" si="29"/>
        <v>-141.03855319756485</v>
      </c>
      <c r="G24" s="514"/>
      <c r="H24" s="514"/>
      <c r="I24" s="515"/>
      <c r="J24" s="516">
        <f t="shared" si="34"/>
        <v>90.467499999999745</v>
      </c>
      <c r="K24" s="513">
        <f t="shared" si="34"/>
        <v>-228</v>
      </c>
      <c r="L24" s="514">
        <f t="shared" si="34"/>
        <v>-211</v>
      </c>
      <c r="M24" s="514">
        <f t="shared" si="34"/>
        <v>54</v>
      </c>
      <c r="N24" s="515"/>
      <c r="O24" s="513">
        <f t="shared" si="35"/>
        <v>-281.66698610246431</v>
      </c>
      <c r="P24" s="514"/>
      <c r="Q24" s="514"/>
      <c r="R24" s="515"/>
      <c r="S24" s="13"/>
      <c r="T24" s="83">
        <f t="shared" si="31"/>
        <v>-422.70553930002916</v>
      </c>
      <c r="U24" s="87">
        <f t="shared" si="31"/>
        <v>0</v>
      </c>
      <c r="V24" s="88">
        <f t="shared" si="31"/>
        <v>4.4077941544477426</v>
      </c>
      <c r="W24" s="91" t="s">
        <v>58</v>
      </c>
      <c r="X24" s="97"/>
      <c r="Y24" s="18"/>
      <c r="Z24" s="18"/>
      <c r="AA24" s="37"/>
      <c r="AB24" s="38"/>
      <c r="AC24" s="38"/>
      <c r="AD24" s="38">
        <f t="shared" si="32"/>
        <v>-2256.9236923428916</v>
      </c>
      <c r="AE24" s="549"/>
      <c r="AF24" s="543"/>
      <c r="AG24" s="543"/>
      <c r="AH24" s="550"/>
      <c r="AI24" s="146">
        <f t="shared" si="33"/>
        <v>4.6874808531164464E-5</v>
      </c>
      <c r="AJ24" s="39">
        <f t="shared" si="33"/>
        <v>6.9769838187128466E-4</v>
      </c>
      <c r="AK24" s="40">
        <f t="shared" si="33"/>
        <v>7.8340513345782556E-4</v>
      </c>
    </row>
    <row r="25" spans="1:37">
      <c r="A25" s="486" t="s">
        <v>7</v>
      </c>
      <c r="B25" s="513">
        <f t="shared" si="29"/>
        <v>45</v>
      </c>
      <c r="C25" s="514">
        <f t="shared" si="29"/>
        <v>2</v>
      </c>
      <c r="D25" s="514">
        <f t="shared" si="29"/>
        <v>40</v>
      </c>
      <c r="E25" s="515">
        <f t="shared" si="29"/>
        <v>22.5</v>
      </c>
      <c r="F25" s="513">
        <f t="shared" si="29"/>
        <v>34.476271155361928</v>
      </c>
      <c r="G25" s="514"/>
      <c r="H25" s="514"/>
      <c r="I25" s="515"/>
      <c r="J25" s="516">
        <f t="shared" si="34"/>
        <v>37.980000000000246</v>
      </c>
      <c r="K25" s="513">
        <f t="shared" si="34"/>
        <v>40</v>
      </c>
      <c r="L25" s="514">
        <f t="shared" si="34"/>
        <v>37</v>
      </c>
      <c r="M25" s="514">
        <f t="shared" si="34"/>
        <v>37</v>
      </c>
      <c r="N25" s="515"/>
      <c r="O25" s="513">
        <f t="shared" si="35"/>
        <v>86.203125</v>
      </c>
      <c r="P25" s="514"/>
      <c r="Q25" s="514"/>
      <c r="R25" s="515"/>
      <c r="S25" s="13"/>
      <c r="T25" s="83">
        <f t="shared" si="31"/>
        <v>120.67939615536216</v>
      </c>
      <c r="U25" s="87">
        <f t="shared" si="31"/>
        <v>0</v>
      </c>
      <c r="V25" s="88">
        <f t="shared" si="31"/>
        <v>41.913896631343277</v>
      </c>
      <c r="W25" s="91" t="s">
        <v>59</v>
      </c>
      <c r="X25" s="97"/>
      <c r="Y25" s="18"/>
      <c r="Z25" s="18"/>
      <c r="AA25" s="37"/>
      <c r="AB25" s="38"/>
      <c r="AC25" s="38"/>
      <c r="AD25" s="38">
        <f t="shared" si="32"/>
        <v>-688.43039196751852</v>
      </c>
      <c r="AE25" s="549"/>
      <c r="AF25" s="543"/>
      <c r="AG25" s="543"/>
      <c r="AH25" s="550"/>
      <c r="AI25" s="146">
        <f t="shared" si="33"/>
        <v>2.4646256349455855E-3</v>
      </c>
      <c r="AJ25" s="39">
        <f t="shared" si="33"/>
        <v>3.1887121293110859E-4</v>
      </c>
      <c r="AK25" s="40">
        <f t="shared" si="33"/>
        <v>3.6215605369681499E-4</v>
      </c>
    </row>
    <row r="26" spans="1:37">
      <c r="A26" s="486" t="s">
        <v>0</v>
      </c>
      <c r="B26" s="513">
        <f t="shared" si="29"/>
        <v>-88</v>
      </c>
      <c r="C26" s="514">
        <f t="shared" si="29"/>
        <v>10</v>
      </c>
      <c r="D26" s="514">
        <f t="shared" si="29"/>
        <v>-94</v>
      </c>
      <c r="E26" s="515">
        <f t="shared" si="29"/>
        <v>-36.599999999999909</v>
      </c>
      <c r="F26" s="513">
        <f t="shared" si="29"/>
        <v>-167.66965754868852</v>
      </c>
      <c r="G26" s="514"/>
      <c r="H26" s="514"/>
      <c r="I26" s="515"/>
      <c r="J26" s="516">
        <f t="shared" si="34"/>
        <v>-37.481999999999971</v>
      </c>
      <c r="K26" s="513">
        <f t="shared" si="34"/>
        <v>-500</v>
      </c>
      <c r="L26" s="514">
        <f t="shared" si="34"/>
        <v>-406</v>
      </c>
      <c r="M26" s="514">
        <f t="shared" si="34"/>
        <v>5</v>
      </c>
      <c r="N26" s="515"/>
      <c r="O26" s="513">
        <f t="shared" si="35"/>
        <v>-262.44441850547412</v>
      </c>
      <c r="P26" s="514"/>
      <c r="Q26" s="514"/>
      <c r="R26" s="515"/>
      <c r="S26" s="13"/>
      <c r="T26" s="83">
        <f t="shared" si="31"/>
        <v>-430.11407605416252</v>
      </c>
      <c r="U26" s="87">
        <f t="shared" si="31"/>
        <v>0</v>
      </c>
      <c r="V26" s="88">
        <f t="shared" si="31"/>
        <v>7.6168212302067104</v>
      </c>
      <c r="W26" s="91" t="s">
        <v>60</v>
      </c>
      <c r="X26" s="97"/>
      <c r="Y26" s="18"/>
      <c r="Z26" s="18"/>
      <c r="AA26" s="37"/>
      <c r="AB26" s="38"/>
      <c r="AC26" s="38"/>
      <c r="AD26" s="38">
        <f t="shared" si="32"/>
        <v>-2043.8301124522995</v>
      </c>
      <c r="AE26" s="549"/>
      <c r="AF26" s="543"/>
      <c r="AG26" s="543"/>
      <c r="AH26" s="550"/>
      <c r="AI26" s="146">
        <f t="shared" si="33"/>
        <v>1.7407366405161676E-3</v>
      </c>
      <c r="AJ26" s="39">
        <f t="shared" si="33"/>
        <v>-9.7189946680644596E-5</v>
      </c>
      <c r="AK26" s="40">
        <f t="shared" si="33"/>
        <v>-1.1449845930050148E-4</v>
      </c>
    </row>
    <row r="27" spans="1:37">
      <c r="A27" s="486" t="s">
        <v>1</v>
      </c>
      <c r="B27" s="513">
        <f t="shared" si="29"/>
        <v>-42</v>
      </c>
      <c r="C27" s="514">
        <f t="shared" si="29"/>
        <v>-3</v>
      </c>
      <c r="D27" s="514">
        <f t="shared" si="29"/>
        <v>-34</v>
      </c>
      <c r="E27" s="515">
        <f t="shared" si="29"/>
        <v>-62.000000000000114</v>
      </c>
      <c r="F27" s="513">
        <f t="shared" si="29"/>
        <v>-132.66830583799356</v>
      </c>
      <c r="G27" s="514"/>
      <c r="H27" s="514"/>
      <c r="I27" s="515"/>
      <c r="J27" s="516">
        <f t="shared" si="34"/>
        <v>-100.29999999999973</v>
      </c>
      <c r="K27" s="513">
        <f t="shared" si="34"/>
        <v>-159</v>
      </c>
      <c r="L27" s="514">
        <f t="shared" si="34"/>
        <v>-137</v>
      </c>
      <c r="M27" s="514">
        <f t="shared" si="34"/>
        <v>-47</v>
      </c>
      <c r="N27" s="515"/>
      <c r="O27" s="513">
        <f t="shared" si="35"/>
        <v>-65.136595238095254</v>
      </c>
      <c r="P27" s="514"/>
      <c r="Q27" s="514"/>
      <c r="R27" s="515"/>
      <c r="S27" s="13"/>
      <c r="T27" s="83">
        <f t="shared" si="31"/>
        <v>-197.80490107608875</v>
      </c>
      <c r="U27" s="87">
        <f t="shared" si="31"/>
        <v>0</v>
      </c>
      <c r="V27" s="88">
        <f t="shared" si="31"/>
        <v>0.13348941797445946</v>
      </c>
      <c r="W27" s="91" t="s">
        <v>61</v>
      </c>
      <c r="X27" s="97"/>
      <c r="Y27" s="18"/>
      <c r="Z27" s="18"/>
      <c r="AA27" s="37"/>
      <c r="AB27" s="38"/>
      <c r="AC27" s="38"/>
      <c r="AD27" s="38">
        <f t="shared" si="32"/>
        <v>-965.7077580389041</v>
      </c>
      <c r="AE27" s="549"/>
      <c r="AF27" s="543"/>
      <c r="AG27" s="543"/>
      <c r="AH27" s="550"/>
      <c r="AI27" s="146">
        <f t="shared" si="33"/>
        <v>-2.208497074429952E-5</v>
      </c>
      <c r="AJ27" s="39">
        <f t="shared" si="33"/>
        <v>-5.7700323854525427E-4</v>
      </c>
      <c r="AK27" s="40">
        <f t="shared" si="33"/>
        <v>-5.0772749533895163E-4</v>
      </c>
    </row>
    <row r="28" spans="1:37">
      <c r="A28" s="486" t="s">
        <v>4</v>
      </c>
      <c r="B28" s="513">
        <f t="shared" si="29"/>
        <v>-57</v>
      </c>
      <c r="C28" s="514">
        <f t="shared" si="29"/>
        <v>12</v>
      </c>
      <c r="D28" s="514">
        <f t="shared" si="29"/>
        <v>-63</v>
      </c>
      <c r="E28" s="515">
        <f t="shared" si="29"/>
        <v>-32.900000000000318</v>
      </c>
      <c r="F28" s="513">
        <f t="shared" si="29"/>
        <v>-162.53069145224572</v>
      </c>
      <c r="G28" s="514"/>
      <c r="H28" s="514"/>
      <c r="I28" s="515"/>
      <c r="J28" s="516">
        <f t="shared" si="34"/>
        <v>-26.221999999999753</v>
      </c>
      <c r="K28" s="513">
        <f t="shared" si="34"/>
        <v>-481</v>
      </c>
      <c r="L28" s="514">
        <f t="shared" si="34"/>
        <v>-410</v>
      </c>
      <c r="M28" s="514">
        <f t="shared" si="34"/>
        <v>-32</v>
      </c>
      <c r="N28" s="515"/>
      <c r="O28" s="513">
        <f t="shared" si="35"/>
        <v>-376.6730322730491</v>
      </c>
      <c r="P28" s="514"/>
      <c r="Q28" s="514"/>
      <c r="R28" s="515"/>
      <c r="S28" s="13"/>
      <c r="T28" s="83">
        <f t="shared" si="31"/>
        <v>-539.20372372529482</v>
      </c>
      <c r="U28" s="87">
        <f t="shared" si="31"/>
        <v>0</v>
      </c>
      <c r="V28" s="88">
        <f t="shared" si="31"/>
        <v>-13.497014356463353</v>
      </c>
      <c r="W28" s="91" t="s">
        <v>62</v>
      </c>
      <c r="X28" s="97"/>
      <c r="Y28" s="18"/>
      <c r="Z28" s="18"/>
      <c r="AA28" s="37"/>
      <c r="AB28" s="38"/>
      <c r="AC28" s="38"/>
      <c r="AD28" s="38">
        <f t="shared" si="32"/>
        <v>-2400.8075765113799</v>
      </c>
      <c r="AE28" s="549"/>
      <c r="AF28" s="543"/>
      <c r="AG28" s="543"/>
      <c r="AH28" s="550"/>
      <c r="AI28" s="146">
        <f t="shared" si="33"/>
        <v>-1.7828374656513463E-3</v>
      </c>
      <c r="AJ28" s="39">
        <f t="shared" si="33"/>
        <v>-5.2920239733675323E-5</v>
      </c>
      <c r="AK28" s="40">
        <f t="shared" si="33"/>
        <v>-1.1919393824055824E-4</v>
      </c>
    </row>
    <row r="29" spans="1:37">
      <c r="A29" s="486" t="s">
        <v>17</v>
      </c>
      <c r="B29" s="513">
        <f t="shared" si="29"/>
        <v>-19</v>
      </c>
      <c r="C29" s="514">
        <f t="shared" si="29"/>
        <v>-2</v>
      </c>
      <c r="D29" s="514">
        <f t="shared" si="29"/>
        <v>-9</v>
      </c>
      <c r="E29" s="515">
        <f t="shared" si="29"/>
        <v>-7.5</v>
      </c>
      <c r="F29" s="513">
        <f t="shared" si="29"/>
        <v>-26.992000000000019</v>
      </c>
      <c r="G29" s="514"/>
      <c r="H29" s="514"/>
      <c r="I29" s="515"/>
      <c r="J29" s="516">
        <f t="shared" si="34"/>
        <v>-15.242000000000019</v>
      </c>
      <c r="K29" s="513">
        <f t="shared" si="34"/>
        <v>0</v>
      </c>
      <c r="L29" s="514">
        <f t="shared" si="34"/>
        <v>-46</v>
      </c>
      <c r="M29" s="514">
        <f t="shared" si="34"/>
        <v>-3</v>
      </c>
      <c r="N29" s="515"/>
      <c r="O29" s="513">
        <f t="shared" si="35"/>
        <v>-4.7199999999999989</v>
      </c>
      <c r="P29" s="514"/>
      <c r="Q29" s="514"/>
      <c r="R29" s="515"/>
      <c r="S29" s="13"/>
      <c r="T29" s="83">
        <f t="shared" si="31"/>
        <v>-31.711999999999989</v>
      </c>
      <c r="U29" s="87">
        <f t="shared" si="31"/>
        <v>0</v>
      </c>
      <c r="V29" s="88">
        <f t="shared" si="31"/>
        <v>0.53358745202394431</v>
      </c>
      <c r="W29" s="91" t="s">
        <v>66</v>
      </c>
      <c r="X29" s="97"/>
      <c r="Y29" s="18"/>
      <c r="Z29" s="18"/>
      <c r="AA29" s="37"/>
      <c r="AB29" s="38"/>
      <c r="AC29" s="38"/>
      <c r="AD29" s="38">
        <f t="shared" si="32"/>
        <v>-247.60380551913062</v>
      </c>
      <c r="AE29" s="549"/>
      <c r="AF29" s="543"/>
      <c r="AG29" s="543"/>
      <c r="AH29" s="550"/>
      <c r="AI29" s="146">
        <f t="shared" si="33"/>
        <v>-3.4943098325388561E-4</v>
      </c>
      <c r="AJ29" s="39">
        <f t="shared" si="33"/>
        <v>-8.5781596993061808E-5</v>
      </c>
      <c r="AK29" s="40">
        <f t="shared" si="33"/>
        <v>-5.5345685888267453E-5</v>
      </c>
    </row>
    <row r="30" spans="1:37">
      <c r="A30" s="500" t="s">
        <v>205</v>
      </c>
      <c r="B30" s="513">
        <f t="shared" si="29"/>
        <v>0</v>
      </c>
      <c r="C30" s="514">
        <f t="shared" si="29"/>
        <v>0</v>
      </c>
      <c r="D30" s="514">
        <f t="shared" si="29"/>
        <v>0</v>
      </c>
      <c r="E30" s="515">
        <f t="shared" si="29"/>
        <v>0</v>
      </c>
      <c r="F30" s="513">
        <f t="shared" si="29"/>
        <v>0</v>
      </c>
      <c r="G30" s="514"/>
      <c r="H30" s="514"/>
      <c r="I30" s="515"/>
      <c r="J30" s="516">
        <f t="shared" si="34"/>
        <v>0</v>
      </c>
      <c r="K30" s="513">
        <f t="shared" si="34"/>
        <v>0</v>
      </c>
      <c r="L30" s="514">
        <f t="shared" si="34"/>
        <v>0</v>
      </c>
      <c r="M30" s="514">
        <f t="shared" si="34"/>
        <v>0</v>
      </c>
      <c r="N30" s="515"/>
      <c r="O30" s="513">
        <f t="shared" si="35"/>
        <v>0</v>
      </c>
      <c r="P30" s="514"/>
      <c r="Q30" s="514"/>
      <c r="R30" s="515"/>
      <c r="S30" s="13"/>
      <c r="T30" s="83">
        <f t="shared" si="31"/>
        <v>0</v>
      </c>
      <c r="U30" s="87">
        <f t="shared" si="31"/>
        <v>0</v>
      </c>
      <c r="V30" s="88">
        <f t="shared" si="31"/>
        <v>0</v>
      </c>
      <c r="W30" s="91" t="s">
        <v>67</v>
      </c>
      <c r="X30" s="97"/>
      <c r="Y30" s="18"/>
      <c r="Z30" s="18"/>
      <c r="AA30" s="37"/>
      <c r="AB30" s="38"/>
      <c r="AC30" s="38"/>
      <c r="AD30" s="38">
        <f t="shared" si="32"/>
        <v>0</v>
      </c>
      <c r="AE30" s="549"/>
      <c r="AF30" s="543"/>
      <c r="AG30" s="543"/>
      <c r="AH30" s="550"/>
      <c r="AI30" s="146">
        <f t="shared" si="33"/>
        <v>0</v>
      </c>
      <c r="AJ30" s="39">
        <f t="shared" si="33"/>
        <v>0</v>
      </c>
      <c r="AK30" s="40">
        <f t="shared" si="33"/>
        <v>0</v>
      </c>
    </row>
    <row r="31" spans="1:37">
      <c r="A31" s="517" t="s">
        <v>64</v>
      </c>
      <c r="B31" s="513">
        <f t="shared" si="29"/>
        <v>0</v>
      </c>
      <c r="C31" s="514">
        <f t="shared" si="29"/>
        <v>0</v>
      </c>
      <c r="D31" s="514">
        <f t="shared" si="29"/>
        <v>0</v>
      </c>
      <c r="E31" s="515">
        <f t="shared" si="29"/>
        <v>0</v>
      </c>
      <c r="F31" s="513">
        <f t="shared" si="29"/>
        <v>0</v>
      </c>
      <c r="G31" s="514"/>
      <c r="H31" s="514"/>
      <c r="I31" s="515"/>
      <c r="J31" s="516">
        <f t="shared" si="34"/>
        <v>0</v>
      </c>
      <c r="K31" s="513">
        <f t="shared" si="34"/>
        <v>0</v>
      </c>
      <c r="L31" s="514">
        <f t="shared" si="34"/>
        <v>0</v>
      </c>
      <c r="M31" s="514">
        <f t="shared" si="34"/>
        <v>0</v>
      </c>
      <c r="N31" s="515"/>
      <c r="O31" s="513">
        <f t="shared" si="35"/>
        <v>0</v>
      </c>
      <c r="P31" s="514"/>
      <c r="Q31" s="514"/>
      <c r="R31" s="515"/>
      <c r="S31" s="13"/>
      <c r="T31" s="83">
        <f t="shared" si="31"/>
        <v>0</v>
      </c>
      <c r="U31" s="87">
        <f t="shared" si="31"/>
        <v>0</v>
      </c>
      <c r="V31" s="88">
        <f t="shared" si="31"/>
        <v>0</v>
      </c>
      <c r="W31" s="91" t="s">
        <v>68</v>
      </c>
      <c r="X31" s="97"/>
      <c r="Y31" s="18"/>
      <c r="Z31" s="18"/>
      <c r="AA31" s="37"/>
      <c r="AB31" s="38"/>
      <c r="AC31" s="38"/>
      <c r="AD31" s="38">
        <f t="shared" si="32"/>
        <v>0</v>
      </c>
      <c r="AE31" s="549"/>
      <c r="AF31" s="543"/>
      <c r="AG31" s="543"/>
      <c r="AH31" s="550"/>
      <c r="AI31" s="146">
        <f t="shared" si="33"/>
        <v>0</v>
      </c>
      <c r="AJ31" s="39">
        <f t="shared" si="33"/>
        <v>0</v>
      </c>
      <c r="AK31" s="40">
        <f t="shared" si="33"/>
        <v>0</v>
      </c>
    </row>
    <row r="32" spans="1:37" s="17" customFormat="1" thickBot="1">
      <c r="A32" s="258" t="s">
        <v>2</v>
      </c>
      <c r="B32" s="98">
        <f>SUM(B22:B31)</f>
        <v>-154</v>
      </c>
      <c r="C32" s="100">
        <f>SUM(C22:C31)</f>
        <v>14</v>
      </c>
      <c r="D32" s="100">
        <f>SUM(D22:D31)</f>
        <v>-137</v>
      </c>
      <c r="E32" s="90">
        <f>SUM(E22:E31)</f>
        <v>-8.4000000000007731</v>
      </c>
      <c r="F32" s="98">
        <f>SUM(F22:F31)</f>
        <v>-728.53117868876097</v>
      </c>
      <c r="G32" s="100"/>
      <c r="H32" s="100"/>
      <c r="I32" s="90"/>
      <c r="J32" s="92">
        <f t="shared" ref="J32:O32" si="36">SUM(J22:J31)</f>
        <v>0.2094999999996503</v>
      </c>
      <c r="K32" s="98">
        <f t="shared" si="36"/>
        <v>-1422</v>
      </c>
      <c r="L32" s="100">
        <f t="shared" si="36"/>
        <v>-1419</v>
      </c>
      <c r="M32" s="100">
        <f t="shared" si="36"/>
        <v>86</v>
      </c>
      <c r="N32" s="90"/>
      <c r="O32" s="98">
        <f t="shared" si="36"/>
        <v>-1152.8611354623119</v>
      </c>
      <c r="P32" s="100"/>
      <c r="Q32" s="100"/>
      <c r="R32" s="90"/>
      <c r="S32" s="13"/>
      <c r="T32" s="84">
        <f t="shared" ref="T32:W32" si="37">SUM(T22:T31)</f>
        <v>-1881.3923141510725</v>
      </c>
      <c r="U32" s="89">
        <f t="shared" si="37"/>
        <v>0</v>
      </c>
      <c r="V32" s="90">
        <f t="shared" si="37"/>
        <v>76.985310734461819</v>
      </c>
      <c r="W32" s="92">
        <f t="shared" si="37"/>
        <v>0</v>
      </c>
      <c r="X32" s="98"/>
      <c r="Y32" s="99"/>
      <c r="Z32" s="99"/>
      <c r="AA32" s="100"/>
      <c r="AB32" s="100"/>
      <c r="AC32" s="100"/>
      <c r="AD32" s="542"/>
      <c r="AE32" s="148"/>
      <c r="AF32" s="149"/>
      <c r="AG32" s="149"/>
      <c r="AH32" s="150"/>
      <c r="AI32" s="545">
        <f t="shared" ref="AI32" si="38">SUM(AI22:AI31)</f>
        <v>6.6371075242803897E-3</v>
      </c>
      <c r="AJ32" s="525">
        <f>SUM(AJ22:AJ31)</f>
        <v>7.3446087196469157E-4</v>
      </c>
      <c r="AK32" s="526">
        <f t="shared" ref="AK32" si="39">SUM(AK22:AK31)</f>
        <v>1.1515399544091913E-3</v>
      </c>
    </row>
    <row r="33" spans="1:3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3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3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37" ht="16.5" thickBot="1">
      <c r="A36" s="2" t="s">
        <v>229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X36" s="5" t="s">
        <v>271</v>
      </c>
      <c r="AD36" s="5" t="s">
        <v>272</v>
      </c>
    </row>
    <row r="37" spans="1:37">
      <c r="A37" s="510" t="s">
        <v>2</v>
      </c>
      <c r="B37" s="337">
        <v>11135</v>
      </c>
      <c r="C37" s="338">
        <v>473</v>
      </c>
      <c r="D37" s="338">
        <v>10348</v>
      </c>
      <c r="E37" s="511">
        <v>10952</v>
      </c>
      <c r="F37" s="337">
        <v>17810</v>
      </c>
      <c r="G37" s="338"/>
      <c r="H37" s="338"/>
      <c r="I37" s="511"/>
      <c r="J37" s="512">
        <v>17958.324000000004</v>
      </c>
      <c r="K37" s="337">
        <v>9011</v>
      </c>
      <c r="L37" s="338">
        <v>8811</v>
      </c>
      <c r="M37" s="338">
        <v>9164</v>
      </c>
      <c r="N37" s="511">
        <v>9171</v>
      </c>
      <c r="O37" s="337">
        <v>4142.9627549948518</v>
      </c>
      <c r="P37" s="338"/>
      <c r="Q37" s="338"/>
      <c r="R37" s="511"/>
      <c r="S37" s="13"/>
      <c r="T37" s="519">
        <f>F37+O37</f>
        <v>21952.962754994853</v>
      </c>
      <c r="U37" s="520">
        <v>559.32203389830511</v>
      </c>
      <c r="V37" s="521">
        <v>2275.0734463276835</v>
      </c>
      <c r="W37" s="522" t="s">
        <v>16</v>
      </c>
      <c r="X37" s="93">
        <v>1.524</v>
      </c>
      <c r="Y37" s="94"/>
      <c r="Z37" s="94"/>
      <c r="AA37" s="95"/>
      <c r="AB37" s="96"/>
      <c r="AC37" s="96"/>
      <c r="AD37" s="96">
        <v>36280</v>
      </c>
      <c r="AE37" s="546"/>
      <c r="AF37" s="547"/>
      <c r="AG37" s="547"/>
      <c r="AH37" s="548"/>
      <c r="AI37" s="544">
        <v>0.11361</v>
      </c>
      <c r="AJ37" s="523">
        <v>0.11265</v>
      </c>
      <c r="AK37" s="524">
        <v>0.10589999999999999</v>
      </c>
    </row>
    <row r="38" spans="1:37">
      <c r="A38" s="486" t="s">
        <v>6</v>
      </c>
      <c r="B38" s="513">
        <v>929</v>
      </c>
      <c r="C38" s="514">
        <v>39</v>
      </c>
      <c r="D38" s="514">
        <v>841</v>
      </c>
      <c r="E38" s="515">
        <v>1002</v>
      </c>
      <c r="F38" s="513">
        <v>1785</v>
      </c>
      <c r="G38" s="514"/>
      <c r="H38" s="514"/>
      <c r="I38" s="515"/>
      <c r="J38" s="516">
        <v>1828</v>
      </c>
      <c r="K38" s="513">
        <v>0</v>
      </c>
      <c r="L38" s="514">
        <v>651</v>
      </c>
      <c r="M38" s="514">
        <v>803</v>
      </c>
      <c r="N38" s="515"/>
      <c r="O38" s="513">
        <v>258</v>
      </c>
      <c r="P38" s="514"/>
      <c r="Q38" s="514"/>
      <c r="R38" s="515"/>
      <c r="S38" s="13"/>
      <c r="T38" s="83">
        <v>2043</v>
      </c>
      <c r="U38" s="87">
        <f>U$3/8</f>
        <v>69.915254237288138</v>
      </c>
      <c r="V38" s="88">
        <v>204</v>
      </c>
      <c r="W38" s="91" t="s">
        <v>56</v>
      </c>
      <c r="X38" s="97">
        <v>1.5079833704180818</v>
      </c>
      <c r="Y38" s="18"/>
      <c r="Z38" s="18"/>
      <c r="AA38" s="37"/>
      <c r="AB38" s="38"/>
      <c r="AC38" s="38"/>
      <c r="AD38" s="38">
        <v>3354.8100257641413</v>
      </c>
      <c r="AE38" s="549"/>
      <c r="AF38" s="543"/>
      <c r="AG38" s="543"/>
      <c r="AH38" s="550"/>
      <c r="AI38" s="146">
        <v>1.0557959293745835E-2</v>
      </c>
      <c r="AJ38" s="39">
        <v>1.1466745851161335E-2</v>
      </c>
      <c r="AK38" s="40">
        <v>9.6892602717524833E-3</v>
      </c>
    </row>
    <row r="39" spans="1:37">
      <c r="A39" s="486" t="s">
        <v>3</v>
      </c>
      <c r="B39" s="513">
        <v>2273</v>
      </c>
      <c r="C39" s="514">
        <v>76</v>
      </c>
      <c r="D39" s="514">
        <v>2133</v>
      </c>
      <c r="E39" s="515">
        <v>2086</v>
      </c>
      <c r="F39" s="513">
        <v>3272</v>
      </c>
      <c r="G39" s="514"/>
      <c r="H39" s="514"/>
      <c r="I39" s="515"/>
      <c r="J39" s="516">
        <v>3285</v>
      </c>
      <c r="K39" s="513">
        <v>2133</v>
      </c>
      <c r="L39" s="514">
        <v>1825</v>
      </c>
      <c r="M39" s="514">
        <v>1825</v>
      </c>
      <c r="N39" s="515"/>
      <c r="O39" s="513">
        <v>610</v>
      </c>
      <c r="P39" s="514"/>
      <c r="Q39" s="514"/>
      <c r="R39" s="515"/>
      <c r="S39" s="13"/>
      <c r="T39" s="83">
        <v>3882</v>
      </c>
      <c r="U39" s="87">
        <f t="shared" ref="U39:U45" si="40">U$3/8</f>
        <v>69.915254237288138</v>
      </c>
      <c r="V39" s="88">
        <v>388</v>
      </c>
      <c r="W39" s="91" t="s">
        <v>57</v>
      </c>
      <c r="X39" s="97">
        <v>1.5173072524826965</v>
      </c>
      <c r="Y39" s="18"/>
      <c r="Z39" s="18"/>
      <c r="AA39" s="37"/>
      <c r="AB39" s="38"/>
      <c r="AC39" s="38"/>
      <c r="AD39" s="38">
        <v>6348.1867541378278</v>
      </c>
      <c r="AE39" s="549"/>
      <c r="AF39" s="543"/>
      <c r="AG39" s="543"/>
      <c r="AH39" s="550"/>
      <c r="AI39" s="146">
        <v>1.9978447907498829E-2</v>
      </c>
      <c r="AJ39" s="39">
        <v>2.0606269212836422E-2</v>
      </c>
      <c r="AK39" s="40">
        <v>2.0171454018838002E-2</v>
      </c>
    </row>
    <row r="40" spans="1:37">
      <c r="A40" s="486" t="s">
        <v>5</v>
      </c>
      <c r="B40" s="513">
        <v>1464</v>
      </c>
      <c r="C40" s="514">
        <v>132</v>
      </c>
      <c r="D40" s="514">
        <v>1297</v>
      </c>
      <c r="E40" s="515">
        <v>1605</v>
      </c>
      <c r="F40" s="513">
        <v>3070</v>
      </c>
      <c r="G40" s="514"/>
      <c r="H40" s="514"/>
      <c r="I40" s="515"/>
      <c r="J40" s="516">
        <v>3099</v>
      </c>
      <c r="K40" s="513">
        <v>1297</v>
      </c>
      <c r="L40" s="514">
        <v>1237</v>
      </c>
      <c r="M40" s="514">
        <v>1237</v>
      </c>
      <c r="N40" s="515"/>
      <c r="O40" s="513">
        <v>915</v>
      </c>
      <c r="P40" s="514"/>
      <c r="Q40" s="514"/>
      <c r="R40" s="515"/>
      <c r="S40" s="13"/>
      <c r="T40" s="83">
        <v>3985</v>
      </c>
      <c r="U40" s="87">
        <f t="shared" si="40"/>
        <v>69.915254237288138</v>
      </c>
      <c r="V40" s="88">
        <v>399</v>
      </c>
      <c r="W40" s="91" t="s">
        <v>58</v>
      </c>
      <c r="X40" s="97">
        <v>1.5708867373597664</v>
      </c>
      <c r="Y40" s="18"/>
      <c r="Z40" s="18"/>
      <c r="AA40" s="37"/>
      <c r="AB40" s="38"/>
      <c r="AC40" s="38"/>
      <c r="AD40" s="38">
        <v>6728.9836483786694</v>
      </c>
      <c r="AE40" s="549"/>
      <c r="AF40" s="543"/>
      <c r="AG40" s="543"/>
      <c r="AH40" s="550"/>
      <c r="AI40" s="146">
        <v>2.1176857974746641E-2</v>
      </c>
      <c r="AJ40" s="39">
        <v>1.9439521549643856E-2</v>
      </c>
      <c r="AK40" s="40">
        <v>1.5520222291579577E-2</v>
      </c>
    </row>
    <row r="41" spans="1:37">
      <c r="A41" s="486" t="s">
        <v>7</v>
      </c>
      <c r="B41" s="513">
        <v>1257</v>
      </c>
      <c r="C41" s="514">
        <v>27</v>
      </c>
      <c r="D41" s="514">
        <v>1208</v>
      </c>
      <c r="E41" s="515">
        <v>1261</v>
      </c>
      <c r="F41" s="513">
        <v>1933</v>
      </c>
      <c r="G41" s="514"/>
      <c r="H41" s="514"/>
      <c r="I41" s="515"/>
      <c r="J41" s="516">
        <v>1937</v>
      </c>
      <c r="K41" s="513">
        <v>1208</v>
      </c>
      <c r="L41" s="514">
        <v>1120</v>
      </c>
      <c r="M41" s="514">
        <v>1120</v>
      </c>
      <c r="N41" s="515"/>
      <c r="O41" s="513">
        <v>215</v>
      </c>
      <c r="P41" s="514"/>
      <c r="Q41" s="514"/>
      <c r="R41" s="515"/>
      <c r="S41" s="13"/>
      <c r="T41" s="83">
        <v>2148</v>
      </c>
      <c r="U41" s="87">
        <f t="shared" si="40"/>
        <v>69.915254237288138</v>
      </c>
      <c r="V41" s="88">
        <v>215</v>
      </c>
      <c r="W41" s="91" t="s">
        <v>59</v>
      </c>
      <c r="X41" s="97">
        <v>1.4516032937757326</v>
      </c>
      <c r="Y41" s="18"/>
      <c r="Z41" s="18"/>
      <c r="AA41" s="37"/>
      <c r="AB41" s="38"/>
      <c r="AC41" s="38"/>
      <c r="AD41" s="38">
        <v>3403.0438750302737</v>
      </c>
      <c r="AE41" s="549"/>
      <c r="AF41" s="543"/>
      <c r="AG41" s="543"/>
      <c r="AH41" s="550"/>
      <c r="AI41" s="146">
        <v>1.0709756567875093E-2</v>
      </c>
      <c r="AJ41" s="39">
        <v>1.2150485073139773E-2</v>
      </c>
      <c r="AK41" s="40">
        <v>1.2193769663353175E-2</v>
      </c>
    </row>
    <row r="42" spans="1:37">
      <c r="A42" s="486" t="s">
        <v>0</v>
      </c>
      <c r="B42" s="513">
        <v>2230</v>
      </c>
      <c r="C42" s="514">
        <v>107</v>
      </c>
      <c r="D42" s="514">
        <v>2072</v>
      </c>
      <c r="E42" s="515">
        <v>2162</v>
      </c>
      <c r="F42" s="513">
        <v>3382</v>
      </c>
      <c r="G42" s="514"/>
      <c r="H42" s="514"/>
      <c r="I42" s="515"/>
      <c r="J42" s="516">
        <v>3416</v>
      </c>
      <c r="K42" s="513">
        <v>1852</v>
      </c>
      <c r="L42" s="514">
        <v>1751</v>
      </c>
      <c r="M42" s="514">
        <v>1803</v>
      </c>
      <c r="N42" s="515"/>
      <c r="O42" s="513">
        <v>886</v>
      </c>
      <c r="P42" s="514"/>
      <c r="Q42" s="514"/>
      <c r="R42" s="515"/>
      <c r="S42" s="13"/>
      <c r="T42" s="83">
        <v>4268</v>
      </c>
      <c r="U42" s="87">
        <f t="shared" si="40"/>
        <v>69.915254237288138</v>
      </c>
      <c r="V42" s="88">
        <v>427</v>
      </c>
      <c r="W42" s="91" t="s">
        <v>60</v>
      </c>
      <c r="X42" s="97">
        <v>1.5193731819461385</v>
      </c>
      <c r="Y42" s="18"/>
      <c r="Z42" s="18"/>
      <c r="AA42" s="37"/>
      <c r="AB42" s="38"/>
      <c r="AC42" s="38"/>
      <c r="AD42" s="38">
        <v>6981.6847405461185</v>
      </c>
      <c r="AE42" s="549"/>
      <c r="AF42" s="543"/>
      <c r="AG42" s="543"/>
      <c r="AH42" s="550"/>
      <c r="AI42" s="146">
        <v>2.1972136343446916E-2</v>
      </c>
      <c r="AJ42" s="39">
        <v>2.1428010846590326E-2</v>
      </c>
      <c r="AK42" s="40">
        <v>2.0906367971585696E-2</v>
      </c>
    </row>
    <row r="43" spans="1:37">
      <c r="A43" s="486" t="s">
        <v>1</v>
      </c>
      <c r="B43" s="513">
        <v>892</v>
      </c>
      <c r="C43" s="514">
        <v>32</v>
      </c>
      <c r="D43" s="514">
        <v>822</v>
      </c>
      <c r="E43" s="515">
        <v>877</v>
      </c>
      <c r="F43" s="513">
        <v>1369</v>
      </c>
      <c r="G43" s="514"/>
      <c r="H43" s="514"/>
      <c r="I43" s="515"/>
      <c r="J43" s="516">
        <v>1378</v>
      </c>
      <c r="K43" s="513">
        <v>822</v>
      </c>
      <c r="L43" s="514">
        <v>728</v>
      </c>
      <c r="M43" s="514">
        <v>728</v>
      </c>
      <c r="N43" s="515"/>
      <c r="O43" s="513">
        <v>340</v>
      </c>
      <c r="P43" s="514"/>
      <c r="Q43" s="514"/>
      <c r="R43" s="515"/>
      <c r="S43" s="13"/>
      <c r="T43" s="83">
        <v>1709</v>
      </c>
      <c r="U43" s="87">
        <f t="shared" si="40"/>
        <v>69.915254237288138</v>
      </c>
      <c r="V43" s="88">
        <v>171</v>
      </c>
      <c r="W43" s="91" t="s">
        <v>61</v>
      </c>
      <c r="X43" s="97">
        <v>1.5209003051881993</v>
      </c>
      <c r="Y43" s="18"/>
      <c r="Z43" s="18"/>
      <c r="AA43" s="37"/>
      <c r="AB43" s="38"/>
      <c r="AC43" s="38"/>
      <c r="AD43" s="38">
        <v>2840.2186215666325</v>
      </c>
      <c r="AE43" s="549"/>
      <c r="AF43" s="543"/>
      <c r="AG43" s="543"/>
      <c r="AH43" s="550"/>
      <c r="AI43" s="146">
        <v>8.9384830620950449E-3</v>
      </c>
      <c r="AJ43" s="39">
        <v>8.643969246663193E-3</v>
      </c>
      <c r="AK43" s="40">
        <v>8.4805202178911444E-3</v>
      </c>
    </row>
    <row r="44" spans="1:37">
      <c r="A44" s="486" t="s">
        <v>4</v>
      </c>
      <c r="B44" s="513">
        <v>1930</v>
      </c>
      <c r="C44" s="514">
        <v>49</v>
      </c>
      <c r="D44" s="514">
        <v>1846</v>
      </c>
      <c r="E44" s="515">
        <v>1799</v>
      </c>
      <c r="F44" s="513">
        <v>2742</v>
      </c>
      <c r="G44" s="514"/>
      <c r="H44" s="514"/>
      <c r="I44" s="515"/>
      <c r="J44" s="516">
        <v>2759</v>
      </c>
      <c r="K44" s="513">
        <v>1699</v>
      </c>
      <c r="L44" s="514">
        <v>1411</v>
      </c>
      <c r="M44" s="514">
        <v>1532</v>
      </c>
      <c r="N44" s="515"/>
      <c r="O44" s="513">
        <v>857</v>
      </c>
      <c r="P44" s="514"/>
      <c r="Q44" s="514"/>
      <c r="R44" s="515"/>
      <c r="S44" s="13"/>
      <c r="T44" s="83">
        <v>3599</v>
      </c>
      <c r="U44" s="87">
        <f t="shared" si="40"/>
        <v>69.915254237288138</v>
      </c>
      <c r="V44" s="88">
        <v>360</v>
      </c>
      <c r="W44" s="91" t="s">
        <v>62</v>
      </c>
      <c r="X44" s="97">
        <v>1.507873461099124</v>
      </c>
      <c r="Y44" s="18"/>
      <c r="Z44" s="18"/>
      <c r="AA44" s="37"/>
      <c r="AB44" s="38"/>
      <c r="AC44" s="38"/>
      <c r="AD44" s="38">
        <v>5856.8365864957477</v>
      </c>
      <c r="AE44" s="549"/>
      <c r="AF44" s="543"/>
      <c r="AG44" s="543"/>
      <c r="AH44" s="550"/>
      <c r="AI44" s="146">
        <v>1.8432114425393935E-2</v>
      </c>
      <c r="AJ44" s="39">
        <v>1.7306757004023041E-2</v>
      </c>
      <c r="AK44" s="40">
        <v>1.7396186855172371E-2</v>
      </c>
    </row>
    <row r="45" spans="1:37">
      <c r="A45" s="486" t="s">
        <v>17</v>
      </c>
      <c r="B45" s="513">
        <v>160</v>
      </c>
      <c r="C45" s="514">
        <v>11</v>
      </c>
      <c r="D45" s="514">
        <v>129</v>
      </c>
      <c r="E45" s="515">
        <v>160</v>
      </c>
      <c r="F45" s="513">
        <v>257</v>
      </c>
      <c r="G45" s="514"/>
      <c r="H45" s="514"/>
      <c r="I45" s="515"/>
      <c r="J45" s="516">
        <v>256</v>
      </c>
      <c r="K45" s="513">
        <v>0</v>
      </c>
      <c r="L45" s="514">
        <v>88</v>
      </c>
      <c r="M45" s="514">
        <v>116</v>
      </c>
      <c r="N45" s="515"/>
      <c r="O45" s="513">
        <v>62</v>
      </c>
      <c r="P45" s="514"/>
      <c r="Q45" s="514"/>
      <c r="R45" s="515"/>
      <c r="S45" s="13"/>
      <c r="T45" s="83">
        <v>319</v>
      </c>
      <c r="U45" s="87">
        <f t="shared" si="40"/>
        <v>69.915254237288138</v>
      </c>
      <c r="V45" s="88">
        <v>32</v>
      </c>
      <c r="W45" s="91" t="s">
        <v>66</v>
      </c>
      <c r="X45" s="97">
        <v>1.5135127478753538</v>
      </c>
      <c r="Y45" s="18"/>
      <c r="Z45" s="18"/>
      <c r="AA45" s="37"/>
      <c r="AB45" s="38"/>
      <c r="AC45" s="38"/>
      <c r="AD45" s="38">
        <v>584.8105665722378</v>
      </c>
      <c r="AE45" s="549"/>
      <c r="AF45" s="543"/>
      <c r="AG45" s="543"/>
      <c r="AH45" s="550"/>
      <c r="AI45" s="146">
        <v>1.8404637249215779E-3</v>
      </c>
      <c r="AJ45" s="39">
        <v>1.6058462461144975E-3</v>
      </c>
      <c r="AK45" s="40">
        <v>1.5471872689425124E-3</v>
      </c>
    </row>
    <row r="46" spans="1:37">
      <c r="A46" s="500" t="s">
        <v>205</v>
      </c>
      <c r="B46" s="513">
        <v>0</v>
      </c>
      <c r="C46" s="514">
        <v>0</v>
      </c>
      <c r="D46" s="514">
        <v>0</v>
      </c>
      <c r="E46" s="515">
        <v>0</v>
      </c>
      <c r="F46" s="513">
        <v>0</v>
      </c>
      <c r="G46" s="514"/>
      <c r="H46" s="514"/>
      <c r="I46" s="515"/>
      <c r="J46" s="516">
        <v>0</v>
      </c>
      <c r="K46" s="513">
        <v>0</v>
      </c>
      <c r="L46" s="514">
        <v>0</v>
      </c>
      <c r="M46" s="514">
        <v>0</v>
      </c>
      <c r="N46" s="515"/>
      <c r="O46" s="513">
        <f t="shared" ref="O46:O47" si="41">P46+Q46+R46</f>
        <v>0</v>
      </c>
      <c r="P46" s="514"/>
      <c r="Q46" s="514"/>
      <c r="R46" s="515"/>
      <c r="S46" s="13"/>
      <c r="T46" s="83">
        <f t="shared" ref="T46:T47" si="42">F46+O46</f>
        <v>0</v>
      </c>
      <c r="U46" s="87">
        <v>0</v>
      </c>
      <c r="V46" s="88">
        <v>0</v>
      </c>
      <c r="W46" s="91" t="s">
        <v>67</v>
      </c>
      <c r="X46" s="97">
        <v>0</v>
      </c>
      <c r="Y46" s="18"/>
      <c r="Z46" s="18"/>
      <c r="AA46" s="37"/>
      <c r="AB46" s="38"/>
      <c r="AC46" s="38"/>
      <c r="AD46" s="38">
        <v>0</v>
      </c>
      <c r="AE46" s="549"/>
      <c r="AF46" s="543"/>
      <c r="AG46" s="543"/>
      <c r="AH46" s="550"/>
      <c r="AI46" s="146">
        <v>0</v>
      </c>
      <c r="AJ46" s="39">
        <v>0</v>
      </c>
      <c r="AK46" s="40">
        <v>0</v>
      </c>
    </row>
    <row r="47" spans="1:37">
      <c r="A47" s="517" t="s">
        <v>64</v>
      </c>
      <c r="B47" s="513">
        <v>0</v>
      </c>
      <c r="C47" s="514">
        <v>0</v>
      </c>
      <c r="D47" s="514">
        <v>0</v>
      </c>
      <c r="E47" s="515">
        <v>0</v>
      </c>
      <c r="F47" s="513">
        <v>0</v>
      </c>
      <c r="G47" s="514"/>
      <c r="H47" s="514"/>
      <c r="I47" s="515"/>
      <c r="J47" s="516">
        <f>'T5b-studenti'!H46</f>
        <v>0</v>
      </c>
      <c r="K47" s="513">
        <f>'T5b-studenti'!E46</f>
        <v>0</v>
      </c>
      <c r="L47" s="514">
        <f>'T5b-studenti'!I46</f>
        <v>0</v>
      </c>
      <c r="M47" s="514">
        <f>'T5b-studenti'!J46</f>
        <v>0</v>
      </c>
      <c r="N47" s="515"/>
      <c r="O47" s="513">
        <f t="shared" si="41"/>
        <v>0</v>
      </c>
      <c r="P47" s="514"/>
      <c r="Q47" s="514"/>
      <c r="R47" s="515"/>
      <c r="S47" s="13"/>
      <c r="T47" s="83">
        <f t="shared" si="42"/>
        <v>0</v>
      </c>
      <c r="U47" s="87">
        <v>0</v>
      </c>
      <c r="V47" s="88">
        <v>0</v>
      </c>
      <c r="W47" s="91" t="s">
        <v>68</v>
      </c>
      <c r="X47" s="97">
        <v>0</v>
      </c>
      <c r="Y47" s="18"/>
      <c r="Z47" s="18"/>
      <c r="AA47" s="37"/>
      <c r="AB47" s="38"/>
      <c r="AC47" s="38"/>
      <c r="AD47" s="38">
        <v>0</v>
      </c>
      <c r="AE47" s="549"/>
      <c r="AF47" s="543"/>
      <c r="AG47" s="543"/>
      <c r="AH47" s="550"/>
      <c r="AI47" s="146">
        <v>0</v>
      </c>
      <c r="AJ47" s="39">
        <v>0</v>
      </c>
      <c r="AK47" s="40">
        <v>0</v>
      </c>
    </row>
    <row r="48" spans="1:37" s="17" customFormat="1" thickBot="1">
      <c r="A48" s="258" t="s">
        <v>2</v>
      </c>
      <c r="B48" s="98">
        <f>SUM(B38:B47)</f>
        <v>11135</v>
      </c>
      <c r="C48" s="100">
        <f t="shared" ref="C48:E48" si="43">SUM(C38:C47)</f>
        <v>473</v>
      </c>
      <c r="D48" s="100">
        <f t="shared" si="43"/>
        <v>10348</v>
      </c>
      <c r="E48" s="90">
        <f t="shared" si="43"/>
        <v>10952</v>
      </c>
      <c r="F48" s="98">
        <f>SUM(F38:F47)</f>
        <v>17810</v>
      </c>
      <c r="G48" s="100"/>
      <c r="H48" s="100"/>
      <c r="I48" s="90"/>
      <c r="J48" s="92">
        <f t="shared" ref="J48:O48" si="44">SUM(J38:J47)</f>
        <v>17958</v>
      </c>
      <c r="K48" s="98">
        <f t="shared" si="44"/>
        <v>9011</v>
      </c>
      <c r="L48" s="100">
        <f t="shared" si="44"/>
        <v>8811</v>
      </c>
      <c r="M48" s="100">
        <f t="shared" si="44"/>
        <v>9164</v>
      </c>
      <c r="N48" s="90">
        <f t="shared" si="44"/>
        <v>0</v>
      </c>
      <c r="O48" s="98">
        <f t="shared" si="44"/>
        <v>4143</v>
      </c>
      <c r="P48" s="100"/>
      <c r="Q48" s="100"/>
      <c r="R48" s="90"/>
      <c r="S48" s="13"/>
      <c r="T48" s="84">
        <f t="shared" ref="T48:W48" si="45">SUM(T38:T47)</f>
        <v>21953</v>
      </c>
      <c r="U48" s="89">
        <f t="shared" si="45"/>
        <v>559.32203389830511</v>
      </c>
      <c r="V48" s="90">
        <f t="shared" si="45"/>
        <v>2196</v>
      </c>
      <c r="W48" s="92">
        <f t="shared" si="45"/>
        <v>0</v>
      </c>
      <c r="X48" s="98"/>
      <c r="Y48" s="99"/>
      <c r="Z48" s="99"/>
      <c r="AA48" s="100"/>
      <c r="AB48" s="100"/>
      <c r="AC48" s="100"/>
      <c r="AD48" s="542">
        <f t="shared" ref="AD48:AI48" si="46">SUM(AD38:AD47)</f>
        <v>36098.574818491652</v>
      </c>
      <c r="AE48" s="148"/>
      <c r="AF48" s="149"/>
      <c r="AG48" s="149"/>
      <c r="AH48" s="150"/>
      <c r="AI48" s="545">
        <f t="shared" si="46"/>
        <v>0.11360621929972389</v>
      </c>
      <c r="AJ48" s="525">
        <f>SUM(AJ38:AJ47)</f>
        <v>0.11264760503017243</v>
      </c>
      <c r="AK48" s="526">
        <f t="shared" ref="AK48" si="47">SUM(AK38:AK47)</f>
        <v>0.10590496855911495</v>
      </c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</sheetData>
  <sheetProtection algorithmName="SHA-512" hashValue="Ru6ZDhYkDCU/jFHJsjse5jjcB5V+g1ETgcVh2JTQCBtA+6/bLH4Y3HqH3QkzyMB1I7Yy6/RT9KHcycIHP6ovTw==" saltValue="l5VIkzpPmPjnKZuPe5/S0g==" spinCount="100000" sheet="1" objects="1" scenarios="1"/>
  <mergeCells count="1">
    <mergeCell ref="E1:J1"/>
  </mergeCells>
  <conditionalFormatting sqref="A21:XFD32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G14:I14 N14 B48 AD21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O53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9.42578125" defaultRowHeight="15" outlineLevelCol="1"/>
  <cols>
    <col min="1" max="1" width="46.7109375" style="109" customWidth="1"/>
    <col min="2" max="2" width="14.28515625" style="109" customWidth="1"/>
    <col min="3" max="3" width="13.28515625" style="109" customWidth="1" outlineLevel="1"/>
    <col min="4" max="4" width="13.5703125" style="109" customWidth="1" outlineLevel="1"/>
    <col min="5" max="5" width="11.7109375" style="109" customWidth="1" outlineLevel="1"/>
    <col min="6" max="6" width="9" style="109" customWidth="1" outlineLevel="1"/>
    <col min="7" max="7" width="10.5703125" style="109" customWidth="1" outlineLevel="1"/>
    <col min="8" max="8" width="9.5703125" style="109" customWidth="1" outlineLevel="1"/>
    <col min="9" max="9" width="13.5703125" style="109" customWidth="1" outlineLevel="1"/>
    <col min="10" max="10" width="12.5703125" style="109" customWidth="1" outlineLevel="1"/>
    <col min="11" max="11" width="17.28515625" style="109" bestFit="1" customWidth="1" outlineLevel="1"/>
    <col min="12" max="12" width="10.42578125" style="109" customWidth="1" outlineLevel="1"/>
    <col min="13" max="13" width="14.28515625" style="109" customWidth="1"/>
    <col min="14" max="14" width="16.28515625" style="109" customWidth="1"/>
    <col min="15" max="15" width="13.5703125" style="109" customWidth="1"/>
    <col min="16" max="16384" width="9.42578125" style="109"/>
  </cols>
  <sheetData>
    <row r="1" spans="1:15" s="138" customFormat="1" ht="53.85" customHeight="1">
      <c r="A1" s="1422"/>
      <c r="B1" s="1422" t="s">
        <v>84</v>
      </c>
      <c r="C1" s="1424" t="s">
        <v>101</v>
      </c>
      <c r="D1" s="1416" t="s">
        <v>102</v>
      </c>
      <c r="E1" s="939"/>
      <c r="F1" s="939"/>
      <c r="G1" s="939"/>
      <c r="H1" s="939"/>
      <c r="I1" s="1414" t="s">
        <v>103</v>
      </c>
      <c r="J1" s="1416" t="s">
        <v>104</v>
      </c>
      <c r="K1" s="1414" t="s">
        <v>85</v>
      </c>
      <c r="L1" s="1418" t="s">
        <v>105</v>
      </c>
      <c r="M1" s="1420" t="s">
        <v>319</v>
      </c>
      <c r="N1" s="1412" t="s">
        <v>320</v>
      </c>
      <c r="O1" s="1412" t="s">
        <v>106</v>
      </c>
    </row>
    <row r="2" spans="1:15" s="110" customFormat="1" ht="105" customHeight="1" thickBot="1">
      <c r="A2" s="1423"/>
      <c r="B2" s="1423"/>
      <c r="C2" s="1425"/>
      <c r="D2" s="1417"/>
      <c r="E2" s="922" t="s">
        <v>86</v>
      </c>
      <c r="F2" s="922" t="s">
        <v>87</v>
      </c>
      <c r="G2" s="54" t="s">
        <v>88</v>
      </c>
      <c r="H2" s="54" t="s">
        <v>89</v>
      </c>
      <c r="I2" s="1415"/>
      <c r="J2" s="1417"/>
      <c r="K2" s="1415"/>
      <c r="L2" s="1419"/>
      <c r="M2" s="1421"/>
      <c r="N2" s="1413"/>
      <c r="O2" s="1413"/>
    </row>
    <row r="3" spans="1:15" s="112" customFormat="1">
      <c r="A3" s="529" t="s">
        <v>2</v>
      </c>
      <c r="B3" s="165">
        <v>0</v>
      </c>
      <c r="C3" s="168">
        <v>12.024391</v>
      </c>
      <c r="D3" s="169">
        <v>20385275</v>
      </c>
      <c r="E3" s="169">
        <v>17066118.066318404</v>
      </c>
      <c r="F3" s="169">
        <v>0</v>
      </c>
      <c r="G3" s="169">
        <v>1422921.5929795504</v>
      </c>
      <c r="H3" s="169">
        <v>-136020</v>
      </c>
      <c r="I3" s="169">
        <v>20249255</v>
      </c>
      <c r="J3" s="170">
        <v>10.631441371121312</v>
      </c>
      <c r="K3" s="169">
        <v>2987776.1016517775</v>
      </c>
      <c r="L3" s="787">
        <v>192904.61346232274</v>
      </c>
      <c r="M3" s="997">
        <v>23429936</v>
      </c>
      <c r="N3" s="996">
        <v>23429936</v>
      </c>
      <c r="O3" s="1004">
        <v>1</v>
      </c>
    </row>
    <row r="4" spans="1:15">
      <c r="A4" s="1072" t="s">
        <v>6</v>
      </c>
      <c r="B4" s="153"/>
      <c r="C4" s="154">
        <f>'T6b-vykon'!AI4*100</f>
        <v>0.95787402246863773</v>
      </c>
      <c r="D4" s="155">
        <f>C4/C$14*D$3</f>
        <v>1623917.5910326913</v>
      </c>
      <c r="E4" s="155">
        <f>$E$18*0.9*'T6b-vykon'!AZ4-0.2</f>
        <v>1571535.2571115135</v>
      </c>
      <c r="F4" s="155">
        <f>IF(D4&lt;E4,D4-E4,0)</f>
        <v>0</v>
      </c>
      <c r="G4" s="1302">
        <f>$C4/$C$14*G$3</f>
        <v>113351.78973547088</v>
      </c>
      <c r="H4" s="155">
        <f>$C4/$C$14*H$3</f>
        <v>-10835.530584319646</v>
      </c>
      <c r="I4" s="155">
        <f t="shared" ref="I4:I10" si="0">+IF(F4&lt;0,E4,D4+H4)</f>
        <v>1613082.0604483716</v>
      </c>
      <c r="J4" s="164">
        <f>'T14-VVZ'!AR5</f>
        <v>0.84305667816452723</v>
      </c>
      <c r="K4" s="155">
        <f>'T14-VVZ'!AP5*'T7-mzdy'!K$18/100</f>
        <v>103461.08260407223</v>
      </c>
      <c r="L4" s="788">
        <f>'T14-VVZ'!AQ5*'T7-mzdy'!K$18/100</f>
        <v>148761.92501838767</v>
      </c>
      <c r="M4" s="999">
        <f>I4+K4+L4</f>
        <v>1865305.0680708315</v>
      </c>
      <c r="N4" s="1011">
        <f>M4+B4</f>
        <v>1865305.0680708315</v>
      </c>
      <c r="O4" s="1002">
        <f>N4/N$3</f>
        <v>7.9612042818675705E-2</v>
      </c>
    </row>
    <row r="5" spans="1:15">
      <c r="A5" s="1072" t="s">
        <v>3</v>
      </c>
      <c r="B5" s="153"/>
      <c r="C5" s="154">
        <f>'T6b-vykon'!AI5*100</f>
        <v>2.549689083649529</v>
      </c>
      <c r="D5" s="155">
        <f t="shared" ref="D5:D13" si="1">C5/C$14*D$3</f>
        <v>4322577.7685583485</v>
      </c>
      <c r="E5" s="155">
        <f>$E$18*0.9*'T6b-vykon'!AZ5-0.2</f>
        <v>3087998.3835916859</v>
      </c>
      <c r="F5" s="155">
        <f t="shared" ref="F5:F11" si="2">IF(D5&lt;E5,D5-E5,0)</f>
        <v>0</v>
      </c>
      <c r="G5" s="1302">
        <f t="shared" ref="G5:H11" si="3">$C5/$C$14*G$3</f>
        <v>301722.16191417753</v>
      </c>
      <c r="H5" s="155">
        <f t="shared" si="3"/>
        <v>-28842.241670976062</v>
      </c>
      <c r="I5" s="155">
        <f t="shared" si="0"/>
        <v>4293735.5268873721</v>
      </c>
      <c r="J5" s="164">
        <f>'T14-VVZ'!AR6</f>
        <v>1.7163973108650648</v>
      </c>
      <c r="K5" s="155">
        <f>'T14-VVZ'!AP6*'T7-mzdy'!K$18/100</f>
        <v>513506.27215718845</v>
      </c>
      <c r="L5" s="788">
        <f>'T14-VVZ'!AQ6*'T7-mzdy'!K$18/100</f>
        <v>0</v>
      </c>
      <c r="M5" s="999">
        <f t="shared" ref="M5:M13" si="4">I5+K5+L5</f>
        <v>4807241.7990445606</v>
      </c>
      <c r="N5" s="1011">
        <f t="shared" ref="N5:N13" si="5">M5+B5</f>
        <v>4807241.7990445606</v>
      </c>
      <c r="O5" s="1002">
        <f t="shared" ref="O5:O13" si="6">N5/N$3</f>
        <v>0.20517519975490162</v>
      </c>
    </row>
    <row r="6" spans="1:15">
      <c r="A6" s="1072" t="s">
        <v>5</v>
      </c>
      <c r="B6" s="153"/>
      <c r="C6" s="154">
        <f>'T6b-vykon'!AI6*100</f>
        <v>2.1223732783277804</v>
      </c>
      <c r="D6" s="155">
        <f t="shared" si="1"/>
        <v>3598134.2228404055</v>
      </c>
      <c r="E6" s="155">
        <f>$E$18*0.9*'T6b-vykon'!AZ6-0.2</f>
        <v>3173565.9561572913</v>
      </c>
      <c r="F6" s="155">
        <f t="shared" si="2"/>
        <v>0</v>
      </c>
      <c r="G6" s="1302">
        <f t="shared" si="3"/>
        <v>251154.95768971997</v>
      </c>
      <c r="H6" s="155">
        <f t="shared" si="3"/>
        <v>-24008.418674300541</v>
      </c>
      <c r="I6" s="155">
        <f t="shared" si="0"/>
        <v>3574125.8041661051</v>
      </c>
      <c r="J6" s="164">
        <f>'T14-VVZ'!AR7</f>
        <v>3.3039270772703508</v>
      </c>
      <c r="K6" s="155">
        <f>'T14-VVZ'!AP7*'T7-mzdy'!K$18/100</f>
        <v>988458.363450367</v>
      </c>
      <c r="L6" s="788">
        <f>'T14-VVZ'!AQ7*'T7-mzdy'!K$18/100</f>
        <v>0</v>
      </c>
      <c r="M6" s="999">
        <f t="shared" si="4"/>
        <v>4562584.1676164716</v>
      </c>
      <c r="N6" s="1011">
        <f t="shared" si="5"/>
        <v>4562584.1676164716</v>
      </c>
      <c r="O6" s="1002">
        <f t="shared" si="6"/>
        <v>0.19473310416283132</v>
      </c>
    </row>
    <row r="7" spans="1:15">
      <c r="A7" s="1072" t="s">
        <v>7</v>
      </c>
      <c r="B7" s="153"/>
      <c r="C7" s="154">
        <f>'T6b-vykon'!AI7*100</f>
        <v>1.3174382202820678</v>
      </c>
      <c r="D7" s="155">
        <f t="shared" si="1"/>
        <v>2233499.4486030121</v>
      </c>
      <c r="E7" s="155">
        <f>$E$18*0.9*'T6b-vykon'!AZ7-0.2</f>
        <v>1823491.6357995551</v>
      </c>
      <c r="F7" s="155">
        <f t="shared" si="2"/>
        <v>0</v>
      </c>
      <c r="G7" s="1302">
        <f t="shared" si="3"/>
        <v>155901.48248307398</v>
      </c>
      <c r="H7" s="155">
        <f t="shared" si="3"/>
        <v>-14902.943178298146</v>
      </c>
      <c r="I7" s="155">
        <f t="shared" si="0"/>
        <v>2218596.5054247142</v>
      </c>
      <c r="J7" s="164">
        <f>'T14-VVZ'!AR8</f>
        <v>0.25280852937266884</v>
      </c>
      <c r="K7" s="155">
        <f>'T14-VVZ'!AP8*'T7-mzdy'!K$18/100</f>
        <v>75634.449358506376</v>
      </c>
      <c r="L7" s="788">
        <f>'T14-VVZ'!AQ8*'T7-mzdy'!K$18/100</f>
        <v>0</v>
      </c>
      <c r="M7" s="999">
        <f t="shared" si="4"/>
        <v>2294230.9547832208</v>
      </c>
      <c r="N7" s="1011">
        <f t="shared" si="5"/>
        <v>2294230.9547832208</v>
      </c>
      <c r="O7" s="1002">
        <f t="shared" si="6"/>
        <v>9.7918788800072723E-2</v>
      </c>
    </row>
    <row r="8" spans="1:15">
      <c r="A8" s="1072" t="s">
        <v>0</v>
      </c>
      <c r="B8" s="153"/>
      <c r="C8" s="154">
        <f>'T6b-vykon'!AI8*100</f>
        <v>2.3712872983963083</v>
      </c>
      <c r="D8" s="155">
        <f t="shared" si="1"/>
        <v>4020126.9341597916</v>
      </c>
      <c r="E8" s="155">
        <f>$E$18*0.9*'T6b-vykon'!AZ8-0.2</f>
        <v>3261178.8351122653</v>
      </c>
      <c r="F8" s="155">
        <f t="shared" si="2"/>
        <v>0</v>
      </c>
      <c r="G8" s="1302">
        <f t="shared" si="3"/>
        <v>280610.65750325401</v>
      </c>
      <c r="H8" s="155">
        <f t="shared" si="3"/>
        <v>-26824.149567980559</v>
      </c>
      <c r="I8" s="155">
        <f t="shared" si="0"/>
        <v>3993302.7845918108</v>
      </c>
      <c r="J8" s="164">
        <f>'T14-VVZ'!AR9</f>
        <v>2.1418038116096159</v>
      </c>
      <c r="K8" s="155">
        <f>'T14-VVZ'!AP9*'T7-mzdy'!K$18/100</f>
        <v>596635.34355927084</v>
      </c>
      <c r="L8" s="788">
        <f>'T14-VVZ'!AQ9*'T7-mzdy'!K$18/100</f>
        <v>44142.688443934981</v>
      </c>
      <c r="M8" s="999">
        <f t="shared" si="4"/>
        <v>4634080.816595016</v>
      </c>
      <c r="N8" s="1011">
        <f t="shared" si="5"/>
        <v>4634080.816595016</v>
      </c>
      <c r="O8" s="1002">
        <f t="shared" si="6"/>
        <v>0.19778461266795674</v>
      </c>
    </row>
    <row r="9" spans="1:15">
      <c r="A9" s="1072" t="s">
        <v>1</v>
      </c>
      <c r="B9" s="153"/>
      <c r="C9" s="154">
        <f>'T6b-vykon'!AI9*100</f>
        <v>0.89163980913507457</v>
      </c>
      <c r="D9" s="155">
        <f t="shared" si="1"/>
        <v>1511628.3947108369</v>
      </c>
      <c r="E9" s="155">
        <f>$E$18*0.9*'T6b-vykon'!AZ9-0.2</f>
        <v>1265138.2973874584</v>
      </c>
      <c r="F9" s="155">
        <f t="shared" si="2"/>
        <v>0</v>
      </c>
      <c r="G9" s="1302">
        <f t="shared" si="3"/>
        <v>105513.84189789269</v>
      </c>
      <c r="H9" s="155">
        <f t="shared" si="3"/>
        <v>-10086.285039008208</v>
      </c>
      <c r="I9" s="155">
        <f t="shared" si="0"/>
        <v>1501542.1096718288</v>
      </c>
      <c r="J9" s="164">
        <f>'T14-VVZ'!AR10</f>
        <v>0.54069953646963553</v>
      </c>
      <c r="K9" s="155">
        <f>'T14-VVZ'!AP10*'T7-mzdy'!K$18/100</f>
        <v>161764.76248946422</v>
      </c>
      <c r="L9" s="788">
        <f>'T14-VVZ'!AQ10*'T7-mzdy'!K$18/100</f>
        <v>0</v>
      </c>
      <c r="M9" s="999">
        <f t="shared" si="4"/>
        <v>1663306.8721612929</v>
      </c>
      <c r="N9" s="1011">
        <f t="shared" si="5"/>
        <v>1663306.8721612929</v>
      </c>
      <c r="O9" s="1002">
        <f t="shared" si="6"/>
        <v>7.0990670745378598E-2</v>
      </c>
    </row>
    <row r="10" spans="1:15">
      <c r="A10" s="1072" t="s">
        <v>4</v>
      </c>
      <c r="B10" s="153"/>
      <c r="C10" s="154">
        <f>'T6b-vykon'!AI10*100</f>
        <v>1.6649276959742589</v>
      </c>
      <c r="D10" s="155">
        <f t="shared" si="1"/>
        <v>2822610.6041816697</v>
      </c>
      <c r="E10" s="155">
        <f>$E$18*0.9*'T6b-vykon'!AZ10-0.2</f>
        <v>2609792.7825112497</v>
      </c>
      <c r="F10" s="155">
        <f t="shared" si="2"/>
        <v>0</v>
      </c>
      <c r="G10" s="1302">
        <f t="shared" si="3"/>
        <v>197022.29071048356</v>
      </c>
      <c r="H10" s="155">
        <f t="shared" si="3"/>
        <v>-18833.765763806998</v>
      </c>
      <c r="I10" s="155">
        <f t="shared" si="0"/>
        <v>2803776.8384178625</v>
      </c>
      <c r="J10" s="164">
        <f>'T14-VVZ'!AR11</f>
        <v>1.5078461700138936</v>
      </c>
      <c r="K10" s="155">
        <f>'T14-VVZ'!AP11*'T7-mzdy'!K$18/100</f>
        <v>451112.60711547435</v>
      </c>
      <c r="L10" s="788">
        <f>'T14-VVZ'!AQ11*'T7-mzdy'!K$18/100</f>
        <v>0</v>
      </c>
      <c r="M10" s="999">
        <f t="shared" si="4"/>
        <v>3254889.4455333371</v>
      </c>
      <c r="N10" s="1011">
        <f t="shared" si="5"/>
        <v>3254889.4455333371</v>
      </c>
      <c r="O10" s="1002">
        <f t="shared" si="6"/>
        <v>0.13892011679132785</v>
      </c>
    </row>
    <row r="11" spans="1:15">
      <c r="A11" s="1072" t="s">
        <v>17</v>
      </c>
      <c r="B11" s="153"/>
      <c r="C11" s="154">
        <f>'T6b-vykon'!AI11*100</f>
        <v>0.14910327416676922</v>
      </c>
      <c r="D11" s="155">
        <f t="shared" si="1"/>
        <v>252780.03591324511</v>
      </c>
      <c r="E11" s="155">
        <f>$E$18*0.9*'T6b-vykon'!AZ11-0.2</f>
        <v>273416.39599472721</v>
      </c>
      <c r="F11" s="155">
        <f t="shared" si="2"/>
        <v>-20636.360081482097</v>
      </c>
      <c r="G11" s="1302">
        <f t="shared" si="3"/>
        <v>17644.411045477813</v>
      </c>
      <c r="H11" s="155">
        <f t="shared" si="3"/>
        <v>-1686.6655213098475</v>
      </c>
      <c r="I11" s="155">
        <f>D11+H11</f>
        <v>251093.37039193526</v>
      </c>
      <c r="J11" s="164">
        <f>'T14-VVZ'!AR12</f>
        <v>0.12789535517573031</v>
      </c>
      <c r="K11" s="155">
        <f>'T14-VVZ'!AP12*'T7-mzdy'!K$18/100</f>
        <v>38263.324375291981</v>
      </c>
      <c r="L11" s="788">
        <f>'T14-VVZ'!AQ12*'T7-mzdy'!K$18/100</f>
        <v>0</v>
      </c>
      <c r="M11" s="999">
        <f t="shared" si="4"/>
        <v>289356.69476722722</v>
      </c>
      <c r="N11" s="1011">
        <f t="shared" si="5"/>
        <v>289356.69476722722</v>
      </c>
      <c r="O11" s="1002">
        <f t="shared" si="6"/>
        <v>1.2349871325607855E-2</v>
      </c>
    </row>
    <row r="12" spans="1:15">
      <c r="A12" s="1072" t="s">
        <v>205</v>
      </c>
      <c r="B12" s="153"/>
      <c r="C12" s="154">
        <f>'T6b-vykon'!AI12*100</f>
        <v>0</v>
      </c>
      <c r="D12" s="155">
        <f t="shared" si="1"/>
        <v>0</v>
      </c>
      <c r="E12" s="155">
        <f>$E$18*0.9*'T6b-vykon'!AZ12-0.2</f>
        <v>-0.2</v>
      </c>
      <c r="F12" s="155">
        <v>0</v>
      </c>
      <c r="G12" s="1302">
        <f t="shared" ref="G12:G13" si="7">INT(0.6+$C12/$C$14*G$3)</f>
        <v>0</v>
      </c>
      <c r="H12" s="155">
        <f t="shared" ref="H12:H13" si="8">ROUND($C12/$C$14*H$3,0)</f>
        <v>0</v>
      </c>
      <c r="I12" s="155">
        <f t="shared" ref="I12:I13" si="9">+IF(F12&lt;0,E12,D12+H12)</f>
        <v>0</v>
      </c>
      <c r="J12" s="164">
        <f>'T14-VVZ'!AR13</f>
        <v>0.19700690217984279</v>
      </c>
      <c r="K12" s="155">
        <f>'T14-VVZ'!AP13*'T7-mzdy'!K$18/100</f>
        <v>58939.896542147413</v>
      </c>
      <c r="L12" s="788">
        <f>'T14-VVZ'!AQ13*'T7-mzdy'!K$18/100</f>
        <v>0</v>
      </c>
      <c r="M12" s="999">
        <f t="shared" si="4"/>
        <v>58939.896542147413</v>
      </c>
      <c r="N12" s="1011">
        <f t="shared" si="5"/>
        <v>58939.896542147413</v>
      </c>
      <c r="O12" s="1002">
        <f t="shared" si="6"/>
        <v>2.5155807741919318E-3</v>
      </c>
    </row>
    <row r="13" spans="1:15">
      <c r="A13" s="1073" t="s">
        <v>64</v>
      </c>
      <c r="B13" s="153"/>
      <c r="C13" s="154">
        <f>'T6b-vykon'!AI13*100</f>
        <v>0</v>
      </c>
      <c r="D13" s="155">
        <f t="shared" si="1"/>
        <v>0</v>
      </c>
      <c r="E13" s="155">
        <f>$E$18*0.9*'T6b-vykon'!AZ13-0.2</f>
        <v>-0.2</v>
      </c>
      <c r="F13" s="155">
        <v>0</v>
      </c>
      <c r="G13" s="1302">
        <f t="shared" si="7"/>
        <v>0</v>
      </c>
      <c r="H13" s="155">
        <f t="shared" si="8"/>
        <v>0</v>
      </c>
      <c r="I13" s="155">
        <f t="shared" si="9"/>
        <v>0</v>
      </c>
      <c r="J13" s="164">
        <f>'T14-VVZ'!AR14</f>
        <v>0</v>
      </c>
      <c r="K13" s="155">
        <f>'T14-VVZ'!AP14*'T7-mzdy'!K$18/100</f>
        <v>0</v>
      </c>
      <c r="L13" s="788">
        <f>'T14-VVZ'!AQ14*'T7-mzdy'!K$18/100</f>
        <v>0</v>
      </c>
      <c r="M13" s="999">
        <f t="shared" si="4"/>
        <v>0</v>
      </c>
      <c r="N13" s="1011">
        <f t="shared" si="5"/>
        <v>0</v>
      </c>
      <c r="O13" s="1002">
        <f t="shared" si="6"/>
        <v>0</v>
      </c>
    </row>
    <row r="14" spans="1:15" s="130" customFormat="1" ht="15.75" thickBot="1">
      <c r="A14" s="539" t="s">
        <v>2</v>
      </c>
      <c r="B14" s="166"/>
      <c r="C14" s="171">
        <f>SUM(C4:C13)</f>
        <v>12.024332682400425</v>
      </c>
      <c r="D14" s="172">
        <f>SUM(D4:D13)</f>
        <v>20385275</v>
      </c>
      <c r="E14" s="172">
        <f t="shared" ref="E14:N14" si="10">SUM(E4:E13)</f>
        <v>17066117.143665746</v>
      </c>
      <c r="F14" s="172">
        <v>0</v>
      </c>
      <c r="G14" s="172">
        <f t="shared" si="10"/>
        <v>1422921.5929795504</v>
      </c>
      <c r="H14" s="172">
        <f t="shared" si="10"/>
        <v>-136020.00000000003</v>
      </c>
      <c r="I14" s="172">
        <f t="shared" si="10"/>
        <v>20249255</v>
      </c>
      <c r="J14" s="173">
        <f t="shared" si="10"/>
        <v>10.63144137112133</v>
      </c>
      <c r="K14" s="172">
        <f t="shared" si="10"/>
        <v>2987776.1016517826</v>
      </c>
      <c r="L14" s="789">
        <f t="shared" si="10"/>
        <v>192904.61346232265</v>
      </c>
      <c r="M14" s="1005">
        <f t="shared" si="10"/>
        <v>23429935.715114098</v>
      </c>
      <c r="N14" s="1005">
        <f t="shared" si="10"/>
        <v>23429935.715114098</v>
      </c>
      <c r="O14" s="1006">
        <f t="shared" ref="O14" si="11">SUM(O4:O13)</f>
        <v>0.99999998784094435</v>
      </c>
    </row>
    <row r="15" spans="1:15" ht="19.5" hidden="1" customHeight="1" thickBot="1">
      <c r="A15" s="151" t="s">
        <v>90</v>
      </c>
      <c r="B15" s="158">
        <v>2486425</v>
      </c>
      <c r="C15" s="161">
        <v>100</v>
      </c>
      <c r="D15" s="162"/>
      <c r="E15" s="162"/>
      <c r="F15" s="162"/>
      <c r="G15" s="162"/>
      <c r="H15" s="162"/>
      <c r="I15" s="162"/>
      <c r="J15" s="163"/>
      <c r="K15" s="159"/>
      <c r="L15" s="159"/>
      <c r="M15" s="167"/>
      <c r="N15" s="1000"/>
      <c r="O15" s="1000"/>
    </row>
    <row r="16" spans="1:15" ht="28.35" hidden="1" customHeight="1" thickBot="1">
      <c r="A16" s="1410" t="s">
        <v>91</v>
      </c>
      <c r="B16" s="1411"/>
      <c r="C16" s="113"/>
      <c r="D16" s="114" t="s">
        <v>92</v>
      </c>
      <c r="E16" s="115"/>
      <c r="F16" s="115"/>
      <c r="G16" s="115"/>
      <c r="H16" s="115"/>
      <c r="I16" s="115"/>
      <c r="J16" s="116" t="s">
        <v>93</v>
      </c>
      <c r="K16" s="117"/>
      <c r="L16" s="113"/>
      <c r="M16" s="143"/>
      <c r="N16" s="144"/>
      <c r="O16" s="144"/>
    </row>
    <row r="17" spans="1:15" ht="25.5" hidden="1" customHeight="1">
      <c r="A17" s="132" t="s">
        <v>95</v>
      </c>
      <c r="B17" s="139">
        <v>201937635</v>
      </c>
      <c r="C17" s="118">
        <v>212122505</v>
      </c>
      <c r="D17" s="119">
        <v>0.85</v>
      </c>
      <c r="E17" s="940"/>
      <c r="F17" s="940"/>
      <c r="G17" s="940"/>
      <c r="H17" s="940"/>
      <c r="I17" s="940"/>
      <c r="J17" s="120">
        <v>0.15</v>
      </c>
      <c r="K17" s="121"/>
      <c r="L17" s="122"/>
      <c r="M17" s="123"/>
      <c r="N17" s="123"/>
      <c r="O17" s="123"/>
    </row>
    <row r="18" spans="1:15" ht="25.5" hidden="1" customHeight="1" thickBot="1">
      <c r="A18" s="133" t="s">
        <v>96</v>
      </c>
      <c r="B18" s="140">
        <v>199451210</v>
      </c>
      <c r="C18" s="124">
        <v>180744745.00408283</v>
      </c>
      <c r="D18" s="134" t="s">
        <v>97</v>
      </c>
      <c r="E18" s="125">
        <v>169533529</v>
      </c>
      <c r="F18" s="126"/>
      <c r="G18" s="126"/>
      <c r="H18" s="126"/>
      <c r="I18" s="126"/>
      <c r="J18" s="135" t="s">
        <v>98</v>
      </c>
      <c r="K18" s="1408">
        <v>29917681</v>
      </c>
      <c r="L18" s="1409"/>
      <c r="M18" s="145"/>
      <c r="N18" s="145"/>
      <c r="O18" s="145"/>
    </row>
    <row r="19" spans="1:15" ht="24" hidden="1" customHeight="1">
      <c r="A19" s="136" t="s">
        <v>99</v>
      </c>
      <c r="B19" s="141">
        <v>0</v>
      </c>
      <c r="C19" s="487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5" ht="15.75" hidden="1" thickBot="1">
      <c r="A20" s="137" t="s">
        <v>100</v>
      </c>
      <c r="B20" s="142">
        <v>2486425</v>
      </c>
      <c r="C20" s="129">
        <v>2319467</v>
      </c>
      <c r="D20" s="128"/>
      <c r="E20" s="128"/>
      <c r="F20" s="128"/>
      <c r="G20" s="128"/>
      <c r="H20" s="128"/>
      <c r="I20" s="128"/>
      <c r="J20" s="60"/>
      <c r="L20" s="60"/>
      <c r="N20" s="60"/>
    </row>
    <row r="21" spans="1:15" hidden="1">
      <c r="B21" s="488">
        <v>2020</v>
      </c>
      <c r="C21" s="60"/>
      <c r="D21" s="128"/>
      <c r="E21" s="128"/>
      <c r="F21" s="128"/>
      <c r="G21" s="128"/>
      <c r="H21" s="128"/>
      <c r="I21" s="128"/>
      <c r="J21" s="50"/>
      <c r="N21" s="109" t="s">
        <v>8</v>
      </c>
    </row>
    <row r="22" spans="1:15">
      <c r="B22" s="487"/>
      <c r="C22" s="60"/>
      <c r="D22" s="128"/>
      <c r="E22" s="128"/>
      <c r="F22" s="128"/>
      <c r="G22" s="128"/>
      <c r="H22" s="128"/>
      <c r="I22" s="128"/>
      <c r="J22" s="50"/>
      <c r="N22" s="60"/>
    </row>
    <row r="23" spans="1:15">
      <c r="A23" s="130"/>
      <c r="B23" s="489"/>
      <c r="C23" s="60"/>
      <c r="D23" s="128"/>
      <c r="E23" s="128"/>
      <c r="F23" s="128" t="s">
        <v>478</v>
      </c>
      <c r="G23" s="128"/>
      <c r="H23" s="128"/>
      <c r="I23" s="128"/>
      <c r="J23" s="50"/>
    </row>
    <row r="24" spans="1:15" ht="14.45" customHeight="1">
      <c r="J24" s="50"/>
      <c r="N24" s="109" t="s">
        <v>8</v>
      </c>
    </row>
    <row r="25" spans="1:15" ht="15.75" thickBot="1">
      <c r="A25" s="941" t="s">
        <v>270</v>
      </c>
      <c r="B25" s="487"/>
      <c r="C25" s="490"/>
      <c r="D25" s="59"/>
      <c r="E25" s="59"/>
      <c r="F25" s="59"/>
      <c r="G25" s="59"/>
      <c r="H25" s="59"/>
      <c r="I25" s="59"/>
      <c r="J25" s="50"/>
    </row>
    <row r="26" spans="1:15" s="112" customFormat="1">
      <c r="A26" s="529" t="s">
        <v>2</v>
      </c>
      <c r="B26" s="551">
        <f>B3-B42</f>
        <v>0</v>
      </c>
      <c r="C26" s="555">
        <f t="shared" ref="C26:N26" si="12">C3-C42</f>
        <v>0.66376907002761243</v>
      </c>
      <c r="D26" s="556">
        <f t="shared" ref="D26" si="13">D3-D42</f>
        <v>2931607</v>
      </c>
      <c r="E26" s="556"/>
      <c r="F26" s="556"/>
      <c r="G26" s="556"/>
      <c r="H26" s="556"/>
      <c r="I26" s="556"/>
      <c r="J26" s="556">
        <f t="shared" si="12"/>
        <v>-0.40455862887868754</v>
      </c>
      <c r="K26" s="556"/>
      <c r="L26" s="556"/>
      <c r="M26" s="552">
        <f t="shared" si="12"/>
        <v>2964746</v>
      </c>
      <c r="N26" s="165">
        <f t="shared" si="12"/>
        <v>2964746</v>
      </c>
      <c r="O26" s="557">
        <v>1</v>
      </c>
    </row>
    <row r="27" spans="1:15">
      <c r="A27" s="531" t="s">
        <v>6</v>
      </c>
      <c r="B27" s="553"/>
      <c r="C27" s="533">
        <f t="shared" ref="C27:O27" si="14">C4-C43</f>
        <v>-9.7921906905945821E-2</v>
      </c>
      <c r="D27" s="534">
        <f t="shared" ref="D27" si="15">D4-D43</f>
        <v>1866.2860386681277</v>
      </c>
      <c r="E27" s="534"/>
      <c r="F27" s="534"/>
      <c r="G27" s="534"/>
      <c r="H27" s="534"/>
      <c r="I27" s="534"/>
      <c r="J27" s="535">
        <f t="shared" si="14"/>
        <v>-0.22386363604292492</v>
      </c>
      <c r="K27" s="534"/>
      <c r="L27" s="534"/>
      <c r="M27" s="536">
        <f t="shared" si="14"/>
        <v>1865305.0680708315</v>
      </c>
      <c r="N27" s="156">
        <f t="shared" si="14"/>
        <v>1865305.0680708315</v>
      </c>
      <c r="O27" s="157">
        <f t="shared" si="14"/>
        <v>7.9612042818675705E-2</v>
      </c>
    </row>
    <row r="28" spans="1:15">
      <c r="A28" s="531" t="s">
        <v>3</v>
      </c>
      <c r="B28" s="553"/>
      <c r="C28" s="533">
        <f t="shared" ref="C28:O28" si="16">C5-C44</f>
        <v>0.55184429289964609</v>
      </c>
      <c r="D28" s="534">
        <f t="shared" ref="D28" si="17">D5-D44</f>
        <v>1253228.2286988981</v>
      </c>
      <c r="E28" s="534"/>
      <c r="F28" s="534"/>
      <c r="G28" s="534"/>
      <c r="H28" s="534"/>
      <c r="I28" s="534"/>
      <c r="J28" s="535">
        <f t="shared" si="16"/>
        <v>-0.35641246681600047</v>
      </c>
      <c r="K28" s="534"/>
      <c r="L28" s="534"/>
      <c r="M28" s="536">
        <f t="shared" si="16"/>
        <v>4807241.7990445606</v>
      </c>
      <c r="N28" s="156">
        <f t="shared" si="16"/>
        <v>4807241.7990445606</v>
      </c>
      <c r="O28" s="157">
        <f t="shared" si="16"/>
        <v>0.20517519975490162</v>
      </c>
    </row>
    <row r="29" spans="1:15">
      <c r="A29" s="531" t="s">
        <v>5</v>
      </c>
      <c r="B29" s="553"/>
      <c r="C29" s="533">
        <f t="shared" ref="C29:O29" si="18">C6-C45</f>
        <v>4.6874808531160994E-3</v>
      </c>
      <c r="D29" s="534">
        <f t="shared" ref="D29" si="19">D6-D45</f>
        <v>344669.30997996451</v>
      </c>
      <c r="E29" s="534"/>
      <c r="F29" s="534"/>
      <c r="G29" s="534"/>
      <c r="H29" s="534"/>
      <c r="I29" s="534"/>
      <c r="J29" s="535">
        <f t="shared" si="18"/>
        <v>0.36813501436993867</v>
      </c>
      <c r="K29" s="534"/>
      <c r="L29" s="534"/>
      <c r="M29" s="536">
        <f t="shared" si="18"/>
        <v>4562584.1676164716</v>
      </c>
      <c r="N29" s="156">
        <f t="shared" si="18"/>
        <v>4562584.1676164716</v>
      </c>
      <c r="O29" s="157">
        <f t="shared" si="18"/>
        <v>0.19473310416283132</v>
      </c>
    </row>
    <row r="30" spans="1:15">
      <c r="A30" s="531" t="s">
        <v>7</v>
      </c>
      <c r="B30" s="553"/>
      <c r="C30" s="533">
        <f t="shared" ref="C30:O30" si="20">C7-C46</f>
        <v>0.24646256349455853</v>
      </c>
      <c r="D30" s="534">
        <f t="shared" ref="D30" si="21">D7-D46</f>
        <v>588127.06803506147</v>
      </c>
      <c r="E30" s="534"/>
      <c r="F30" s="534"/>
      <c r="G30" s="534"/>
      <c r="H30" s="534"/>
      <c r="I30" s="534"/>
      <c r="J30" s="535">
        <f t="shared" si="20"/>
        <v>0.10124381906723401</v>
      </c>
      <c r="K30" s="534"/>
      <c r="L30" s="534"/>
      <c r="M30" s="536">
        <f t="shared" si="20"/>
        <v>2294230.9547832208</v>
      </c>
      <c r="N30" s="156">
        <f t="shared" si="20"/>
        <v>2294230.9547832208</v>
      </c>
      <c r="O30" s="157">
        <f t="shared" si="20"/>
        <v>9.7918788800072723E-2</v>
      </c>
    </row>
    <row r="31" spans="1:15">
      <c r="A31" s="531" t="s">
        <v>0</v>
      </c>
      <c r="B31" s="553"/>
      <c r="C31" s="533">
        <f t="shared" ref="C31:O31" si="22">C8-C47</f>
        <v>0.17407366405161673</v>
      </c>
      <c r="D31" s="534">
        <f t="shared" ref="D31" si="23">D8-D47</f>
        <v>644480.99370740494</v>
      </c>
      <c r="E31" s="534"/>
      <c r="F31" s="534"/>
      <c r="G31" s="534"/>
      <c r="H31" s="534"/>
      <c r="I31" s="534"/>
      <c r="J31" s="535">
        <f t="shared" si="22"/>
        <v>-0.33445532000551559</v>
      </c>
      <c r="K31" s="534"/>
      <c r="L31" s="534"/>
      <c r="M31" s="536">
        <f t="shared" si="22"/>
        <v>4634080.816595016</v>
      </c>
      <c r="N31" s="156">
        <f t="shared" si="22"/>
        <v>4634080.816595016</v>
      </c>
      <c r="O31" s="157">
        <f t="shared" si="22"/>
        <v>0.19778461266795674</v>
      </c>
    </row>
    <row r="32" spans="1:15">
      <c r="A32" s="531" t="s">
        <v>1</v>
      </c>
      <c r="B32" s="553"/>
      <c r="C32" s="533">
        <f t="shared" ref="C32:O32" si="24">C9-C48</f>
        <v>-2.2084970744299381E-3</v>
      </c>
      <c r="D32" s="534">
        <f t="shared" ref="D32" si="25">D9-D48</f>
        <v>138382.13450534921</v>
      </c>
      <c r="E32" s="534"/>
      <c r="F32" s="534"/>
      <c r="G32" s="534"/>
      <c r="H32" s="534"/>
      <c r="I32" s="534"/>
      <c r="J32" s="535">
        <f t="shared" si="24"/>
        <v>-2.3289445474828363E-2</v>
      </c>
      <c r="K32" s="534"/>
      <c r="L32" s="534"/>
      <c r="M32" s="536">
        <f t="shared" si="24"/>
        <v>1663306.8721612929</v>
      </c>
      <c r="N32" s="156">
        <f t="shared" si="24"/>
        <v>1663306.8721612929</v>
      </c>
      <c r="O32" s="157">
        <f t="shared" si="24"/>
        <v>7.0990670745378598E-2</v>
      </c>
    </row>
    <row r="33" spans="1:15">
      <c r="A33" s="531" t="s">
        <v>4</v>
      </c>
      <c r="B33" s="553"/>
      <c r="C33" s="533">
        <f t="shared" ref="C33:O33" si="26">C10-C49</f>
        <v>-0.17828374656513457</v>
      </c>
      <c r="D33" s="534">
        <f t="shared" ref="D33" si="27">D10-D49</f>
        <v>-9171.0333190374076</v>
      </c>
      <c r="E33" s="534"/>
      <c r="F33" s="534"/>
      <c r="G33" s="534"/>
      <c r="H33" s="534"/>
      <c r="I33" s="534"/>
      <c r="J33" s="535">
        <f t="shared" si="26"/>
        <v>0.18757421112144579</v>
      </c>
      <c r="K33" s="534"/>
      <c r="L33" s="534"/>
      <c r="M33" s="536">
        <f t="shared" si="26"/>
        <v>3254889.4455333371</v>
      </c>
      <c r="N33" s="156">
        <f t="shared" si="26"/>
        <v>3254889.4455333371</v>
      </c>
      <c r="O33" s="157">
        <f t="shared" si="26"/>
        <v>0.13892011679132785</v>
      </c>
    </row>
    <row r="34" spans="1:15">
      <c r="A34" s="531" t="s">
        <v>17</v>
      </c>
      <c r="B34" s="553"/>
      <c r="C34" s="533">
        <f t="shared" ref="C34:O34" si="28">C11-C50</f>
        <v>-3.4943098325388583E-2</v>
      </c>
      <c r="D34" s="534">
        <f t="shared" ref="D34" si="29">D11-D50</f>
        <v>-29975.987646308553</v>
      </c>
      <c r="E34" s="534"/>
      <c r="F34" s="534"/>
      <c r="G34" s="534"/>
      <c r="H34" s="534"/>
      <c r="I34" s="534"/>
      <c r="J34" s="535">
        <f t="shared" si="28"/>
        <v>-5.2963422916013636E-2</v>
      </c>
      <c r="K34" s="534"/>
      <c r="L34" s="534"/>
      <c r="M34" s="536">
        <f t="shared" si="28"/>
        <v>289356.69476722722</v>
      </c>
      <c r="N34" s="156">
        <f t="shared" si="28"/>
        <v>289356.69476722722</v>
      </c>
      <c r="O34" s="157">
        <f t="shared" si="28"/>
        <v>1.2349871325607855E-2</v>
      </c>
    </row>
    <row r="35" spans="1:15">
      <c r="A35" s="537" t="s">
        <v>205</v>
      </c>
      <c r="B35" s="553"/>
      <c r="C35" s="533">
        <f t="shared" ref="C35:O35" si="30">C12-C51</f>
        <v>0</v>
      </c>
      <c r="D35" s="534">
        <f t="shared" ref="D35" si="31">D12-D51</f>
        <v>0</v>
      </c>
      <c r="E35" s="534"/>
      <c r="F35" s="534"/>
      <c r="G35" s="534"/>
      <c r="H35" s="534"/>
      <c r="I35" s="534"/>
      <c r="J35" s="535">
        <f t="shared" si="30"/>
        <v>-7.0527382182007214E-2</v>
      </c>
      <c r="K35" s="534"/>
      <c r="L35" s="534"/>
      <c r="M35" s="536">
        <f t="shared" si="30"/>
        <v>58939.896542147413</v>
      </c>
      <c r="N35" s="156">
        <f t="shared" si="30"/>
        <v>58939.896542147413</v>
      </c>
      <c r="O35" s="157">
        <f t="shared" si="30"/>
        <v>2.5155807741919318E-3</v>
      </c>
    </row>
    <row r="36" spans="1:15">
      <c r="A36" s="538" t="s">
        <v>64</v>
      </c>
      <c r="B36" s="553"/>
      <c r="C36" s="533">
        <f t="shared" ref="C36:O36" si="32">C13-C52</f>
        <v>0</v>
      </c>
      <c r="D36" s="534">
        <f t="shared" ref="D36" si="33">D13-D52</f>
        <v>0</v>
      </c>
      <c r="E36" s="534"/>
      <c r="F36" s="534"/>
      <c r="G36" s="534"/>
      <c r="H36" s="534"/>
      <c r="I36" s="534"/>
      <c r="J36" s="535">
        <f t="shared" si="32"/>
        <v>0</v>
      </c>
      <c r="K36" s="534"/>
      <c r="L36" s="534"/>
      <c r="M36" s="536">
        <f t="shared" si="32"/>
        <v>0</v>
      </c>
      <c r="N36" s="156">
        <f t="shared" si="32"/>
        <v>0</v>
      </c>
      <c r="O36" s="157">
        <f t="shared" si="32"/>
        <v>0</v>
      </c>
    </row>
    <row r="37" spans="1:15" s="130" customFormat="1" ht="15.75" thickBot="1">
      <c r="A37" s="539" t="s">
        <v>2</v>
      </c>
      <c r="B37" s="554"/>
      <c r="C37" s="171">
        <f>SUM(C27:C36)</f>
        <v>0.66371075242803856</v>
      </c>
      <c r="D37" s="172">
        <f>SUM(D27:D36)</f>
        <v>2931607.0000000005</v>
      </c>
      <c r="E37" s="172"/>
      <c r="F37" s="172"/>
      <c r="G37" s="172"/>
      <c r="H37" s="172"/>
      <c r="I37" s="172"/>
      <c r="J37" s="173">
        <f t="shared" ref="J37:O37" si="34">SUM(J27:J36)</f>
        <v>-0.40455862887867172</v>
      </c>
      <c r="K37" s="172"/>
      <c r="L37" s="172"/>
      <c r="M37" s="174">
        <f t="shared" si="34"/>
        <v>23429935.715114098</v>
      </c>
      <c r="N37" s="540">
        <f t="shared" si="34"/>
        <v>23429935.715114098</v>
      </c>
      <c r="O37" s="541">
        <f t="shared" si="34"/>
        <v>0.99999998784094435</v>
      </c>
    </row>
    <row r="38" spans="1:15">
      <c r="C38" s="60"/>
      <c r="D38" s="50"/>
      <c r="E38" s="50"/>
      <c r="F38" s="50"/>
      <c r="G38" s="50"/>
      <c r="H38" s="50"/>
      <c r="I38" s="50"/>
      <c r="J38" s="50"/>
    </row>
    <row r="39" spans="1:15">
      <c r="C39" s="60"/>
      <c r="D39" s="50"/>
      <c r="E39" s="50"/>
      <c r="F39" s="50"/>
      <c r="G39" s="50"/>
      <c r="H39" s="50"/>
      <c r="I39" s="50"/>
      <c r="J39" s="50"/>
    </row>
    <row r="40" spans="1:15">
      <c r="C40" s="60"/>
      <c r="D40" s="50"/>
      <c r="E40" s="50"/>
      <c r="F40" s="50"/>
      <c r="G40" s="50"/>
      <c r="H40" s="50"/>
      <c r="I40" s="50"/>
      <c r="J40" s="50"/>
    </row>
    <row r="41" spans="1:15" ht="15.75" thickBot="1">
      <c r="A41" s="109" t="s">
        <v>229</v>
      </c>
      <c r="C41" s="60"/>
      <c r="D41" s="50"/>
      <c r="E41" s="50"/>
      <c r="F41" s="50"/>
      <c r="G41" s="50"/>
      <c r="H41" s="50"/>
      <c r="I41" s="50"/>
      <c r="J41" s="50"/>
    </row>
    <row r="42" spans="1:15" s="112" customFormat="1">
      <c r="A42" s="529" t="s">
        <v>2</v>
      </c>
      <c r="B42" s="165">
        <v>0</v>
      </c>
      <c r="C42" s="168">
        <v>11.360621929972387</v>
      </c>
      <c r="D42" s="169">
        <v>17453668</v>
      </c>
      <c r="E42" s="169"/>
      <c r="F42" s="169"/>
      <c r="G42" s="169"/>
      <c r="H42" s="169"/>
      <c r="I42" s="169"/>
      <c r="J42" s="170">
        <v>11.036</v>
      </c>
      <c r="K42" s="169"/>
      <c r="L42" s="169"/>
      <c r="M42" s="165">
        <v>20465190</v>
      </c>
      <c r="N42" s="165">
        <v>20465190</v>
      </c>
      <c r="O42" s="530">
        <v>1</v>
      </c>
    </row>
    <row r="43" spans="1:15">
      <c r="A43" s="531" t="s">
        <v>6</v>
      </c>
      <c r="B43" s="532"/>
      <c r="C43" s="533">
        <f>'T6b-vykon'!AI38*100</f>
        <v>1.0557959293745836</v>
      </c>
      <c r="D43" s="534">
        <f>C43/C$42*D$42</f>
        <v>1622051.3049940232</v>
      </c>
      <c r="E43" s="534"/>
      <c r="F43" s="534"/>
      <c r="G43" s="534"/>
      <c r="H43" s="534"/>
      <c r="I43" s="534"/>
      <c r="J43" s="535">
        <v>1.0669203142074521</v>
      </c>
      <c r="K43" s="534"/>
      <c r="L43" s="534"/>
      <c r="M43" s="536">
        <f t="shared" ref="M43:M52" si="35">I43+K43+L43</f>
        <v>0</v>
      </c>
      <c r="N43" s="156">
        <f t="shared" ref="N43:N52" si="36">INT(0.5+M43+B43)</f>
        <v>0</v>
      </c>
      <c r="O43" s="157">
        <f>N43/N$3</f>
        <v>0</v>
      </c>
    </row>
    <row r="44" spans="1:15">
      <c r="A44" s="531" t="s">
        <v>3</v>
      </c>
      <c r="B44" s="532"/>
      <c r="C44" s="533">
        <f>'T6b-vykon'!AI39*100</f>
        <v>1.9978447907498829</v>
      </c>
      <c r="D44" s="534">
        <f t="shared" ref="D44:D52" si="37">C44/C$42*D$42</f>
        <v>3069349.5398594504</v>
      </c>
      <c r="E44" s="534"/>
      <c r="F44" s="534"/>
      <c r="G44" s="534"/>
      <c r="H44" s="534"/>
      <c r="I44" s="534"/>
      <c r="J44" s="535">
        <v>2.0728097776810652</v>
      </c>
      <c r="K44" s="534"/>
      <c r="L44" s="534"/>
      <c r="M44" s="536">
        <f t="shared" si="35"/>
        <v>0</v>
      </c>
      <c r="N44" s="156">
        <f t="shared" si="36"/>
        <v>0</v>
      </c>
      <c r="O44" s="157">
        <f t="shared" ref="O44:O52" si="38">N44/N$3</f>
        <v>0</v>
      </c>
    </row>
    <row r="45" spans="1:15">
      <c r="A45" s="531" t="s">
        <v>5</v>
      </c>
      <c r="B45" s="532"/>
      <c r="C45" s="533">
        <f>'T6b-vykon'!AI40*100</f>
        <v>2.1176857974746643</v>
      </c>
      <c r="D45" s="534">
        <f t="shared" si="37"/>
        <v>3253464.912860441</v>
      </c>
      <c r="E45" s="534"/>
      <c r="F45" s="534"/>
      <c r="G45" s="534"/>
      <c r="H45" s="534"/>
      <c r="I45" s="534"/>
      <c r="J45" s="535">
        <v>2.9357920629004122</v>
      </c>
      <c r="K45" s="534"/>
      <c r="L45" s="534"/>
      <c r="M45" s="536">
        <f t="shared" si="35"/>
        <v>0</v>
      </c>
      <c r="N45" s="156">
        <f t="shared" si="36"/>
        <v>0</v>
      </c>
      <c r="O45" s="157">
        <f t="shared" si="38"/>
        <v>0</v>
      </c>
    </row>
    <row r="46" spans="1:15">
      <c r="A46" s="531" t="s">
        <v>7</v>
      </c>
      <c r="B46" s="532"/>
      <c r="C46" s="533">
        <f>'T6b-vykon'!AI41*100</f>
        <v>1.0709756567875093</v>
      </c>
      <c r="D46" s="534">
        <f t="shared" si="37"/>
        <v>1645372.3805679507</v>
      </c>
      <c r="E46" s="534"/>
      <c r="F46" s="534"/>
      <c r="G46" s="534"/>
      <c r="H46" s="534"/>
      <c r="I46" s="534"/>
      <c r="J46" s="535">
        <v>0.15156471030543484</v>
      </c>
      <c r="K46" s="534"/>
      <c r="L46" s="534"/>
      <c r="M46" s="536">
        <f t="shared" si="35"/>
        <v>0</v>
      </c>
      <c r="N46" s="156">
        <f t="shared" si="36"/>
        <v>0</v>
      </c>
      <c r="O46" s="157">
        <f t="shared" si="38"/>
        <v>0</v>
      </c>
    </row>
    <row r="47" spans="1:15">
      <c r="A47" s="531" t="s">
        <v>0</v>
      </c>
      <c r="B47" s="532"/>
      <c r="C47" s="533">
        <f>'T6b-vykon'!AI42*100</f>
        <v>2.1972136343446915</v>
      </c>
      <c r="D47" s="534">
        <f t="shared" si="37"/>
        <v>3375645.9404523866</v>
      </c>
      <c r="E47" s="534"/>
      <c r="F47" s="534"/>
      <c r="G47" s="534"/>
      <c r="H47" s="534"/>
      <c r="I47" s="534"/>
      <c r="J47" s="535">
        <v>2.4762591316151314</v>
      </c>
      <c r="K47" s="534"/>
      <c r="L47" s="534"/>
      <c r="M47" s="536">
        <f t="shared" si="35"/>
        <v>0</v>
      </c>
      <c r="N47" s="156">
        <f t="shared" si="36"/>
        <v>0</v>
      </c>
      <c r="O47" s="157">
        <f t="shared" si="38"/>
        <v>0</v>
      </c>
    </row>
    <row r="48" spans="1:15">
      <c r="A48" s="531" t="s">
        <v>1</v>
      </c>
      <c r="B48" s="532"/>
      <c r="C48" s="533">
        <f>'T6b-vykon'!AI43*100</f>
        <v>0.89384830620950451</v>
      </c>
      <c r="D48" s="534">
        <f t="shared" si="37"/>
        <v>1373246.2602054877</v>
      </c>
      <c r="E48" s="534"/>
      <c r="F48" s="534"/>
      <c r="G48" s="534"/>
      <c r="H48" s="534"/>
      <c r="I48" s="534"/>
      <c r="J48" s="535">
        <v>0.5639889819444639</v>
      </c>
      <c r="K48" s="534"/>
      <c r="L48" s="534"/>
      <c r="M48" s="536">
        <f t="shared" si="35"/>
        <v>0</v>
      </c>
      <c r="N48" s="156">
        <f t="shared" si="36"/>
        <v>0</v>
      </c>
      <c r="O48" s="157">
        <f t="shared" si="38"/>
        <v>0</v>
      </c>
    </row>
    <row r="49" spans="1:15">
      <c r="A49" s="531" t="s">
        <v>4</v>
      </c>
      <c r="B49" s="532"/>
      <c r="C49" s="533">
        <f>'T6b-vykon'!AI44*100</f>
        <v>1.8432114425393935</v>
      </c>
      <c r="D49" s="534">
        <f t="shared" si="37"/>
        <v>2831781.6375007071</v>
      </c>
      <c r="E49" s="534"/>
      <c r="F49" s="534"/>
      <c r="G49" s="534"/>
      <c r="H49" s="534"/>
      <c r="I49" s="534"/>
      <c r="J49" s="535">
        <v>1.3202719588924479</v>
      </c>
      <c r="K49" s="534"/>
      <c r="L49" s="534"/>
      <c r="M49" s="536">
        <f t="shared" si="35"/>
        <v>0</v>
      </c>
      <c r="N49" s="156">
        <f t="shared" si="36"/>
        <v>0</v>
      </c>
      <c r="O49" s="157">
        <f t="shared" si="38"/>
        <v>0</v>
      </c>
    </row>
    <row r="50" spans="1:15">
      <c r="A50" s="531" t="s">
        <v>17</v>
      </c>
      <c r="B50" s="532"/>
      <c r="C50" s="533">
        <f>'T6b-vykon'!AI45*100</f>
        <v>0.1840463724921578</v>
      </c>
      <c r="D50" s="534">
        <f t="shared" si="37"/>
        <v>282756.02355955367</v>
      </c>
      <c r="E50" s="534"/>
      <c r="F50" s="534"/>
      <c r="G50" s="534"/>
      <c r="H50" s="534"/>
      <c r="I50" s="534"/>
      <c r="J50" s="535">
        <v>0.18085877809174394</v>
      </c>
      <c r="K50" s="534"/>
      <c r="L50" s="534"/>
      <c r="M50" s="536">
        <f t="shared" si="35"/>
        <v>0</v>
      </c>
      <c r="N50" s="156">
        <f t="shared" si="36"/>
        <v>0</v>
      </c>
      <c r="O50" s="157">
        <f t="shared" si="38"/>
        <v>0</v>
      </c>
    </row>
    <row r="51" spans="1:15">
      <c r="A51" s="537" t="s">
        <v>205</v>
      </c>
      <c r="B51" s="532"/>
      <c r="C51" s="533">
        <f>'T6b-vykon'!AI46*100</f>
        <v>0</v>
      </c>
      <c r="D51" s="534">
        <f t="shared" si="37"/>
        <v>0</v>
      </c>
      <c r="E51" s="534"/>
      <c r="F51" s="534"/>
      <c r="G51" s="534"/>
      <c r="H51" s="534"/>
      <c r="I51" s="534"/>
      <c r="J51" s="535">
        <v>0.26753428436185001</v>
      </c>
      <c r="K51" s="534"/>
      <c r="L51" s="534"/>
      <c r="M51" s="536">
        <f t="shared" si="35"/>
        <v>0</v>
      </c>
      <c r="N51" s="156">
        <f t="shared" si="36"/>
        <v>0</v>
      </c>
      <c r="O51" s="157">
        <f t="shared" si="38"/>
        <v>0</v>
      </c>
    </row>
    <row r="52" spans="1:15">
      <c r="A52" s="538" t="s">
        <v>64</v>
      </c>
      <c r="B52" s="532"/>
      <c r="C52" s="533">
        <f>'T6b-vykon'!AI47*100</f>
        <v>0</v>
      </c>
      <c r="D52" s="534">
        <f t="shared" si="37"/>
        <v>0</v>
      </c>
      <c r="E52" s="534"/>
      <c r="F52" s="534"/>
      <c r="G52" s="534"/>
      <c r="H52" s="534"/>
      <c r="I52" s="534"/>
      <c r="J52" s="535">
        <v>0</v>
      </c>
      <c r="K52" s="534"/>
      <c r="L52" s="534"/>
      <c r="M52" s="536">
        <f t="shared" si="35"/>
        <v>0</v>
      </c>
      <c r="N52" s="156">
        <f t="shared" si="36"/>
        <v>0</v>
      </c>
      <c r="O52" s="157">
        <f t="shared" si="38"/>
        <v>0</v>
      </c>
    </row>
    <row r="53" spans="1:15" s="130" customFormat="1" ht="15.75" thickBot="1">
      <c r="A53" s="539" t="s">
        <v>2</v>
      </c>
      <c r="B53" s="166"/>
      <c r="C53" s="171">
        <f>SUM(C43:C52)</f>
        <v>11.360621929972387</v>
      </c>
      <c r="D53" s="172">
        <f>SUM(D43:D52)</f>
        <v>17453668.000000004</v>
      </c>
      <c r="E53" s="172"/>
      <c r="F53" s="172"/>
      <c r="G53" s="172"/>
      <c r="H53" s="172"/>
      <c r="I53" s="172"/>
      <c r="J53" s="173">
        <f t="shared" ref="J53:O53" si="39">SUM(J43:J52)</f>
        <v>11.036000000000001</v>
      </c>
      <c r="K53" s="172"/>
      <c r="L53" s="172"/>
      <c r="M53" s="174">
        <f t="shared" si="39"/>
        <v>0</v>
      </c>
      <c r="N53" s="540">
        <f t="shared" si="39"/>
        <v>0</v>
      </c>
      <c r="O53" s="541">
        <f t="shared" si="39"/>
        <v>0</v>
      </c>
    </row>
  </sheetData>
  <sheetProtection algorithmName="SHA-512" hashValue="Egfe9YuhqQMjdrQTH6KQnzF8olVD2kuOuUuiWCk3xoLczMC2yayxEZBV8CY0O51N71mxcNw4Y0uHPjfWbZIFzQ==" saltValue="J7obfx/rVC4dFbzzncgp/A==" spinCount="100000" sheet="1" objects="1" scenarios="1"/>
  <mergeCells count="13">
    <mergeCell ref="K18:L18"/>
    <mergeCell ref="A16:B16"/>
    <mergeCell ref="O1:O2"/>
    <mergeCell ref="I1:I2"/>
    <mergeCell ref="J1:J2"/>
    <mergeCell ref="K1:K2"/>
    <mergeCell ref="L1:L2"/>
    <mergeCell ref="M1:M2"/>
    <mergeCell ref="N1:N2"/>
    <mergeCell ref="A1:A2"/>
    <mergeCell ref="B1:B2"/>
    <mergeCell ref="C1:C2"/>
    <mergeCell ref="D1:D2"/>
  </mergeCells>
  <conditionalFormatting sqref="A26:XFD37">
    <cfRule type="cellIs" dxfId="8" priority="3" operator="lessThan">
      <formula>0</formula>
    </cfRule>
  </conditionalFormatting>
  <conditionalFormatting sqref="N42">
    <cfRule type="cellIs" dxfId="7" priority="2" operator="lessThan">
      <formula>0</formula>
    </cfRule>
  </conditionalFormatting>
  <conditionalFormatting sqref="M42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9"/>
  <dimension ref="A1:N50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ColWidth="9.42578125" defaultRowHeight="15"/>
  <cols>
    <col min="1" max="1" width="48.5703125" style="50" customWidth="1"/>
    <col min="2" max="2" width="13" style="50" customWidth="1"/>
    <col min="3" max="3" width="14.42578125" style="50" customWidth="1"/>
    <col min="4" max="4" width="12" style="50" customWidth="1"/>
    <col min="5" max="6" width="11.5703125" style="50" customWidth="1"/>
    <col min="7" max="7" width="11" style="50" customWidth="1"/>
    <col min="8" max="8" width="9.5703125" style="50" customWidth="1"/>
    <col min="9" max="9" width="9.42578125" style="50"/>
    <col min="10" max="10" width="11.28515625" style="50" customWidth="1"/>
    <col min="11" max="11" width="11.42578125" style="50" customWidth="1"/>
    <col min="12" max="12" width="13.5703125" style="50" customWidth="1"/>
    <col min="13" max="13" width="15.5703125" style="50" bestFit="1" customWidth="1"/>
    <col min="14" max="14" width="14" style="50" customWidth="1"/>
    <col min="15" max="16384" width="9.42578125" style="50"/>
  </cols>
  <sheetData>
    <row r="1" spans="1:14" ht="70.5" customHeight="1" thickBot="1">
      <c r="B1" s="923"/>
      <c r="C1" s="923"/>
      <c r="D1" s="1426" t="s">
        <v>107</v>
      </c>
      <c r="E1" s="1426"/>
      <c r="F1" s="923"/>
      <c r="G1" s="942" t="s">
        <v>126</v>
      </c>
      <c r="H1" s="1427" t="s">
        <v>108</v>
      </c>
      <c r="I1" s="1427"/>
      <c r="J1" s="1427"/>
      <c r="K1" s="943" t="s">
        <v>127</v>
      </c>
      <c r="L1" s="681"/>
      <c r="M1" s="923"/>
      <c r="N1" s="923"/>
    </row>
    <row r="2" spans="1:14" ht="16.5" customHeight="1" thickBot="1">
      <c r="B2" s="923"/>
      <c r="C2" s="1428" t="s">
        <v>109</v>
      </c>
      <c r="D2" s="1429"/>
      <c r="E2" s="1430" t="s">
        <v>110</v>
      </c>
      <c r="F2" s="1431"/>
      <c r="G2" s="1432"/>
      <c r="H2" s="175"/>
      <c r="I2" s="175"/>
      <c r="J2" s="175"/>
      <c r="K2" s="175"/>
      <c r="L2" s="944" t="s">
        <v>111</v>
      </c>
      <c r="M2" s="923"/>
      <c r="N2" s="923"/>
    </row>
    <row r="3" spans="1:14" s="138" customFormat="1" ht="44.1" customHeight="1" thickBot="1">
      <c r="A3" s="1433"/>
      <c r="B3" s="1435" t="s">
        <v>112</v>
      </c>
      <c r="C3" s="1436"/>
      <c r="D3" s="921" t="s">
        <v>113</v>
      </c>
      <c r="E3" s="920" t="s">
        <v>114</v>
      </c>
      <c r="F3" s="1437" t="s">
        <v>110</v>
      </c>
      <c r="G3" s="1438"/>
      <c r="H3" s="1439" t="s">
        <v>115</v>
      </c>
      <c r="I3" s="1439"/>
      <c r="J3" s="1439"/>
      <c r="K3" s="1439"/>
      <c r="L3" s="1440"/>
      <c r="M3" s="233" t="s">
        <v>116</v>
      </c>
      <c r="N3" s="233" t="s">
        <v>116</v>
      </c>
    </row>
    <row r="4" spans="1:14" s="128" customFormat="1" ht="117.75" customHeight="1" thickBot="1">
      <c r="A4" s="1434"/>
      <c r="B4" s="198" t="s">
        <v>117</v>
      </c>
      <c r="C4" s="199" t="s">
        <v>118</v>
      </c>
      <c r="D4" s="200" t="s">
        <v>119</v>
      </c>
      <c r="E4" s="201" t="s">
        <v>120</v>
      </c>
      <c r="F4" s="202" t="s">
        <v>121</v>
      </c>
      <c r="G4" s="203" t="s">
        <v>122</v>
      </c>
      <c r="H4" s="204" t="s">
        <v>128</v>
      </c>
      <c r="I4" s="205" t="s">
        <v>129</v>
      </c>
      <c r="J4" s="204" t="s">
        <v>123</v>
      </c>
      <c r="K4" s="205" t="s">
        <v>124</v>
      </c>
      <c r="L4" s="178" t="s">
        <v>125</v>
      </c>
      <c r="M4" s="179" t="s">
        <v>321</v>
      </c>
      <c r="N4" s="179" t="s">
        <v>143</v>
      </c>
    </row>
    <row r="5" spans="1:14" s="56" customFormat="1">
      <c r="A5" s="510" t="s">
        <v>2</v>
      </c>
      <c r="B5" s="560">
        <v>3176946.35</v>
      </c>
      <c r="C5" s="559">
        <v>137656</v>
      </c>
      <c r="D5" s="180">
        <v>88538</v>
      </c>
      <c r="E5" s="181">
        <v>1552811</v>
      </c>
      <c r="F5" s="560">
        <v>92755</v>
      </c>
      <c r="G5" s="562">
        <v>100000</v>
      </c>
      <c r="H5" s="182">
        <v>11.338206590213716</v>
      </c>
      <c r="I5" s="183">
        <v>10.705650851352413</v>
      </c>
      <c r="J5" s="184">
        <v>1170966</v>
      </c>
      <c r="K5" s="184">
        <v>3102801</v>
      </c>
      <c r="L5" s="185">
        <v>4273767</v>
      </c>
      <c r="M5" s="567">
        <v>6052772</v>
      </c>
      <c r="N5" s="568">
        <v>1</v>
      </c>
    </row>
    <row r="6" spans="1:14">
      <c r="A6" s="486" t="s">
        <v>6</v>
      </c>
      <c r="B6" s="188">
        <f>'T14c-vstup_DG-ZG'!S4</f>
        <v>122898</v>
      </c>
      <c r="C6" s="187">
        <f>B6/B5*C5</f>
        <v>5325.12835415052</v>
      </c>
      <c r="D6" s="186">
        <f>'T21-Mobility'!E5</f>
        <v>14183</v>
      </c>
      <c r="E6" s="189">
        <f>'T6b-vykon'!L4/'T6b-vykon'!L$15*'T8-TaS'!E$17</f>
        <v>95790.269725233185</v>
      </c>
      <c r="F6" s="569"/>
      <c r="G6" s="570"/>
      <c r="H6" s="192">
        <f>'T6b-vykon'!AJ4*100</f>
        <v>1.1389214981641971</v>
      </c>
      <c r="I6" s="193">
        <f>'T6b-vykon'!AK4*100</f>
        <v>0.9708220242773985</v>
      </c>
      <c r="J6" s="194">
        <f>H6*J$17/100</f>
        <v>117623.39331498538</v>
      </c>
      <c r="K6" s="194">
        <f t="shared" ref="J6:K15" si="0">I6*K$17/100</f>
        <v>281371.75514819863</v>
      </c>
      <c r="L6" s="195">
        <f t="shared" ref="L6:L15" si="1">K6+J6</f>
        <v>398995.14846318401</v>
      </c>
      <c r="M6" s="571">
        <f>C6+D6+L6+E6</f>
        <v>514293.54654256772</v>
      </c>
      <c r="N6" s="572">
        <f>M6/(M$16)</f>
        <v>8.4968267938490896E-2</v>
      </c>
    </row>
    <row r="7" spans="1:14">
      <c r="A7" s="486" t="s">
        <v>3</v>
      </c>
      <c r="B7" s="188">
        <f>'T14c-vstup_DG-ZG'!S5</f>
        <v>65145</v>
      </c>
      <c r="C7" s="187">
        <f t="shared" ref="C7:C15" si="2">B7/B6*C6</f>
        <v>2822.7105944045925</v>
      </c>
      <c r="D7" s="186">
        <f>'T21-Mobility'!E6</f>
        <v>11860</v>
      </c>
      <c r="E7" s="189">
        <f>'T6b-vykon'!L5/'T6b-vykon'!L$15*'T8-TaS'!E$17</f>
        <v>372657.75985211332</v>
      </c>
      <c r="F7" s="569"/>
      <c r="G7" s="570"/>
      <c r="H7" s="192">
        <f>'T6b-vykon'!AJ5*100</f>
        <v>2.1214586381470721</v>
      </c>
      <c r="I7" s="193">
        <f>'T6b-vykon'!AK5*100</f>
        <v>2.0955238393839331</v>
      </c>
      <c r="J7" s="194">
        <f t="shared" si="0"/>
        <v>219096.01688831358</v>
      </c>
      <c r="K7" s="194">
        <f t="shared" si="0"/>
        <v>607342.23770954867</v>
      </c>
      <c r="L7" s="195">
        <f t="shared" si="1"/>
        <v>826438.25459786225</v>
      </c>
      <c r="M7" s="571">
        <f t="shared" ref="M7:M15" si="3">C7+D7+L7+E7</f>
        <v>1213778.7250443802</v>
      </c>
      <c r="N7" s="572">
        <f t="shared" ref="N7:N15" si="4">M7/(M$16)</f>
        <v>0.20053270475769921</v>
      </c>
    </row>
    <row r="8" spans="1:14">
      <c r="A8" s="486" t="s">
        <v>5</v>
      </c>
      <c r="B8" s="188">
        <f>'T14c-vstup_DG-ZG'!S6</f>
        <v>366997.28</v>
      </c>
      <c r="C8" s="187">
        <f t="shared" si="2"/>
        <v>15901.866764504854</v>
      </c>
      <c r="D8" s="186">
        <f>'T21-Mobility'!E7</f>
        <v>21469</v>
      </c>
      <c r="E8" s="189">
        <f>'T6b-vykon'!L6/'T6b-vykon'!L$15*'T8-TaS'!E$17</f>
        <v>215528.10688177464</v>
      </c>
      <c r="F8" s="569"/>
      <c r="G8" s="570"/>
      <c r="H8" s="192">
        <f>'T6b-vykon'!AJ6*100</f>
        <v>2.0137219931515142</v>
      </c>
      <c r="I8" s="193">
        <f>'T6b-vykon'!AK6*100</f>
        <v>1.6303627425037401</v>
      </c>
      <c r="J8" s="194">
        <f t="shared" si="0"/>
        <v>207969.39421135496</v>
      </c>
      <c r="K8" s="194">
        <f t="shared" si="0"/>
        <v>472525.3598649613</v>
      </c>
      <c r="L8" s="195">
        <f t="shared" si="1"/>
        <v>680494.75407631625</v>
      </c>
      <c r="M8" s="571">
        <f t="shared" si="3"/>
        <v>933393.72772259568</v>
      </c>
      <c r="N8" s="572">
        <f t="shared" si="4"/>
        <v>0.15420930105463804</v>
      </c>
    </row>
    <row r="9" spans="1:14">
      <c r="A9" s="486" t="s">
        <v>7</v>
      </c>
      <c r="B9" s="188">
        <f>'T14c-vstup_DG-ZG'!S7</f>
        <v>9447</v>
      </c>
      <c r="C9" s="187">
        <f t="shared" si="2"/>
        <v>409.335282605575</v>
      </c>
      <c r="D9" s="186">
        <f>'T21-Mobility'!E8</f>
        <v>4434</v>
      </c>
      <c r="E9" s="189">
        <f>'T6b-vykon'!L7/'T6b-vykon'!L$15*'T8-TaS'!E$17</f>
        <v>243046.80278968153</v>
      </c>
      <c r="F9" s="569"/>
      <c r="G9" s="570"/>
      <c r="H9" s="192">
        <f>'T6b-vykon'!AJ7*100</f>
        <v>1.2469356286070881</v>
      </c>
      <c r="I9" s="193">
        <f>'T6b-vykon'!AK7*100</f>
        <v>1.2555925717049989</v>
      </c>
      <c r="J9" s="194">
        <f t="shared" si="0"/>
        <v>128778.67361230105</v>
      </c>
      <c r="K9" s="194">
        <f t="shared" si="0"/>
        <v>363906.33588544227</v>
      </c>
      <c r="L9" s="195">
        <f t="shared" si="1"/>
        <v>492685.00949774333</v>
      </c>
      <c r="M9" s="571">
        <f t="shared" si="3"/>
        <v>740575.14757003041</v>
      </c>
      <c r="N9" s="572">
        <f t="shared" si="4"/>
        <v>0.12235305690756804</v>
      </c>
    </row>
    <row r="10" spans="1:14">
      <c r="A10" s="486" t="s">
        <v>0</v>
      </c>
      <c r="B10" s="188">
        <f>'T14c-vstup_DG-ZG'!S8</f>
        <v>558581</v>
      </c>
      <c r="C10" s="187">
        <f t="shared" si="2"/>
        <v>24203.123901037863</v>
      </c>
      <c r="D10" s="186">
        <f>'T21-Mobility'!E9</f>
        <v>16506</v>
      </c>
      <c r="E10" s="189">
        <f>'T6b-vykon'!L8/'T6b-vykon'!L$15*'T8-TaS'!E$17</f>
        <v>282539.28241324256</v>
      </c>
      <c r="F10" s="569"/>
      <c r="G10" s="570"/>
      <c r="H10" s="192">
        <f>'T6b-vykon'!AJ8*100</f>
        <v>2.1330820899909684</v>
      </c>
      <c r="I10" s="193">
        <f>'T6b-vykon'!AK8*100</f>
        <v>2.0791869512285195</v>
      </c>
      <c r="J10" s="194">
        <f t="shared" si="0"/>
        <v>220296.44189575806</v>
      </c>
      <c r="K10" s="194">
        <f t="shared" si="0"/>
        <v>602607.34420796181</v>
      </c>
      <c r="L10" s="195">
        <f t="shared" si="1"/>
        <v>822903.78610371985</v>
      </c>
      <c r="M10" s="571">
        <f t="shared" si="3"/>
        <v>1146152.1924180002</v>
      </c>
      <c r="N10" s="572">
        <f t="shared" si="4"/>
        <v>0.18935988452190464</v>
      </c>
    </row>
    <row r="11" spans="1:14">
      <c r="A11" s="486" t="s">
        <v>1</v>
      </c>
      <c r="B11" s="188">
        <f>'T14c-vstup_DG-ZG'!S9</f>
        <v>94758.74</v>
      </c>
      <c r="C11" s="187">
        <f t="shared" si="2"/>
        <v>4105.8638316130209</v>
      </c>
      <c r="D11" s="186">
        <f>'T21-Mobility'!E10</f>
        <v>11219</v>
      </c>
      <c r="E11" s="189">
        <f>'T6b-vykon'!L9/'T6b-vykon'!L$15*'T8-TaS'!E$17</f>
        <v>124149.23115704562</v>
      </c>
      <c r="F11" s="569"/>
      <c r="G11" s="570"/>
      <c r="H11" s="192">
        <f>'T6b-vykon'!AJ9*100</f>
        <v>0.80669660081179384</v>
      </c>
      <c r="I11" s="193">
        <f>'T6b-vykon'!AK9*100</f>
        <v>0.79727927225521933</v>
      </c>
      <c r="J11" s="194">
        <f t="shared" si="0"/>
        <v>83312.494949030908</v>
      </c>
      <c r="K11" s="194">
        <f t="shared" si="0"/>
        <v>231074.1439397237</v>
      </c>
      <c r="L11" s="195">
        <f t="shared" si="1"/>
        <v>314386.63888875459</v>
      </c>
      <c r="M11" s="571">
        <f t="shared" si="3"/>
        <v>453860.73387741327</v>
      </c>
      <c r="N11" s="572">
        <f t="shared" si="4"/>
        <v>7.498394779033897E-2</v>
      </c>
    </row>
    <row r="12" spans="1:14">
      <c r="A12" s="486" t="s">
        <v>4</v>
      </c>
      <c r="B12" s="188">
        <f>'T14c-vstup_DG-ZG'!S10</f>
        <v>174928</v>
      </c>
      <c r="C12" s="187">
        <f t="shared" si="2"/>
        <v>7579.5704790545178</v>
      </c>
      <c r="D12" s="186">
        <f>'T21-Mobility'!E11</f>
        <v>5873</v>
      </c>
      <c r="E12" s="189">
        <f>'T6b-vykon'!L10/'T6b-vykon'!L$15*'T8-TaS'!E$17</f>
        <v>210276.44735736493</v>
      </c>
      <c r="F12" s="569"/>
      <c r="G12" s="570"/>
      <c r="H12" s="192">
        <f>'T6b-vykon'!AJ10*100</f>
        <v>1.7253836764289365</v>
      </c>
      <c r="I12" s="193">
        <f>'T6b-vykon'!AK10*100</f>
        <v>1.7276992916931813</v>
      </c>
      <c r="J12" s="194">
        <f t="shared" si="0"/>
        <v>178190.93161291603</v>
      </c>
      <c r="K12" s="194">
        <f t="shared" si="0"/>
        <v>500736.25228459632</v>
      </c>
      <c r="L12" s="195">
        <f t="shared" si="1"/>
        <v>678927.18389751238</v>
      </c>
      <c r="M12" s="571">
        <f t="shared" si="3"/>
        <v>902656.20173393178</v>
      </c>
      <c r="N12" s="572">
        <f t="shared" si="4"/>
        <v>0.14913104494676183</v>
      </c>
    </row>
    <row r="13" spans="1:14">
      <c r="A13" s="486" t="s">
        <v>17</v>
      </c>
      <c r="B13" s="188">
        <f>'T14c-vstup_DG-ZG'!S11</f>
        <v>11393.79</v>
      </c>
      <c r="C13" s="187">
        <f t="shared" si="2"/>
        <v>493.68902822044828</v>
      </c>
      <c r="D13" s="186">
        <f>'T21-Mobility'!E12</f>
        <v>2994</v>
      </c>
      <c r="E13" s="189">
        <f>'T6b-vykon'!L11/'T6b-vykon'!L$15*'T8-TaS'!E$17</f>
        <v>8822.788001008319</v>
      </c>
      <c r="F13" s="569"/>
      <c r="G13" s="570"/>
      <c r="H13" s="192">
        <f>'T6b-vykon'!AJ11*100</f>
        <v>0.15200646491214356</v>
      </c>
      <c r="I13" s="193">
        <f>'T6b-vykon'!AK11*100</f>
        <v>0.1491841583054245</v>
      </c>
      <c r="J13" s="194">
        <f t="shared" si="0"/>
        <v>15698.63791104233</v>
      </c>
      <c r="K13" s="194">
        <f t="shared" si="0"/>
        <v>43237.799939641562</v>
      </c>
      <c r="L13" s="195">
        <f t="shared" si="1"/>
        <v>58936.437850683891</v>
      </c>
      <c r="M13" s="571">
        <f t="shared" si="3"/>
        <v>71246.914879912656</v>
      </c>
      <c r="N13" s="572">
        <f t="shared" si="4"/>
        <v>1.1770956478074744E-2</v>
      </c>
    </row>
    <row r="14" spans="1:14">
      <c r="A14" s="486" t="s">
        <v>205</v>
      </c>
      <c r="B14" s="188">
        <f>'T14c-vstup_DG-ZG'!S12</f>
        <v>11341</v>
      </c>
      <c r="C14" s="187">
        <f t="shared" si="2"/>
        <v>491.40165555518428</v>
      </c>
      <c r="D14" s="186">
        <f>'T21-Mobility'!E13</f>
        <v>0</v>
      </c>
      <c r="E14" s="189">
        <f>'T6b-vykon'!L12/'T6b-vykon'!L$15*'T8-TaS'!E$17</f>
        <v>0</v>
      </c>
      <c r="F14" s="569"/>
      <c r="G14" s="570"/>
      <c r="H14" s="192">
        <f>'T6b-vykon'!AJ12*100</f>
        <v>0</v>
      </c>
      <c r="I14" s="193">
        <f>'T6b-vykon'!AK12*100</f>
        <v>0</v>
      </c>
      <c r="J14" s="194">
        <f t="shared" si="0"/>
        <v>0</v>
      </c>
      <c r="K14" s="194">
        <f t="shared" si="0"/>
        <v>0</v>
      </c>
      <c r="L14" s="195">
        <f t="shared" si="1"/>
        <v>0</v>
      </c>
      <c r="M14" s="571">
        <f t="shared" si="3"/>
        <v>491.40165555518428</v>
      </c>
      <c r="N14" s="572">
        <f t="shared" si="4"/>
        <v>8.1186217123132805E-5</v>
      </c>
    </row>
    <row r="15" spans="1:14">
      <c r="A15" s="517" t="s">
        <v>64</v>
      </c>
      <c r="B15" s="188">
        <f>'T14c-vstup_DG-ZG'!S13</f>
        <v>1761457.04</v>
      </c>
      <c r="C15" s="187">
        <f t="shared" si="2"/>
        <v>76323.331773682599</v>
      </c>
      <c r="D15" s="186">
        <f>'T21-Mobility'!E14</f>
        <v>0</v>
      </c>
      <c r="E15" s="189">
        <f>'T6b-vykon'!L13/'T6b-vykon'!L$15*'T8-TaS'!E$17</f>
        <v>0</v>
      </c>
      <c r="F15" s="573">
        <v>92755</v>
      </c>
      <c r="G15" s="574">
        <v>100000</v>
      </c>
      <c r="H15" s="192">
        <f>'T6b-vykon'!AJ13*100</f>
        <v>0</v>
      </c>
      <c r="I15" s="193">
        <f>'T6b-vykon'!AK13*100</f>
        <v>0</v>
      </c>
      <c r="J15" s="194">
        <f t="shared" si="0"/>
        <v>0</v>
      </c>
      <c r="K15" s="194">
        <v>0</v>
      </c>
      <c r="L15" s="195">
        <f t="shared" si="1"/>
        <v>0</v>
      </c>
      <c r="M15" s="571">
        <f t="shared" si="3"/>
        <v>76323.331773682599</v>
      </c>
      <c r="N15" s="572">
        <f t="shared" si="4"/>
        <v>1.2609649387400654E-2</v>
      </c>
    </row>
    <row r="16" spans="1:14" ht="15.75" thickBot="1">
      <c r="A16" s="518" t="s">
        <v>2</v>
      </c>
      <c r="B16" s="332">
        <f>SUM(B6:B15)</f>
        <v>3176946.85</v>
      </c>
      <c r="C16" s="580">
        <f>SUM(C6:C15)</f>
        <v>137656.02166482917</v>
      </c>
      <c r="D16" s="180">
        <f t="shared" ref="D16:G16" si="5">SUM(D6:D15)</f>
        <v>88538</v>
      </c>
      <c r="E16" s="181">
        <f t="shared" si="5"/>
        <v>1552810.6881774641</v>
      </c>
      <c r="F16" s="332">
        <f t="shared" si="5"/>
        <v>92755</v>
      </c>
      <c r="G16" s="580">
        <f t="shared" si="5"/>
        <v>100000</v>
      </c>
      <c r="H16" s="111">
        <f>SUM(H6:H15)</f>
        <v>11.338206590213716</v>
      </c>
      <c r="I16" s="111">
        <f>SUM(I6:I15)</f>
        <v>10.705650851352413</v>
      </c>
      <c r="J16" s="180">
        <f t="shared" ref="J16:M16" si="6">SUM(J6:J15)</f>
        <v>1170965.9843957024</v>
      </c>
      <c r="K16" s="180">
        <f t="shared" si="6"/>
        <v>3102801.2289800746</v>
      </c>
      <c r="L16" s="181">
        <f t="shared" si="6"/>
        <v>4273767.2133757761</v>
      </c>
      <c r="M16" s="998">
        <f t="shared" si="6"/>
        <v>6052771.9232180687</v>
      </c>
      <c r="N16" s="578">
        <f t="shared" ref="N16" si="7">SUM(N6:N15)</f>
        <v>1.0000000000000002</v>
      </c>
    </row>
    <row r="17" spans="1:14" s="197" customFormat="1" ht="24.75" customHeight="1" thickBot="1">
      <c r="A17" s="206" t="s">
        <v>90</v>
      </c>
      <c r="B17" s="196">
        <v>27694707.730000004</v>
      </c>
      <c r="C17" s="196">
        <v>1200000</v>
      </c>
      <c r="D17" s="196">
        <v>1000000</v>
      </c>
      <c r="E17" s="196">
        <v>5000000</v>
      </c>
      <c r="F17" s="196">
        <v>5225696</v>
      </c>
      <c r="G17" s="196">
        <v>2000000</v>
      </c>
      <c r="H17" s="196">
        <v>100.00000000000001</v>
      </c>
      <c r="I17" s="196">
        <v>99.999999999999986</v>
      </c>
      <c r="J17" s="196">
        <v>10327612</v>
      </c>
      <c r="K17" s="196">
        <v>28982836</v>
      </c>
      <c r="L17" s="196">
        <v>39310448</v>
      </c>
      <c r="M17" s="196">
        <v>53736144</v>
      </c>
      <c r="N17" s="790">
        <f>M16-F16-G16</f>
        <v>5860016.9232180687</v>
      </c>
    </row>
    <row r="18" spans="1:14" ht="7.5" customHeight="1">
      <c r="B18" s="152"/>
      <c r="C18" s="152"/>
      <c r="D18" s="152"/>
      <c r="E18" s="152"/>
      <c r="G18" s="109"/>
      <c r="H18" s="109"/>
      <c r="I18" s="109"/>
      <c r="J18" s="109"/>
      <c r="K18" s="109"/>
      <c r="L18" s="109"/>
    </row>
    <row r="19" spans="1:14">
      <c r="C19" s="109"/>
    </row>
    <row r="20" spans="1:14">
      <c r="C20" s="109"/>
    </row>
    <row r="22" spans="1:14" ht="15.75" thickBot="1">
      <c r="A22" s="1" t="s">
        <v>270</v>
      </c>
    </row>
    <row r="23" spans="1:14">
      <c r="A23" s="510" t="s">
        <v>2</v>
      </c>
      <c r="B23" s="560">
        <f>B5-B39</f>
        <v>-287209.64999999991</v>
      </c>
      <c r="C23" s="559">
        <f t="shared" ref="C23:N23" si="8">C5-C39</f>
        <v>-19987</v>
      </c>
      <c r="D23" s="560">
        <f t="shared" si="8"/>
        <v>1334</v>
      </c>
      <c r="E23" s="559">
        <f t="shared" si="8"/>
        <v>108693</v>
      </c>
      <c r="F23" s="558">
        <f t="shared" si="8"/>
        <v>-811</v>
      </c>
      <c r="G23" s="566">
        <f t="shared" si="8"/>
        <v>0</v>
      </c>
      <c r="H23" s="585">
        <f t="shared" si="8"/>
        <v>7.3206590213715117E-2</v>
      </c>
      <c r="I23" s="564">
        <f t="shared" si="8"/>
        <v>0.11565085135241304</v>
      </c>
      <c r="J23" s="565">
        <f t="shared" si="8"/>
        <v>95414.5</v>
      </c>
      <c r="K23" s="565">
        <f t="shared" si="8"/>
        <v>-123853.5</v>
      </c>
      <c r="L23" s="562">
        <f t="shared" si="8"/>
        <v>-28439</v>
      </c>
      <c r="M23" s="588">
        <f t="shared" si="8"/>
        <v>-131965</v>
      </c>
      <c r="N23" s="568">
        <f t="shared" si="8"/>
        <v>0</v>
      </c>
    </row>
    <row r="24" spans="1:14">
      <c r="A24" s="486" t="s">
        <v>6</v>
      </c>
      <c r="B24" s="188">
        <f t="shared" ref="B24:N24" si="9">B6-B40</f>
        <v>-66064</v>
      </c>
      <c r="C24" s="187">
        <f t="shared" si="9"/>
        <v>-3273.9464467533653</v>
      </c>
      <c r="D24" s="188">
        <f t="shared" si="9"/>
        <v>-8</v>
      </c>
      <c r="E24" s="187">
        <f t="shared" si="9"/>
        <v>-10908.730274766815</v>
      </c>
      <c r="F24" s="581"/>
      <c r="G24" s="583"/>
      <c r="H24" s="586">
        <f t="shared" si="9"/>
        <v>-7.7774660857194977E-3</v>
      </c>
      <c r="I24" s="193">
        <f t="shared" si="9"/>
        <v>1.9414545184504028E-3</v>
      </c>
      <c r="J24" s="194">
        <f t="shared" si="9"/>
        <v>8139.701255736014</v>
      </c>
      <c r="K24" s="194">
        <f t="shared" si="9"/>
        <v>-13835.312875906588</v>
      </c>
      <c r="L24" s="230">
        <f t="shared" si="9"/>
        <v>-5695.6116201705881</v>
      </c>
      <c r="M24" s="589">
        <f t="shared" si="9"/>
        <v>-19886.288341690728</v>
      </c>
      <c r="N24" s="572">
        <f t="shared" si="9"/>
        <v>-1.40239501520599E-3</v>
      </c>
    </row>
    <row r="25" spans="1:14">
      <c r="A25" s="486" t="s">
        <v>3</v>
      </c>
      <c r="B25" s="188">
        <f t="shared" ref="B25:N25" si="10">B7-B41</f>
        <v>-5520</v>
      </c>
      <c r="C25" s="187">
        <f t="shared" si="10"/>
        <v>-393.03448029758601</v>
      </c>
      <c r="D25" s="188">
        <f t="shared" si="10"/>
        <v>-842</v>
      </c>
      <c r="E25" s="187">
        <f t="shared" si="10"/>
        <v>73541.759852113319</v>
      </c>
      <c r="F25" s="581"/>
      <c r="G25" s="583"/>
      <c r="H25" s="586">
        <f t="shared" si="10"/>
        <v>6.0787906439755179E-2</v>
      </c>
      <c r="I25" s="193">
        <f t="shared" si="10"/>
        <v>7.8473072400733646E-2</v>
      </c>
      <c r="J25" s="194">
        <f t="shared" si="10"/>
        <v>22348.791278557474</v>
      </c>
      <c r="K25" s="194">
        <f t="shared" si="10"/>
        <v>-7230.5605921313399</v>
      </c>
      <c r="L25" s="230">
        <f t="shared" si="10"/>
        <v>15118.230686426163</v>
      </c>
      <c r="M25" s="589">
        <f t="shared" si="10"/>
        <v>87424.956058241893</v>
      </c>
      <c r="N25" s="572">
        <f t="shared" si="10"/>
        <v>1.8414407894608964E-2</v>
      </c>
    </row>
    <row r="26" spans="1:14">
      <c r="A26" s="486" t="s">
        <v>5</v>
      </c>
      <c r="B26" s="188">
        <f t="shared" ref="B26:N26" si="11">B8-B42</f>
        <v>32122.280000000028</v>
      </c>
      <c r="C26" s="187">
        <f t="shared" si="11"/>
        <v>662.74369239147381</v>
      </c>
      <c r="D26" s="188">
        <f t="shared" si="11"/>
        <v>4604</v>
      </c>
      <c r="E26" s="187">
        <f t="shared" si="11"/>
        <v>12784.106881774642</v>
      </c>
      <c r="F26" s="581"/>
      <c r="G26" s="583"/>
      <c r="H26" s="586">
        <f t="shared" si="11"/>
        <v>6.9728508353652519E-2</v>
      </c>
      <c r="I26" s="193">
        <f t="shared" si="11"/>
        <v>7.8413326871892064E-2</v>
      </c>
      <c r="J26" s="194">
        <f t="shared" si="11"/>
        <v>22362.194161238032</v>
      </c>
      <c r="K26" s="194">
        <f t="shared" si="11"/>
        <v>-336.26107185386354</v>
      </c>
      <c r="L26" s="230">
        <f t="shared" si="11"/>
        <v>22025.933089384111</v>
      </c>
      <c r="M26" s="589">
        <f t="shared" si="11"/>
        <v>40076.783663550159</v>
      </c>
      <c r="N26" s="572">
        <f t="shared" si="11"/>
        <v>9.7703468906945312E-3</v>
      </c>
    </row>
    <row r="27" spans="1:14">
      <c r="A27" s="486" t="s">
        <v>7</v>
      </c>
      <c r="B27" s="188">
        <f t="shared" ref="B27:N27" si="12">B9-B43</f>
        <v>-9447</v>
      </c>
      <c r="C27" s="187">
        <f t="shared" si="12"/>
        <v>-450.47208230524302</v>
      </c>
      <c r="D27" s="188">
        <f t="shared" si="12"/>
        <v>206</v>
      </c>
      <c r="E27" s="187">
        <f t="shared" si="12"/>
        <v>59479.802789681533</v>
      </c>
      <c r="F27" s="581"/>
      <c r="G27" s="583"/>
      <c r="H27" s="586">
        <f t="shared" si="12"/>
        <v>3.1861288480125038E-2</v>
      </c>
      <c r="I27" s="193">
        <f t="shared" si="12"/>
        <v>3.6272812756861672E-2</v>
      </c>
      <c r="J27" s="194">
        <f t="shared" si="12"/>
        <v>12766.687004660998</v>
      </c>
      <c r="K27" s="194">
        <f t="shared" si="12"/>
        <v>-7606.7507197440136</v>
      </c>
      <c r="L27" s="230">
        <f t="shared" si="12"/>
        <v>5159.9362849169993</v>
      </c>
      <c r="M27" s="589">
        <f t="shared" si="12"/>
        <v>64395.266992293182</v>
      </c>
      <c r="N27" s="572">
        <f t="shared" si="12"/>
        <v>1.3022639045379675E-2</v>
      </c>
    </row>
    <row r="28" spans="1:14">
      <c r="A28" s="486" t="s">
        <v>0</v>
      </c>
      <c r="B28" s="188">
        <f t="shared" ref="B28:N28" si="13">B10-B44</f>
        <v>378172</v>
      </c>
      <c r="C28" s="187">
        <f t="shared" si="13"/>
        <v>15993.269614163946</v>
      </c>
      <c r="D28" s="188">
        <f t="shared" si="13"/>
        <v>-1105</v>
      </c>
      <c r="E28" s="187">
        <f t="shared" si="13"/>
        <v>-4448.7175867574406</v>
      </c>
      <c r="F28" s="581"/>
      <c r="G28" s="583"/>
      <c r="H28" s="586">
        <f t="shared" si="13"/>
        <v>-9.7645521740834518E-3</v>
      </c>
      <c r="I28" s="193">
        <f t="shared" si="13"/>
        <v>-1.1351763161546291E-2</v>
      </c>
      <c r="J28" s="194">
        <f t="shared" si="13"/>
        <v>15703.284305826004</v>
      </c>
      <c r="K28" s="194">
        <f t="shared" si="13"/>
        <v>-34356.40935303166</v>
      </c>
      <c r="L28" s="230">
        <f t="shared" si="13"/>
        <v>-18653.125047205715</v>
      </c>
      <c r="M28" s="589">
        <f t="shared" si="13"/>
        <v>-8213.5730197993107</v>
      </c>
      <c r="N28" s="572">
        <f t="shared" si="13"/>
        <v>2.712373813235941E-3</v>
      </c>
    </row>
    <row r="29" spans="1:14">
      <c r="A29" s="486" t="s">
        <v>1</v>
      </c>
      <c r="B29" s="188">
        <f t="shared" ref="B29:N29" si="14">B11-B45</f>
        <v>-33252.259999999995</v>
      </c>
      <c r="C29" s="187">
        <f t="shared" si="14"/>
        <v>-1719.5199192919617</v>
      </c>
      <c r="D29" s="188">
        <f t="shared" si="14"/>
        <v>-982</v>
      </c>
      <c r="E29" s="187">
        <f t="shared" si="14"/>
        <v>4830.2311570456222</v>
      </c>
      <c r="F29" s="581"/>
      <c r="G29" s="583"/>
      <c r="H29" s="586">
        <f t="shared" si="14"/>
        <v>-5.7718701560408037E-2</v>
      </c>
      <c r="I29" s="193">
        <f t="shared" si="14"/>
        <v>-5.0732962952961813E-2</v>
      </c>
      <c r="J29" s="194">
        <f t="shared" si="14"/>
        <v>780.47763084403414</v>
      </c>
      <c r="K29" s="194">
        <f t="shared" si="14"/>
        <v>-27305.695039458195</v>
      </c>
      <c r="L29" s="230">
        <f t="shared" si="14"/>
        <v>-26525.217408614175</v>
      </c>
      <c r="M29" s="589">
        <f t="shared" si="14"/>
        <v>-24396.506170860492</v>
      </c>
      <c r="N29" s="572">
        <f t="shared" si="14"/>
        <v>-2.3446823597019772E-3</v>
      </c>
    </row>
    <row r="30" spans="1:14">
      <c r="A30" s="486" t="s">
        <v>4</v>
      </c>
      <c r="B30" s="188">
        <f t="shared" ref="B30:N30" si="15">B12-B46</f>
        <v>65312</v>
      </c>
      <c r="C30" s="187">
        <f t="shared" si="15"/>
        <v>2591.2861500577865</v>
      </c>
      <c r="D30" s="188">
        <f t="shared" si="15"/>
        <v>864</v>
      </c>
      <c r="E30" s="187">
        <f t="shared" si="15"/>
        <v>-20985.55264263507</v>
      </c>
      <c r="F30" s="581"/>
      <c r="G30" s="583"/>
      <c r="H30" s="586">
        <f t="shared" si="15"/>
        <v>-5.3288193946519069E-3</v>
      </c>
      <c r="I30" s="193">
        <f t="shared" si="15"/>
        <v>-1.1837779161457007E-2</v>
      </c>
      <c r="J30" s="194">
        <f t="shared" si="15"/>
        <v>12947.219144935196</v>
      </c>
      <c r="K30" s="194">
        <f t="shared" si="15"/>
        <v>-29281.228129939758</v>
      </c>
      <c r="L30" s="230">
        <f t="shared" si="15"/>
        <v>-16334.008985004504</v>
      </c>
      <c r="M30" s="589">
        <f t="shared" si="15"/>
        <v>-33864.27547758189</v>
      </c>
      <c r="N30" s="572">
        <f t="shared" si="15"/>
        <v>-2.2934177606279416E-3</v>
      </c>
    </row>
    <row r="31" spans="1:14">
      <c r="A31" s="486" t="s">
        <v>17</v>
      </c>
      <c r="B31" s="188">
        <f t="shared" ref="B31:N31" si="16">B13-B47</f>
        <v>-64682.21</v>
      </c>
      <c r="C31" s="187">
        <f t="shared" si="16"/>
        <v>-2968.2938813251958</v>
      </c>
      <c r="D31" s="188">
        <f t="shared" si="16"/>
        <v>-1403</v>
      </c>
      <c r="E31" s="187">
        <f t="shared" si="16"/>
        <v>-5600.211998991681</v>
      </c>
      <c r="F31" s="581"/>
      <c r="G31" s="583"/>
      <c r="H31" s="586">
        <f t="shared" si="16"/>
        <v>-8.5815738449563361E-3</v>
      </c>
      <c r="I31" s="193">
        <f t="shared" si="16"/>
        <v>-5.5273099195572439E-3</v>
      </c>
      <c r="J31" s="194">
        <f t="shared" si="16"/>
        <v>366.12961390456439</v>
      </c>
      <c r="K31" s="194">
        <f t="shared" si="16"/>
        <v>-3901.0532378602657</v>
      </c>
      <c r="L31" s="230">
        <f t="shared" si="16"/>
        <v>-3534.9236239556994</v>
      </c>
      <c r="M31" s="589">
        <f t="shared" si="16"/>
        <v>-13506.429504272586</v>
      </c>
      <c r="N31" s="572">
        <f t="shared" si="16"/>
        <v>-1.9326730188925882E-3</v>
      </c>
    </row>
    <row r="32" spans="1:14">
      <c r="A32" s="486" t="s">
        <v>205</v>
      </c>
      <c r="B32" s="188">
        <f t="shared" ref="B32:N32" si="17">B14-B48</f>
        <v>-15843</v>
      </c>
      <c r="C32" s="187">
        <f t="shared" si="17"/>
        <v>-745.65790873695505</v>
      </c>
      <c r="D32" s="188">
        <f t="shared" si="17"/>
        <v>0</v>
      </c>
      <c r="E32" s="187">
        <f t="shared" si="17"/>
        <v>0</v>
      </c>
      <c r="F32" s="581"/>
      <c r="G32" s="583"/>
      <c r="H32" s="586">
        <f t="shared" si="17"/>
        <v>0</v>
      </c>
      <c r="I32" s="193">
        <f t="shared" si="17"/>
        <v>0</v>
      </c>
      <c r="J32" s="194">
        <f t="shared" si="17"/>
        <v>0</v>
      </c>
      <c r="K32" s="194">
        <f t="shared" si="17"/>
        <v>0</v>
      </c>
      <c r="L32" s="230">
        <f t="shared" si="17"/>
        <v>0</v>
      </c>
      <c r="M32" s="589">
        <f t="shared" si="17"/>
        <v>-745.65790873695505</v>
      </c>
      <c r="N32" s="572">
        <f t="shared" si="17"/>
        <v>-1.1883191853763003E-4</v>
      </c>
    </row>
    <row r="33" spans="1:14">
      <c r="A33" s="517" t="s">
        <v>64</v>
      </c>
      <c r="B33" s="188">
        <f t="shared" ref="B33:N33" si="18">B15-B49</f>
        <v>-568006.96</v>
      </c>
      <c r="C33" s="187">
        <f t="shared" si="18"/>
        <v>-29683.353073073726</v>
      </c>
      <c r="D33" s="188">
        <f t="shared" si="18"/>
        <v>0</v>
      </c>
      <c r="E33" s="187">
        <f t="shared" si="18"/>
        <v>0</v>
      </c>
      <c r="F33" s="582">
        <f t="shared" si="18"/>
        <v>-811</v>
      </c>
      <c r="G33" s="593">
        <f t="shared" si="18"/>
        <v>0</v>
      </c>
      <c r="H33" s="586">
        <f t="shared" si="18"/>
        <v>0</v>
      </c>
      <c r="I33" s="193">
        <f t="shared" si="18"/>
        <v>0</v>
      </c>
      <c r="J33" s="194">
        <f t="shared" si="18"/>
        <v>0</v>
      </c>
      <c r="K33" s="194">
        <f t="shared" si="18"/>
        <v>0</v>
      </c>
      <c r="L33" s="230">
        <f t="shared" si="18"/>
        <v>0</v>
      </c>
      <c r="M33" s="589">
        <f t="shared" si="18"/>
        <v>-223249.35307307373</v>
      </c>
      <c r="N33" s="575">
        <f t="shared" si="18"/>
        <v>-3.5827767570952844E-2</v>
      </c>
    </row>
    <row r="34" spans="1:14" ht="15.75" thickBot="1">
      <c r="A34" s="258" t="s">
        <v>2</v>
      </c>
      <c r="B34" s="332">
        <f>SUM(B24:B33)</f>
        <v>-287209.14999999997</v>
      </c>
      <c r="C34" s="580">
        <f>SUM(C24:C33)</f>
        <v>-19986.978335170825</v>
      </c>
      <c r="D34" s="332">
        <f t="shared" ref="D34:G34" si="19">SUM(D24:D33)</f>
        <v>1334</v>
      </c>
      <c r="E34" s="580">
        <f t="shared" si="19"/>
        <v>108692.68817746411</v>
      </c>
      <c r="F34" s="576">
        <f t="shared" si="19"/>
        <v>-811</v>
      </c>
      <c r="G34" s="584">
        <f t="shared" si="19"/>
        <v>0</v>
      </c>
      <c r="H34" s="587">
        <f>SUM(H24:H33)</f>
        <v>7.3206590213713507E-2</v>
      </c>
      <c r="I34" s="577">
        <f>SUM(I24:I33)</f>
        <v>0.11565085135241543</v>
      </c>
      <c r="J34" s="576">
        <f t="shared" ref="J34:N34" si="20">SUM(J24:J33)</f>
        <v>95414.484395702311</v>
      </c>
      <c r="K34" s="576">
        <f t="shared" si="20"/>
        <v>-123853.27101992568</v>
      </c>
      <c r="L34" s="580">
        <f t="shared" si="20"/>
        <v>-28438.786624223409</v>
      </c>
      <c r="M34" s="584">
        <f t="shared" si="20"/>
        <v>-131965.07678193046</v>
      </c>
      <c r="N34" s="578">
        <f t="shared" si="20"/>
        <v>1.3877787807814457E-16</v>
      </c>
    </row>
    <row r="38" spans="1:14" ht="15.75" thickBot="1">
      <c r="A38" s="50" t="s">
        <v>229</v>
      </c>
    </row>
    <row r="39" spans="1:14">
      <c r="A39" s="510" t="s">
        <v>2</v>
      </c>
      <c r="B39" s="560">
        <v>3464156</v>
      </c>
      <c r="C39" s="559">
        <v>157643</v>
      </c>
      <c r="D39" s="558">
        <v>87204</v>
      </c>
      <c r="E39" s="561">
        <v>1444118</v>
      </c>
      <c r="F39" s="560">
        <v>93566</v>
      </c>
      <c r="G39" s="562">
        <v>100000</v>
      </c>
      <c r="H39" s="563">
        <v>11.265000000000001</v>
      </c>
      <c r="I39" s="564">
        <v>10.59</v>
      </c>
      <c r="J39" s="565">
        <v>1075551.5</v>
      </c>
      <c r="K39" s="565">
        <v>3226654.5</v>
      </c>
      <c r="L39" s="566">
        <f t="shared" ref="L39:L49" si="21">K39+J39</f>
        <v>4302206</v>
      </c>
      <c r="M39" s="567">
        <f t="shared" ref="M39:M49" si="22">C39+D39+F39+G39+L39+E39</f>
        <v>6184737</v>
      </c>
      <c r="N39" s="590">
        <v>1</v>
      </c>
    </row>
    <row r="40" spans="1:14">
      <c r="A40" s="486" t="s">
        <v>6</v>
      </c>
      <c r="B40" s="188">
        <v>188962</v>
      </c>
      <c r="C40" s="187">
        <v>8599.0748009038853</v>
      </c>
      <c r="D40" s="186">
        <v>14191</v>
      </c>
      <c r="E40" s="189">
        <v>106699</v>
      </c>
      <c r="F40" s="569"/>
      <c r="G40" s="570"/>
      <c r="H40" s="192">
        <v>1.1466989642499166</v>
      </c>
      <c r="I40" s="193">
        <v>0.9688805697589481</v>
      </c>
      <c r="J40" s="194">
        <v>109483.69205924937</v>
      </c>
      <c r="K40" s="194">
        <v>295207.06802410522</v>
      </c>
      <c r="L40" s="195">
        <f t="shared" si="21"/>
        <v>404690.7600833546</v>
      </c>
      <c r="M40" s="571">
        <f t="shared" si="22"/>
        <v>534179.83488425845</v>
      </c>
      <c r="N40" s="591">
        <f>M40/(M$50)</f>
        <v>8.6370662953696886E-2</v>
      </c>
    </row>
    <row r="41" spans="1:14">
      <c r="A41" s="486" t="s">
        <v>3</v>
      </c>
      <c r="B41" s="188">
        <v>70665</v>
      </c>
      <c r="C41" s="187">
        <v>3215.7450747021785</v>
      </c>
      <c r="D41" s="186">
        <v>12702</v>
      </c>
      <c r="E41" s="189">
        <v>299116</v>
      </c>
      <c r="F41" s="569"/>
      <c r="G41" s="570"/>
      <c r="H41" s="192">
        <v>2.060670731707317</v>
      </c>
      <c r="I41" s="193">
        <v>2.0170507669831994</v>
      </c>
      <c r="J41" s="194">
        <v>196747.2256097561</v>
      </c>
      <c r="K41" s="194">
        <v>614572.79830168001</v>
      </c>
      <c r="L41" s="195">
        <f t="shared" si="21"/>
        <v>811320.02391143609</v>
      </c>
      <c r="M41" s="571">
        <f t="shared" si="22"/>
        <v>1126353.7689861383</v>
      </c>
      <c r="N41" s="591">
        <f t="shared" ref="N41:N49" si="23">M41/(M$50)</f>
        <v>0.18211829686309025</v>
      </c>
    </row>
    <row r="42" spans="1:14">
      <c r="A42" s="486" t="s">
        <v>5</v>
      </c>
      <c r="B42" s="188">
        <v>334875</v>
      </c>
      <c r="C42" s="187">
        <v>15239.12307211338</v>
      </c>
      <c r="D42" s="186">
        <v>16865</v>
      </c>
      <c r="E42" s="189">
        <v>202744</v>
      </c>
      <c r="F42" s="569"/>
      <c r="G42" s="570"/>
      <c r="H42" s="192">
        <v>1.9439934847978617</v>
      </c>
      <c r="I42" s="193">
        <v>1.5519494156318481</v>
      </c>
      <c r="J42" s="194">
        <v>185607.20005011692</v>
      </c>
      <c r="K42" s="194">
        <v>472861.62093681516</v>
      </c>
      <c r="L42" s="195">
        <f t="shared" si="21"/>
        <v>658468.82098693214</v>
      </c>
      <c r="M42" s="571">
        <f t="shared" si="22"/>
        <v>893316.94405904552</v>
      </c>
      <c r="N42" s="591">
        <f t="shared" si="23"/>
        <v>0.14443895416394351</v>
      </c>
    </row>
    <row r="43" spans="1:14">
      <c r="A43" s="486" t="s">
        <v>7</v>
      </c>
      <c r="B43" s="188">
        <v>18894</v>
      </c>
      <c r="C43" s="187">
        <v>859.80736491081802</v>
      </c>
      <c r="D43" s="186">
        <v>4228</v>
      </c>
      <c r="E43" s="189">
        <v>183567</v>
      </c>
      <c r="F43" s="569"/>
      <c r="G43" s="570"/>
      <c r="H43" s="192">
        <v>1.215074340126963</v>
      </c>
      <c r="I43" s="193">
        <v>1.2193197589481373</v>
      </c>
      <c r="J43" s="194">
        <v>116011.98660764005</v>
      </c>
      <c r="K43" s="194">
        <v>371513.08660518628</v>
      </c>
      <c r="L43" s="195">
        <f t="shared" si="21"/>
        <v>487525.07321282633</v>
      </c>
      <c r="M43" s="571">
        <f t="shared" si="22"/>
        <v>676179.88057773723</v>
      </c>
      <c r="N43" s="591">
        <f t="shared" si="23"/>
        <v>0.10933041786218836</v>
      </c>
    </row>
    <row r="44" spans="1:14">
      <c r="A44" s="486" t="s">
        <v>0</v>
      </c>
      <c r="B44" s="188">
        <v>180409</v>
      </c>
      <c r="C44" s="187">
        <v>8209.8542868739169</v>
      </c>
      <c r="D44" s="186">
        <v>17611</v>
      </c>
      <c r="E44" s="189">
        <v>286988</v>
      </c>
      <c r="F44" s="569"/>
      <c r="G44" s="570"/>
      <c r="H44" s="192">
        <v>2.1428466421650518</v>
      </c>
      <c r="I44" s="193">
        <v>2.0905387143900658</v>
      </c>
      <c r="J44" s="194">
        <v>204593.15758993206</v>
      </c>
      <c r="K44" s="194">
        <v>636963.75356099347</v>
      </c>
      <c r="L44" s="195">
        <f t="shared" si="21"/>
        <v>841556.91115092556</v>
      </c>
      <c r="M44" s="571">
        <f t="shared" si="22"/>
        <v>1154365.7654377995</v>
      </c>
      <c r="N44" s="591">
        <f t="shared" si="23"/>
        <v>0.1866475107086687</v>
      </c>
    </row>
    <row r="45" spans="1:14">
      <c r="A45" s="486" t="s">
        <v>1</v>
      </c>
      <c r="B45" s="188">
        <v>128011</v>
      </c>
      <c r="C45" s="187">
        <v>5825.3837509049827</v>
      </c>
      <c r="D45" s="186">
        <v>12201</v>
      </c>
      <c r="E45" s="189">
        <v>119319</v>
      </c>
      <c r="F45" s="569"/>
      <c r="G45" s="570"/>
      <c r="H45" s="192">
        <v>0.86441530237220188</v>
      </c>
      <c r="I45" s="193">
        <v>0.84801223520818114</v>
      </c>
      <c r="J45" s="194">
        <v>82532.017318186874</v>
      </c>
      <c r="K45" s="194">
        <v>258379.83897918189</v>
      </c>
      <c r="L45" s="195">
        <f t="shared" si="21"/>
        <v>340911.85629736877</v>
      </c>
      <c r="M45" s="571">
        <f t="shared" si="22"/>
        <v>478257.24004827376</v>
      </c>
      <c r="N45" s="591">
        <f t="shared" si="23"/>
        <v>7.7328630150040947E-2</v>
      </c>
    </row>
    <row r="46" spans="1:14">
      <c r="A46" s="486" t="s">
        <v>4</v>
      </c>
      <c r="B46" s="188">
        <v>109616</v>
      </c>
      <c r="C46" s="187">
        <v>4988.2843289967313</v>
      </c>
      <c r="D46" s="186">
        <v>5009</v>
      </c>
      <c r="E46" s="189">
        <v>231262</v>
      </c>
      <c r="F46" s="569"/>
      <c r="G46" s="570"/>
      <c r="H46" s="192">
        <v>1.7307124958235884</v>
      </c>
      <c r="I46" s="193">
        <v>1.7395370708546383</v>
      </c>
      <c r="J46" s="194">
        <v>165243.71246798083</v>
      </c>
      <c r="K46" s="194">
        <v>530017.48041453608</v>
      </c>
      <c r="L46" s="195">
        <f t="shared" si="21"/>
        <v>695261.19288251689</v>
      </c>
      <c r="M46" s="571">
        <f t="shared" si="22"/>
        <v>936520.47721151367</v>
      </c>
      <c r="N46" s="591">
        <f t="shared" si="23"/>
        <v>0.15142446270738977</v>
      </c>
    </row>
    <row r="47" spans="1:14">
      <c r="A47" s="486" t="s">
        <v>17</v>
      </c>
      <c r="B47" s="188">
        <v>76076</v>
      </c>
      <c r="C47" s="187">
        <v>3461.9829095456439</v>
      </c>
      <c r="D47" s="186">
        <v>4397</v>
      </c>
      <c r="E47" s="189">
        <v>14423</v>
      </c>
      <c r="F47" s="569"/>
      <c r="G47" s="570"/>
      <c r="H47" s="192">
        <v>0.1605880387570999</v>
      </c>
      <c r="I47" s="193">
        <v>0.15471146822498175</v>
      </c>
      <c r="J47" s="194">
        <v>15332.508297137765</v>
      </c>
      <c r="K47" s="194">
        <v>47138.853177501827</v>
      </c>
      <c r="L47" s="195">
        <f t="shared" si="21"/>
        <v>62471.361474639591</v>
      </c>
      <c r="M47" s="571">
        <f t="shared" si="22"/>
        <v>84753.344384185242</v>
      </c>
      <c r="N47" s="591">
        <f t="shared" si="23"/>
        <v>1.3703629496967332E-2</v>
      </c>
    </row>
    <row r="48" spans="1:14">
      <c r="A48" s="486" t="s">
        <v>205</v>
      </c>
      <c r="B48" s="188">
        <v>27184</v>
      </c>
      <c r="C48" s="187">
        <v>1237.0595642921394</v>
      </c>
      <c r="D48" s="186">
        <v>0</v>
      </c>
      <c r="E48" s="189">
        <v>0</v>
      </c>
      <c r="F48" s="569"/>
      <c r="G48" s="570"/>
      <c r="H48" s="192">
        <v>0</v>
      </c>
      <c r="I48" s="193">
        <v>0</v>
      </c>
      <c r="J48" s="194">
        <v>0</v>
      </c>
      <c r="K48" s="194">
        <v>0</v>
      </c>
      <c r="L48" s="195">
        <f t="shared" si="21"/>
        <v>0</v>
      </c>
      <c r="M48" s="571">
        <f t="shared" si="22"/>
        <v>1237.0595642921394</v>
      </c>
      <c r="N48" s="591">
        <f t="shared" si="23"/>
        <v>2.0001813566076284E-4</v>
      </c>
    </row>
    <row r="49" spans="1:14">
      <c r="A49" s="517" t="s">
        <v>64</v>
      </c>
      <c r="B49" s="188">
        <v>2329464</v>
      </c>
      <c r="C49" s="187">
        <v>106006.68484675632</v>
      </c>
      <c r="D49" s="186">
        <v>0</v>
      </c>
      <c r="E49" s="189">
        <v>0</v>
      </c>
      <c r="F49" s="573">
        <v>93566</v>
      </c>
      <c r="G49" s="574">
        <v>100000</v>
      </c>
      <c r="H49" s="192">
        <v>0</v>
      </c>
      <c r="I49" s="193">
        <v>0</v>
      </c>
      <c r="J49" s="194">
        <v>0</v>
      </c>
      <c r="K49" s="194">
        <v>0</v>
      </c>
      <c r="L49" s="195">
        <f t="shared" si="21"/>
        <v>0</v>
      </c>
      <c r="M49" s="571">
        <f t="shared" si="22"/>
        <v>299572.68484675634</v>
      </c>
      <c r="N49" s="591">
        <f t="shared" si="23"/>
        <v>4.8437416958353498E-2</v>
      </c>
    </row>
    <row r="50" spans="1:14" ht="15.75" thickBot="1">
      <c r="A50" s="258" t="s">
        <v>2</v>
      </c>
      <c r="B50" s="332">
        <f>SUM(B40:B49)</f>
        <v>3464156</v>
      </c>
      <c r="C50" s="580">
        <f>SUM(C40:C49)</f>
        <v>157643</v>
      </c>
      <c r="D50" s="576">
        <f t="shared" ref="D50:G50" si="24">SUM(D40:D49)</f>
        <v>87204</v>
      </c>
      <c r="E50" s="584">
        <f t="shared" si="24"/>
        <v>1444118</v>
      </c>
      <c r="F50" s="332">
        <f t="shared" si="24"/>
        <v>93566</v>
      </c>
      <c r="G50" s="580">
        <f t="shared" si="24"/>
        <v>100000</v>
      </c>
      <c r="H50" s="577">
        <f>SUM(H40:H49)</f>
        <v>11.265000000000001</v>
      </c>
      <c r="I50" s="577">
        <f>SUM(I40:I49)</f>
        <v>10.589999999999998</v>
      </c>
      <c r="J50" s="576">
        <f t="shared" ref="J50:N50" si="25">SUM(J40:J49)</f>
        <v>1075551.5</v>
      </c>
      <c r="K50" s="576">
        <f t="shared" si="25"/>
        <v>3226654.5</v>
      </c>
      <c r="L50" s="584">
        <f t="shared" si="25"/>
        <v>4302206</v>
      </c>
      <c r="M50" s="579">
        <f t="shared" si="25"/>
        <v>6184737</v>
      </c>
      <c r="N50" s="592">
        <f t="shared" si="25"/>
        <v>0.99999999999999989</v>
      </c>
    </row>
  </sheetData>
  <sheetProtection algorithmName="SHA-512" hashValue="tSJ/Bp9ieWuUnRtqZI99XN9IV3nILttx40rv2iqC34WFGxuAiKd6jomJSVfZc5iks/TCoiBsLlMWWAvAVban2Q==" saltValue="qPFgjfBttdUmHT9JsL7fWA==" spinCount="100000" sheet="1" objects="1" scenarios="1"/>
  <mergeCells count="8">
    <mergeCell ref="D1:E1"/>
    <mergeCell ref="H1:J1"/>
    <mergeCell ref="C2:D2"/>
    <mergeCell ref="E2:G2"/>
    <mergeCell ref="A3:A4"/>
    <mergeCell ref="B3:C3"/>
    <mergeCell ref="F3:G3"/>
    <mergeCell ref="H3:L3"/>
  </mergeCells>
  <conditionalFormatting sqref="A23:XFD34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1. RD2021</vt:lpstr>
      <vt:lpstr>2. RD rozdiel</vt:lpstr>
      <vt:lpstr>3. R-STU</vt:lpstr>
      <vt:lpstr>4. Aktivity</vt:lpstr>
      <vt:lpstr>5. TM_%</vt:lpstr>
      <vt:lpstr>T5b-studenti</vt:lpstr>
      <vt:lpstr>T6b-vykon</vt:lpstr>
      <vt:lpstr>T7-mzdy</vt:lpstr>
      <vt:lpstr>T8-TaS</vt:lpstr>
      <vt:lpstr>T11-Sumar_SD</vt:lpstr>
      <vt:lpstr>T14-VVZ</vt:lpstr>
      <vt:lpstr>T14aa-VVZ-6r</vt:lpstr>
      <vt:lpstr>T14c-vstup_DG-ZG</vt:lpstr>
      <vt:lpstr>T15-Soc_stip</vt:lpstr>
      <vt:lpstr>T16-KIVC</vt:lpstr>
      <vt:lpstr>T16a-KKS</vt:lpstr>
      <vt:lpstr>T18-Mot_stip</vt:lpstr>
      <vt:lpstr>T20-Publik</vt:lpstr>
      <vt:lpstr>T21-Mobility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Michalova</cp:lastModifiedBy>
  <cp:lastPrinted>2021-05-13T08:54:20Z</cp:lastPrinted>
  <dcterms:created xsi:type="dcterms:W3CDTF">2021-02-12T17:09:17Z</dcterms:created>
  <dcterms:modified xsi:type="dcterms:W3CDTF">2021-05-13T08:59:13Z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