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úpravy" sheetId="1" r:id="rId1"/>
    <sheet name="súhrnná po A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MP98">#REF!</definedName>
    <definedName name="__par18">#REF!</definedName>
    <definedName name="__par1801">#REF!</definedName>
    <definedName name="__pie97">#REF!</definedName>
    <definedName name="__pie98">#REF!</definedName>
    <definedName name="__Pr2">'[3]vyk95'!#REF!</definedName>
    <definedName name="__Pr3">'[3]vyk95'!#REF!</definedName>
    <definedName name="_pie99">'[10]VYR99-E'!$AK$45</definedName>
    <definedName name="AU_paiDOK2000" localSheetId="1">#REF!</definedName>
    <definedName name="AU_paiDOK2000">#REF!</definedName>
    <definedName name="AU_pD2001_DS_bKA" localSheetId="1">#REF!</definedName>
    <definedName name="AU_pD2001_DS_bKA">#REF!</definedName>
    <definedName name="AU_pP2000_DS_bKA" localSheetId="1">#REF!</definedName>
    <definedName name="AU_pP2000_DS_bKA">#REF!</definedName>
    <definedName name="AU_pP2001_DS_bKA" localSheetId="1">#REF!</definedName>
    <definedName name="AU_pP2001_DS_bKA">#REF!</definedName>
    <definedName name="AU_pP2001_DS_sKA" localSheetId="1">#REF!</definedName>
    <definedName name="AU_pP2001_DS_sKA">#REF!</definedName>
    <definedName name="AU_ppa2000_bDOK" localSheetId="1">#REF!</definedName>
    <definedName name="AU_ppa2000_bDOK">#REF!</definedName>
    <definedName name="AU_pps_bKA" localSheetId="1">#REF!</definedName>
    <definedName name="AU_pps_bKA">#REF!</definedName>
    <definedName name="AU_pps_bKA_bDOK" localSheetId="1">#REF!</definedName>
    <definedName name="AU_pps_bKA_bDOK">#REF!</definedName>
    <definedName name="AU_pps_sKA" localSheetId="1">#REF!</definedName>
    <definedName name="AU_pps_sKA">#REF!</definedName>
    <definedName name="AU_pps_sKA_bDOK" localSheetId="1">#REF!</definedName>
    <definedName name="AU_pps_sKA_bDOK">#REF!</definedName>
    <definedName name="AU_vKEN_aiDOK" localSheetId="1">#REF!</definedName>
    <definedName name="AU_vKEN_aiDOK">#REF!</definedName>
    <definedName name="AU_vKEN_bKA" localSheetId="1">#REF!</definedName>
    <definedName name="AU_vKEN_bKA">#REF!</definedName>
    <definedName name="AU_vKEN_bKA_bDOK" localSheetId="1">#REF!</definedName>
    <definedName name="AU_vKEN_bKA_bDOK">#REF!</definedName>
    <definedName name="AU_vKEN_bKA_PDS" localSheetId="1">#REF!</definedName>
    <definedName name="AU_vKEN_bKA_PDS">#REF!</definedName>
    <definedName name="AU_vKEN_sKA" localSheetId="1">#REF!</definedName>
    <definedName name="AU_vKEN_sKA">#REF!</definedName>
    <definedName name="AU_vKEN_sKA_bDOK" localSheetId="1">#REF!</definedName>
    <definedName name="AU_vKEN_sKA_bDOK">#REF!</definedName>
    <definedName name="AU_vKEN_sKA_PDS" localSheetId="1">#REF!</definedName>
    <definedName name="AU_vKEN_sKA_PDS">#REF!</definedName>
    <definedName name="AU_vKPN_aiDOK" localSheetId="1">#REF!</definedName>
    <definedName name="AU_vKPN_aiDOK">#REF!</definedName>
    <definedName name="AU_vKPN_bKA" localSheetId="1">#REF!</definedName>
    <definedName name="AU_vKPN_bKA">#REF!</definedName>
    <definedName name="AU_vKPN_bKA_bDOK" localSheetId="1">#REF!</definedName>
    <definedName name="AU_vKPN_bKA_bDOK">#REF!</definedName>
    <definedName name="AU_vKPN_bKA_PDS" localSheetId="1">#REF!</definedName>
    <definedName name="AU_vKPN_bKA_PDS">#REF!</definedName>
    <definedName name="AU_vKPN_sKA" localSheetId="1">#REF!</definedName>
    <definedName name="AU_vKPN_sKA">#REF!</definedName>
    <definedName name="AU_vKPN_sKA_bDOK" localSheetId="1">#REF!</definedName>
    <definedName name="AU_vKPN_sKA_bDOK">#REF!</definedName>
    <definedName name="AU_vKPN_sKA_PDS" localSheetId="1">#REF!</definedName>
    <definedName name="AU_vKPN_sKA_PDS">#REF!</definedName>
    <definedName name="AV" localSheetId="1">'[3]Mz01-96'!#REF!</definedName>
    <definedName name="AV" localSheetId="0">'[3]Mz01-96'!#REF!</definedName>
    <definedName name="AV">'[3]Mz01-96'!#REF!</definedName>
    <definedName name="AVN" localSheetId="1">'[3]Pr-6'!#REF!</definedName>
    <definedName name="AVN" localSheetId="0">'[3]Pr-6'!#REF!</definedName>
    <definedName name="AVN">'[3]Pr-6'!#REF!</definedName>
    <definedName name="avnoi" localSheetId="1">'[4]Pr-6'!#REF!</definedName>
    <definedName name="avnoi" localSheetId="0">'[5]Pr-6'!#REF!</definedName>
    <definedName name="avnoi">'[5]Pr-6'!#REF!</definedName>
    <definedName name="c.1" localSheetId="1">'[3]vyk95'!#REF!</definedName>
    <definedName name="c.1" localSheetId="0">'[3]vyk95'!#REF!</definedName>
    <definedName name="c.1">'[3]vyk95'!#REF!</definedName>
    <definedName name="c.2" localSheetId="1">'[3]vyk95'!#REF!</definedName>
    <definedName name="c.2" localSheetId="0">'[3]vyk95'!#REF!</definedName>
    <definedName name="c.2">'[3]vyk95'!#REF!</definedName>
    <definedName name="c.3" localSheetId="1">'[3]vyk95'!#REF!</definedName>
    <definedName name="c.3" localSheetId="0">'[3]vyk95'!#REF!</definedName>
    <definedName name="c.3">'[3]vyk95'!#REF!</definedName>
    <definedName name="c.4" localSheetId="1">'[3]vyk95'!#REF!</definedName>
    <definedName name="c.4" localSheetId="0">'[3]vyk95'!#REF!</definedName>
    <definedName name="c.4">'[3]vyk95'!#REF!</definedName>
    <definedName name="c.5" localSheetId="1">'[3]vyk95'!#REF!</definedName>
    <definedName name="c.5" localSheetId="0">'[3]vyk95'!#REF!</definedName>
    <definedName name="c.5">'[3]vyk95'!#REF!</definedName>
    <definedName name="c.6" localSheetId="1">'[3]vyk95'!#REF!</definedName>
    <definedName name="c.6" localSheetId="0">'[3]vyk95'!#REF!</definedName>
    <definedName name="c.6">'[3]vyk95'!#REF!</definedName>
    <definedName name="cdva" localSheetId="1">'[3]Pr-6'!#REF!</definedName>
    <definedName name="cdva" localSheetId="0">'[3]Pr-6'!#REF!</definedName>
    <definedName name="cdva">'[3]Pr-6'!#REF!</definedName>
    <definedName name="cjd" localSheetId="1">'[3]Pr-6'!#REF!</definedName>
    <definedName name="cjd" localSheetId="0">'[3]Pr-6'!#REF!</definedName>
    <definedName name="cjd">'[3]Pr-6'!#REF!</definedName>
    <definedName name="cpat" localSheetId="1">'[3]Pr-6'!#REF!</definedName>
    <definedName name="cpat" localSheetId="0">'[3]Pr-6'!#REF!</definedName>
    <definedName name="cpat">'[3]Pr-6'!#REF!</definedName>
    <definedName name="cse" localSheetId="1">'[3]Pr-6'!#REF!</definedName>
    <definedName name="cse" localSheetId="0">'[3]Pr-6'!#REF!</definedName>
    <definedName name="cse">'[3]Pr-6'!#REF!</definedName>
    <definedName name="cst" localSheetId="1">'[3]Pr-6'!#REF!</definedName>
    <definedName name="cst" localSheetId="0">'[3]Pr-6'!#REF!</definedName>
    <definedName name="cst">'[3]Pr-6'!#REF!</definedName>
    <definedName name="ctri" localSheetId="1">'[3]Pr-6'!#REF!</definedName>
    <definedName name="ctri" localSheetId="0">'[3]Pr-6'!#REF!</definedName>
    <definedName name="ctri">'[3]Pr-6'!#REF!</definedName>
    <definedName name="Cv" localSheetId="1">'[3]vyk95'!#REF!</definedName>
    <definedName name="Cv" localSheetId="0">'[3]vyk95'!#REF!</definedName>
    <definedName name="Cv">'[3]vyk95'!#REF!</definedName>
    <definedName name="cvn" localSheetId="1">'[3]Pr-6'!#REF!</definedName>
    <definedName name="cvn" localSheetId="0">'[3]Pr-6'!#REF!</definedName>
    <definedName name="cvn">'[3]Pr-6'!#REF!</definedName>
    <definedName name="č2" localSheetId="1">'[4]Pr-6'!#REF!</definedName>
    <definedName name="č2" localSheetId="0">'[5]Pr-6'!#REF!</definedName>
    <definedName name="č2">'[5]Pr-6'!#REF!</definedName>
    <definedName name="DATABASE" localSheetId="1">'[6]T3 - data_odbory'!#REF!</definedName>
    <definedName name="denní" localSheetId="1">#REF!</definedName>
    <definedName name="denní">#REF!</definedName>
    <definedName name="dfghjk" localSheetId="1">'[4]Pr-6'!#REF!</definedName>
    <definedName name="dfghjk" localSheetId="0">'[5]Pr-6'!#REF!</definedName>
    <definedName name="dfghjk">'[5]Pr-6'!#REF!</definedName>
    <definedName name="do">'[8]T2-KPN'!$D$35</definedName>
    <definedName name="doce">'[9]T3-vstupy'!$C$53</definedName>
    <definedName name="dok">'[8]T2-KPN'!$D$34</definedName>
    <definedName name="dokpo" localSheetId="1">#REF!</definedName>
    <definedName name="dokpo">#REF!</definedName>
    <definedName name="dokpred" localSheetId="1">#REF!</definedName>
    <definedName name="dokpred">#REF!</definedName>
    <definedName name="dotácia2010">'[17]T3-vstupy'!#REF!</definedName>
    <definedName name="ertz" localSheetId="1">'[4]Pr-6'!#REF!</definedName>
    <definedName name="ertz" localSheetId="0">'[5]Pr-6'!#REF!</definedName>
    <definedName name="ertz">'[5]Pr-6'!#REF!</definedName>
    <definedName name="EU_paiDOK2000" localSheetId="1">#REF!</definedName>
    <definedName name="EU_paiDOK2000">#REF!</definedName>
    <definedName name="EU_pD2001_DS_bKA" localSheetId="1">#REF!</definedName>
    <definedName name="EU_pD2001_DS_bKA">#REF!</definedName>
    <definedName name="EU_pP2000_DS_bKA" localSheetId="1">#REF!</definedName>
    <definedName name="EU_pP2000_DS_bKA">#REF!</definedName>
    <definedName name="EU_pP2001_DS_bKA" localSheetId="1">#REF!</definedName>
    <definedName name="EU_pP2001_DS_bKA">#REF!</definedName>
    <definedName name="EU_pP2001_DS_sKA" localSheetId="1">#REF!</definedName>
    <definedName name="EU_pP2001_DS_sKA">#REF!</definedName>
    <definedName name="EU_ppa2000_bDOK" localSheetId="1">#REF!</definedName>
    <definedName name="EU_ppa2000_bDOK">#REF!</definedName>
    <definedName name="EU_pps_bKA" localSheetId="1">#REF!</definedName>
    <definedName name="EU_pps_bKA">#REF!</definedName>
    <definedName name="EU_pps_bKA_bDOK" localSheetId="1">#REF!</definedName>
    <definedName name="EU_pps_bKA_bDOK">#REF!</definedName>
    <definedName name="EU_pps_sKA" localSheetId="1">#REF!</definedName>
    <definedName name="EU_pps_sKA">#REF!</definedName>
    <definedName name="EU_pps_sKA_bDOK" localSheetId="1">#REF!</definedName>
    <definedName name="EU_pps_sKA_bDOK">#REF!</definedName>
    <definedName name="EU_vKEN_aiDOK" localSheetId="1">#REF!</definedName>
    <definedName name="EU_vKEN_aiDOK">#REF!</definedName>
    <definedName name="EU_vKEN_bKA" localSheetId="1">#REF!</definedName>
    <definedName name="EU_vKEN_bKA">#REF!</definedName>
    <definedName name="EU_vKEN_bKA_bDOK" localSheetId="1">#REF!</definedName>
    <definedName name="EU_vKEN_bKA_bDOK">#REF!</definedName>
    <definedName name="EU_vKEN_bKA_PDS" localSheetId="1">#REF!</definedName>
    <definedName name="EU_vKEN_bKA_PDS">#REF!</definedName>
    <definedName name="EU_vKEN_sKA" localSheetId="1">#REF!</definedName>
    <definedName name="EU_vKEN_sKA">#REF!</definedName>
    <definedName name="EU_vKEN_sKA_bDOK" localSheetId="1">#REF!</definedName>
    <definedName name="EU_vKEN_sKA_bDOK">#REF!</definedName>
    <definedName name="EU_vKEN_sKA_PDS" localSheetId="1">#REF!</definedName>
    <definedName name="EU_vKEN_sKA_PDS">#REF!</definedName>
    <definedName name="EU_vKPN_aiDOK" localSheetId="1">#REF!</definedName>
    <definedName name="EU_vKPN_aiDOK">#REF!</definedName>
    <definedName name="EU_vKPN_bKA" localSheetId="1">#REF!</definedName>
    <definedName name="EU_vKPN_bKA">#REF!</definedName>
    <definedName name="EU_vKPN_bKA_bDOK" localSheetId="1">#REF!</definedName>
    <definedName name="EU_vKPN_bKA_bDOK">#REF!</definedName>
    <definedName name="EU_vKPN_bKA_PDS" localSheetId="1">#REF!</definedName>
    <definedName name="EU_vKPN_bKA_PDS">#REF!</definedName>
    <definedName name="EU_vKPN_sKA" localSheetId="1">#REF!</definedName>
    <definedName name="EU_vKPN_sKA">#REF!</definedName>
    <definedName name="EU_vKPN_sKA_bDOK" localSheetId="1">#REF!</definedName>
    <definedName name="EU_vKPN_sKA_bDOK">#REF!</definedName>
    <definedName name="EU_vKPN_sKA_PDS" localSheetId="1">#REF!</definedName>
    <definedName name="EU_vKPN_sKA_PDS">#REF!</definedName>
    <definedName name="externeplat" localSheetId="1">#REF!</definedName>
    <definedName name="externeplat">#REF!</definedName>
    <definedName name="exterplat" localSheetId="1">#REF!</definedName>
    <definedName name="exterplat">#REF!</definedName>
    <definedName name="FEI" localSheetId="1">#REF!</definedName>
    <definedName name="FEI">#REF!</definedName>
    <definedName name="fein">'[10]VYR99-E'!$J$2</definedName>
    <definedName name="FEL">#REF!</definedName>
    <definedName name="fgh" localSheetId="1">'[4]Pr-6'!#REF!</definedName>
    <definedName name="fgh" localSheetId="0">'[5]Pr-6'!#REF!</definedName>
    <definedName name="fgh">'[5]Pr-6'!#REF!</definedName>
    <definedName name="FV" localSheetId="1">'[3]Mz01-96'!#REF!</definedName>
    <definedName name="FV" localSheetId="0">'[3]Mz01-96'!#REF!</definedName>
    <definedName name="FV">'[3]Mz01-96'!#REF!</definedName>
    <definedName name="fvn" localSheetId="1">'[3]Pr-6'!#REF!</definedName>
    <definedName name="fvn" localSheetId="0">'[3]Pr-6'!#REF!</definedName>
    <definedName name="fvn">'[3]Pr-6'!#REF!</definedName>
    <definedName name="Gon" localSheetId="1">'[12]vyk95'!#REF!</definedName>
    <definedName name="Gon" localSheetId="0">'[12]vyk95'!#REF!</definedName>
    <definedName name="Gon">'[12]vyk95'!#REF!</definedName>
    <definedName name="GV" localSheetId="1">'[3]Mz01-96'!#REF!</definedName>
    <definedName name="GV" localSheetId="0">'[3]Mz01-96'!#REF!</definedName>
    <definedName name="GV">'[3]Mz01-96'!#REF!</definedName>
    <definedName name="gvn" localSheetId="1">'[3]Pr-6'!#REF!</definedName>
    <definedName name="gvn" localSheetId="0">'[3]Pr-6'!#REF!</definedName>
    <definedName name="gvn">'[3]Pr-6'!#REF!</definedName>
    <definedName name="hvuk" localSheetId="1">'[3]Mz01-96'!#REF!</definedName>
    <definedName name="hvuk" localSheetId="0">'[3]Mz01-96'!#REF!</definedName>
    <definedName name="hvuk">'[3]Mz01-96'!#REF!</definedName>
    <definedName name="hvukn" localSheetId="1">'[3]Pr-6'!#REF!</definedName>
    <definedName name="hvukn" localSheetId="0">'[3]Pr-6'!#REF!</definedName>
    <definedName name="hvukn">'[3]Pr-6'!#REF!</definedName>
    <definedName name="ka_akredit" localSheetId="1">#REF!</definedName>
    <definedName name="ka_akredit">#REF!</definedName>
    <definedName name="ka_neakredit" localSheetId="1">#REF!</definedName>
    <definedName name="ka_neakredit">#REF!</definedName>
    <definedName name="Kap" localSheetId="1">#REF!</definedName>
    <definedName name="Kap">#REF!</definedName>
    <definedName name="kden">'[13]koeficienty'!$D$31</definedName>
    <definedName name="ken_au" localSheetId="1">#REF!</definedName>
    <definedName name="ken_au">#REF!</definedName>
    <definedName name="ken_eu" localSheetId="1">#REF!</definedName>
    <definedName name="ken_eu">#REF!</definedName>
    <definedName name="ken_pu" localSheetId="1">#REF!</definedName>
    <definedName name="ken_pu">#REF!</definedName>
    <definedName name="ken_stu" localSheetId="1">#REF!</definedName>
    <definedName name="ken_stu">#REF!</definedName>
    <definedName name="ken_tru" localSheetId="1">#REF!</definedName>
    <definedName name="ken_tru">#REF!</definedName>
    <definedName name="ken_tuke" localSheetId="1">#REF!</definedName>
    <definedName name="ken_tuke">#REF!</definedName>
    <definedName name="ken_tuzvo" localSheetId="1">#REF!</definedName>
    <definedName name="ken_tuzvo">#REF!</definedName>
    <definedName name="ken_tvu" localSheetId="1">#REF!</definedName>
    <definedName name="ken_tvu">#REF!</definedName>
    <definedName name="ken_ucm" localSheetId="1">#REF!</definedName>
    <definedName name="ken_ucm">#REF!</definedName>
    <definedName name="ken_uk" localSheetId="1">#REF!</definedName>
    <definedName name="ken_uk">#REF!</definedName>
    <definedName name="ken_ukf" localSheetId="1">#REF!</definedName>
    <definedName name="ken_ukf">#REF!</definedName>
    <definedName name="ken_umb" localSheetId="1">#REF!</definedName>
    <definedName name="ken_umb">#REF!</definedName>
    <definedName name="ken_upjs" localSheetId="1">#REF!</definedName>
    <definedName name="ken_upjs">#REF!</definedName>
    <definedName name="ken_vsmu" localSheetId="1">#REF!</definedName>
    <definedName name="ken_vsmu">#REF!</definedName>
    <definedName name="ken_zu" localSheetId="1">#REF!</definedName>
    <definedName name="ken_zu">#REF!</definedName>
    <definedName name="kensk1" localSheetId="1">#REF!</definedName>
    <definedName name="kensk1">#REF!</definedName>
    <definedName name="kensk10" localSheetId="1">#REF!</definedName>
    <definedName name="kensk10">#REF!</definedName>
    <definedName name="kensk11" localSheetId="1">#REF!</definedName>
    <definedName name="kensk11">#REF!</definedName>
    <definedName name="kensk12" localSheetId="1">#REF!</definedName>
    <definedName name="kensk12">#REF!</definedName>
    <definedName name="kensk13" localSheetId="1">#REF!</definedName>
    <definedName name="kensk13">#REF!</definedName>
    <definedName name="kensk14" localSheetId="1">#REF!</definedName>
    <definedName name="kensk14">#REF!</definedName>
    <definedName name="kensk14a" localSheetId="1">#REF!</definedName>
    <definedName name="kensk14a">#REF!</definedName>
    <definedName name="kensk15" localSheetId="1">#REF!</definedName>
    <definedName name="kensk15">#REF!</definedName>
    <definedName name="kensk16" localSheetId="1">#REF!</definedName>
    <definedName name="kensk16">#REF!</definedName>
    <definedName name="kensk17">'[6]T2 - KEN'!$B$18</definedName>
    <definedName name="kensk18">'[6]T2 - KEN'!$B$19</definedName>
    <definedName name="kensk1a" localSheetId="1">'[14]T2-KPN'!#REF!</definedName>
    <definedName name="kensk1a" localSheetId="0">'[14]T2-KPN'!#REF!</definedName>
    <definedName name="kensk1a">'[14]T2-KPN'!#REF!</definedName>
    <definedName name="kensk2" localSheetId="1">#REF!</definedName>
    <definedName name="kensk2">#REF!</definedName>
    <definedName name="kensk3" localSheetId="1">#REF!</definedName>
    <definedName name="kensk3">#REF!</definedName>
    <definedName name="kensk4">'[6]T2 - KEN'!$B$5</definedName>
    <definedName name="kensk4a" localSheetId="1">#REF!</definedName>
    <definedName name="kensk4a">#REF!</definedName>
    <definedName name="kensk5" localSheetId="1">#REF!</definedName>
    <definedName name="kensk5">#REF!</definedName>
    <definedName name="kensk6">'[6]T2 - KEN'!$B$7</definedName>
    <definedName name="kensk7" localSheetId="1">#REF!</definedName>
    <definedName name="kensk7">#REF!</definedName>
    <definedName name="kensk8">'[6]T2 - KEN'!$B$9</definedName>
    <definedName name="kensk9">'[6]T2 - KEN'!$B$10</definedName>
    <definedName name="kext">'[13]koeficienty'!$D$32</definedName>
    <definedName name="kint">'[13]koeficienty'!$D$33</definedName>
    <definedName name="kintds">'[13]koeficienty'!$D$34</definedName>
    <definedName name="KKS">'[15]T3-vstupy'!$C$52</definedName>
    <definedName name="KKS_doc" localSheetId="1">'[16]T3-vstupy'!$C$30</definedName>
    <definedName name="KKS_doc">'[17]T3-vstupy'!$C$49</definedName>
    <definedName name="KKS_ost" localSheetId="1">'[16]T3-vstupy'!$C$32</definedName>
    <definedName name="KKS_ost">'[17]T3-vstupy'!$C$51</definedName>
    <definedName name="KKS_phd" localSheetId="1">'[16]T3-vstupy'!$C$31</definedName>
    <definedName name="KKS_phd">'[17]T3-vstupy'!$C$50</definedName>
    <definedName name="KKS_prof" localSheetId="1">'[16]T3-vstupy'!$C$29</definedName>
    <definedName name="KKS_prof">'[17]T3-vstupy'!$C$48</definedName>
    <definedName name="KLs" localSheetId="1">'[3]vyk95'!#REF!</definedName>
    <definedName name="KLs" localSheetId="0">'[3]vyk95'!#REF!</definedName>
    <definedName name="KLs">'[3]vyk95'!#REF!</definedName>
    <definedName name="klsn" localSheetId="1">'[3]Pr-6'!#REF!</definedName>
    <definedName name="klsn" localSheetId="0">'[3]Pr-6'!#REF!</definedName>
    <definedName name="klsn">'[3]Pr-6'!#REF!</definedName>
    <definedName name="kmp" localSheetId="1">'[17]T12-špecifiká'!#REF!</definedName>
    <definedName name="kmp" localSheetId="0">'[17]T12-špecifiká'!#REF!</definedName>
    <definedName name="kmp">'[17]T12-špecifiká'!#REF!</definedName>
    <definedName name="kmt" localSheetId="1">'[17]T12-špecifiká'!#REF!</definedName>
    <definedName name="kmt" localSheetId="0">'[17]T12-špecifiká'!#REF!</definedName>
    <definedName name="kmt">'[17]T12-špecifiká'!#REF!</definedName>
    <definedName name="koef_gm_mzdy">'[18]T3-vstupy'!$C$44</definedName>
    <definedName name="koef_gm_TaS" localSheetId="1">'[19]T3-vstupy'!$C$70</definedName>
    <definedName name="koef_gm_TaS">'[18]T3-vstupy'!$C$65</definedName>
    <definedName name="koef_udr_kat1">'[18]T3-vstupy'!$C$108</definedName>
    <definedName name="koef_udr_kat2">'[18]T3-vstupy'!$C$109</definedName>
    <definedName name="koef_udr_kat3">'[18]T3-vstupy'!$C$110</definedName>
    <definedName name="kpn_ca_do_1500" localSheetId="1">#REF!</definedName>
    <definedName name="kpn_ca_do_1500">#REF!</definedName>
    <definedName name="kpn_ca_nad">'[20]T2-KPN'!$I$27</definedName>
    <definedName name="kpn_ca_nad_1500" localSheetId="1">#REF!</definedName>
    <definedName name="kpn_ca_nad_1500">#REF!</definedName>
    <definedName name="kpnsk1" localSheetId="1">#REF!</definedName>
    <definedName name="kpnsk1">#REF!</definedName>
    <definedName name="kpnsk10" localSheetId="1">#REF!</definedName>
    <definedName name="kpnsk10">#REF!</definedName>
    <definedName name="kpnsk11" localSheetId="1">#REF!</definedName>
    <definedName name="kpnsk11">#REF!</definedName>
    <definedName name="kpnsk12" localSheetId="1">#REF!</definedName>
    <definedName name="kpnsk12">#REF!</definedName>
    <definedName name="kpnsk13" localSheetId="1">#REF!</definedName>
    <definedName name="kpnsk13">#REF!</definedName>
    <definedName name="kpnsk14" localSheetId="1">#REF!</definedName>
    <definedName name="kpnsk14">#REF!</definedName>
    <definedName name="kpnsk14a" localSheetId="1">#REF!</definedName>
    <definedName name="kpnsk14a">#REF!</definedName>
    <definedName name="kpnsk15" localSheetId="1">#REF!</definedName>
    <definedName name="kpnsk15">#REF!</definedName>
    <definedName name="kpnsk16" localSheetId="1">#REF!</definedName>
    <definedName name="kpnsk16">#REF!</definedName>
    <definedName name="kpnsk17" localSheetId="1">#REF!</definedName>
    <definedName name="kpnsk17">#REF!</definedName>
    <definedName name="kpnsk18" localSheetId="1">#REF!</definedName>
    <definedName name="kpnsk18">#REF!</definedName>
    <definedName name="kpnsk1a" localSheetId="1">'[14]T2-KPN'!#REF!</definedName>
    <definedName name="kpnsk1a" localSheetId="0">'[14]T2-KPN'!#REF!</definedName>
    <definedName name="kpnsk1a">'[14]T2-KPN'!#REF!</definedName>
    <definedName name="kpnsk2" localSheetId="1">#REF!</definedName>
    <definedName name="kpnsk2">#REF!</definedName>
    <definedName name="kpnsk3" localSheetId="1">#REF!</definedName>
    <definedName name="kpnsk3">#REF!</definedName>
    <definedName name="kpnsk4" localSheetId="1">#REF!</definedName>
    <definedName name="kpnsk4">#REF!</definedName>
    <definedName name="kpnsk4a" localSheetId="1">#REF!</definedName>
    <definedName name="kpnsk4a">#REF!</definedName>
    <definedName name="kpnsk5" localSheetId="1">#REF!</definedName>
    <definedName name="kpnsk5">#REF!</definedName>
    <definedName name="kpnsk6" localSheetId="1">#REF!</definedName>
    <definedName name="kpnsk6">#REF!</definedName>
    <definedName name="kpnsk7" localSheetId="1">#REF!</definedName>
    <definedName name="kpnsk7">#REF!</definedName>
    <definedName name="kpnsk8" localSheetId="1">#REF!</definedName>
    <definedName name="kpnsk8">#REF!</definedName>
    <definedName name="kpnsk9" localSheetId="1">#REF!</definedName>
    <definedName name="kpnsk9">#REF!</definedName>
    <definedName name="ksn" localSheetId="1">'[3]Pr-6'!#REF!</definedName>
    <definedName name="ksn" localSheetId="0">'[3]Pr-6'!#REF!</definedName>
    <definedName name="ksn">'[3]Pr-6'!#REF!</definedName>
    <definedName name="KŠ" localSheetId="1">'[3]Mz01-96'!#REF!</definedName>
    <definedName name="KŠ" localSheetId="0">'[3]Mz01-96'!#REF!</definedName>
    <definedName name="KŠ">'[3]Mz01-96'!#REF!</definedName>
    <definedName name="KZp" localSheetId="1">'[3]vyk95'!#REF!</definedName>
    <definedName name="KZp" localSheetId="0">'[3]vyk95'!#REF!</definedName>
    <definedName name="KZp">'[3]vyk95'!#REF!</definedName>
    <definedName name="kzpn" localSheetId="1">'[3]Pr-6'!#REF!</definedName>
    <definedName name="kzpn" localSheetId="0">'[3]Pr-6'!#REF!</definedName>
    <definedName name="kzpn">'[3]Pr-6'!#REF!</definedName>
    <definedName name="KZs" localSheetId="1">'[3]vyk95'!#REF!</definedName>
    <definedName name="KZs" localSheetId="0">'[3]vyk95'!#REF!</definedName>
    <definedName name="KZs">'[3]vyk95'!#REF!</definedName>
    <definedName name="kzsn" localSheetId="1">'[3]Pr-6'!#REF!</definedName>
    <definedName name="kzsn" localSheetId="0">'[3]Pr-6'!#REF!</definedName>
    <definedName name="kzsn">'[3]Pr-6'!#REF!</definedName>
    <definedName name="m">#REF!</definedName>
    <definedName name="mesia" localSheetId="1">#REF!</definedName>
    <definedName name="mesia">#REF!</definedName>
    <definedName name="mesiac">'[21]P-3'!$N$3</definedName>
    <definedName name="MP98" localSheetId="1">#REF!</definedName>
    <definedName name="MP98">#REF!</definedName>
    <definedName name="mp98n">'[10]VYR99-E'!$AA$47</definedName>
    <definedName name="msr">'[22]priem-12'!$P$62</definedName>
    <definedName name="msrn">#REF!</definedName>
    <definedName name="msrnn">'[23]priem-12-98'!$P$62</definedName>
    <definedName name="msrp">'[22]priem-12'!$S$64</definedName>
    <definedName name="msrpn">#REF!</definedName>
    <definedName name="msrpnn">'[23]priem-12-98'!$S$64</definedName>
    <definedName name="Mzstu">'[3]vyk95'!$AA$49</definedName>
    <definedName name="mzstun">'[3]Pr-6'!$AA$49</definedName>
    <definedName name="NPI">'[21]priplatky20'!$B$7</definedName>
    <definedName name="NPII">'[21]priplatky20'!$C$7</definedName>
    <definedName name="_xlnm.Print_Area" localSheetId="1">'súhrnná po AS'!$A$1:$R$119</definedName>
    <definedName name="_xlnm.Print_Area" localSheetId="0">'úpravy'!$A$1:$Q$163</definedName>
    <definedName name="otat">'[9]T3-vstupy'!$C$55</definedName>
    <definedName name="ovf">'[24]VVZ-VS97'!$L$3</definedName>
    <definedName name="OVNV">'[24]VVZ-VS97'!$I$105</definedName>
    <definedName name="par18" localSheetId="1">#REF!</definedName>
    <definedName name="par18">#REF!</definedName>
    <definedName name="par1801" localSheetId="1">#REF!</definedName>
    <definedName name="par1801">#REF!</definedName>
    <definedName name="par18n">'[10]VYR99-E'!$AQ$52</definedName>
    <definedName name="Pf" localSheetId="1">'[3]vyk95'!#REF!</definedName>
    <definedName name="Pf" localSheetId="0">'[3]vyk95'!#REF!</definedName>
    <definedName name="Pf">'[3]vyk95'!#REF!</definedName>
    <definedName name="pfn" localSheetId="1">'[3]Pr-6'!#REF!</definedName>
    <definedName name="pfn" localSheetId="0">'[3]Pr-6'!#REF!</definedName>
    <definedName name="pfn">'[3]Pr-6'!#REF!</definedName>
    <definedName name="phdr">'[9]T3-vstupy'!$C$54</definedName>
    <definedName name="pie97" localSheetId="1">#REF!</definedName>
    <definedName name="pie97">#REF!</definedName>
    <definedName name="pie98" localSheetId="1">#REF!</definedName>
    <definedName name="pie98">#REF!</definedName>
    <definedName name="pie99">'[10]VYR99-E'!$AK$45</definedName>
    <definedName name="piest" localSheetId="1">#REF!</definedName>
    <definedName name="piest">#REF!</definedName>
    <definedName name="Posp">'[21]mp0199'!$P$33</definedName>
    <definedName name="Pp02201_mzdy_na_prer_modif">'[18]T3-vstupy'!$C$49</definedName>
    <definedName name="Pp02201_mzdy_vykon">'[18]T3-vstupy'!$C$43</definedName>
    <definedName name="Pp02201_TaS_na_prer_modif" localSheetId="1">'[19]T3-vstupy'!$C$75</definedName>
    <definedName name="Pp02201_TaS_na_prer_modif">'[18]T3-vstupy'!$C$70</definedName>
    <definedName name="Pp02201_TaS_prevadzkovi" localSheetId="1">'[19]T3-vstupy'!$C$64</definedName>
    <definedName name="Pp02201_TaS_prevadzkovi">'[25]T3-vstupy'!$C$64</definedName>
    <definedName name="Pp02201_TaS_vykon" localSheetId="1">'[19]T3-vstupy'!$C$69</definedName>
    <definedName name="Pp02201_TaS_vykon">'[18]T3-vstupy'!$C$64</definedName>
    <definedName name="Pp02201_TaS_zahr_granty" localSheetId="1">'[19]T3-vstupy'!$C$66</definedName>
    <definedName name="Pp02201_TaS_zahr_granty">'[18]T3-vstupy'!$C$60</definedName>
    <definedName name="Pp07701_na_klinic_zamest" localSheetId="1">'[17]T3-vstupy'!#REF!</definedName>
    <definedName name="Pp07701_na_klinic_zamest" localSheetId="0">'[17]T3-vstupy'!#REF!</definedName>
    <definedName name="Pp07701_na_klinic_zamest">'[17]T3-vstupy'!#REF!</definedName>
    <definedName name="pprg_02201_mzdy" localSheetId="1">#REF!</definedName>
    <definedName name="pprg_02201_mzdy">#REF!</definedName>
    <definedName name="pprg_02201_mzdy_koef_GM" localSheetId="1">'[26]T3-vstupy'!$C$21</definedName>
    <definedName name="pprg_02201_mzdy_koef_GM">'[27]T3-vstupy'!$C$21</definedName>
    <definedName name="pprg_02201_mzdy_na_prerozdelovanie" localSheetId="1">#REF!</definedName>
    <definedName name="pprg_02201_mzdy_na_prerozdelovanie">#REF!</definedName>
    <definedName name="pprg_02201_mzdy_prevadzkovi" localSheetId="1">#REF!</definedName>
    <definedName name="pprg_02201_mzdy_prevadzkovi">#REF!</definedName>
    <definedName name="pprg_02201_mzdy_rezerva" localSheetId="1">#REF!</definedName>
    <definedName name="pprg_02201_mzdy_rezerva">#REF!</definedName>
    <definedName name="pprg_02201_mzdy_sucet_narastov_nad_GM" localSheetId="1">#REF!</definedName>
    <definedName name="pprg_02201_mzdy_sucet_narastov_nad_GM">#REF!</definedName>
    <definedName name="pprg_02201_mzdy_vykon" localSheetId="1">#REF!</definedName>
    <definedName name="pprg_02201_mzdy_vykon">#REF!</definedName>
    <definedName name="pprg_02201_mzdy_vykon_zac_roka" localSheetId="1">'[26]T3-vstupy'!$C$16</definedName>
    <definedName name="pprg_02201_mzdy_vykon_zac_roka">'[27]T3-vstupy'!$C$16</definedName>
    <definedName name="Pr0220201_KV_zac_roka" localSheetId="1">'[28]T3-vstupy'!$C$92</definedName>
    <definedName name="Pr0220201_KV_zac_roka">'[17]T3-vstupy'!$C$82</definedName>
    <definedName name="Pr0220201_mzdy_zac_roka">'[17]T3-vstupy'!$C$76</definedName>
    <definedName name="Pr0220201_TaS_zac_roka">'[17]T3-vstupy'!$C$79</definedName>
    <definedName name="Pr2" localSheetId="1">'[3]vyk95'!#REF!</definedName>
    <definedName name="Pr2" localSheetId="0">'[3]vyk95'!#REF!</definedName>
    <definedName name="Pr2">'[3]vyk95'!#REF!</definedName>
    <definedName name="Pr3" localSheetId="1">'[3]vyk95'!#REF!</definedName>
    <definedName name="Pr3" localSheetId="0">'[3]vyk95'!#REF!</definedName>
    <definedName name="Pr3">'[3]vyk95'!#REF!</definedName>
    <definedName name="prie97" localSheetId="1">#REF!</definedName>
    <definedName name="prie97">#REF!</definedName>
    <definedName name="prie97n">'[10]VYR99-E'!$AK$45</definedName>
    <definedName name="prie98" localSheetId="1">#REF!</definedName>
    <definedName name="prie98">#REF!</definedName>
    <definedName name="priem" localSheetId="1">'[3]Pr-6'!#REF!</definedName>
    <definedName name="priem" localSheetId="0">'[3]Pr-6'!#REF!</definedName>
    <definedName name="priem">'[3]Pr-6'!#REF!</definedName>
    <definedName name="priemerny_vykon_VS_podla_KEN" localSheetId="1">'[29]T3-vstupy'!#REF!</definedName>
    <definedName name="priemerny_vykon_VS_podla_KEN" localSheetId="0">'[17]T3-vstupy'!#REF!</definedName>
    <definedName name="priemerny_vykon_VS_podla_KEN">'[17]T3-vstupy'!#REF!</definedName>
    <definedName name="priemerny_vykon_VS_podla_KPN" localSheetId="1">'[29]T3-vstupy'!#REF!</definedName>
    <definedName name="priemerny_vykon_VS_podla_KPN" localSheetId="0">'[17]T3-vstupy'!#REF!</definedName>
    <definedName name="priemerny_vykon_VS_podla_KPN">'[17]T3-vstupy'!#REF!</definedName>
    <definedName name="priest" localSheetId="1">#REF!</definedName>
    <definedName name="priest">#REF!</definedName>
    <definedName name="prisp_na_1_jedlo" localSheetId="1">'[19]T3-vstupy'!$C$105</definedName>
    <definedName name="prisp_na_1_jedlo">'[18]T3-vstupy'!$C$100</definedName>
    <definedName name="prisp_na_ubyt_stud_SD" localSheetId="1">'[19]T3-vstupy'!$C$114</definedName>
    <definedName name="prisp_na_ubyt_stud_SD">'[18]T3-vstupy'!$C$105</definedName>
    <definedName name="prisp_na_ubyt_stud_ZZ" localSheetId="1">'[19]T3-vstupy'!$C$115</definedName>
    <definedName name="prisp_na_ubyt_stud_ZZ">'[18]T3-vstupy'!$C$106</definedName>
    <definedName name="profe">'[9]T3-vstupy'!$C$52</definedName>
    <definedName name="profKKS">'[15]T3-vstupy'!$C$49</definedName>
    <definedName name="Ptz" localSheetId="1">'[3]vyk95'!#REF!</definedName>
    <definedName name="Ptz" localSheetId="0">'[3]vyk95'!#REF!</definedName>
    <definedName name="Ptz">'[3]vyk95'!#REF!</definedName>
    <definedName name="PU_paiDOK2000" localSheetId="1">#REF!</definedName>
    <definedName name="PU_paiDOK2000">#REF!</definedName>
    <definedName name="PU_pD2001_DS_bKA" localSheetId="1">#REF!</definedName>
    <definedName name="PU_pD2001_DS_bKA">#REF!</definedName>
    <definedName name="PU_pP2000_DS_bKA" localSheetId="1">#REF!</definedName>
    <definedName name="PU_pP2000_DS_bKA">#REF!</definedName>
    <definedName name="PU_pP2001_DS_bKA" localSheetId="1">#REF!</definedName>
    <definedName name="PU_pP2001_DS_bKA">#REF!</definedName>
    <definedName name="PU_pP2001_DS_sKA" localSheetId="1">#REF!</definedName>
    <definedName name="PU_pP2001_DS_sKA">#REF!</definedName>
    <definedName name="PU_ppa2000_bDOK" localSheetId="1">#REF!</definedName>
    <definedName name="PU_ppa2000_bDOK">#REF!</definedName>
    <definedName name="PU_pps_bKA" localSheetId="1">#REF!</definedName>
    <definedName name="PU_pps_bKA">#REF!</definedName>
    <definedName name="PU_pps_bKA_bDOK" localSheetId="1">#REF!</definedName>
    <definedName name="PU_pps_bKA_bDOK">#REF!</definedName>
    <definedName name="PU_pps_sKA" localSheetId="1">#REF!</definedName>
    <definedName name="PU_pps_sKA">#REF!</definedName>
    <definedName name="PU_pps_sKA_bDOK" localSheetId="1">#REF!</definedName>
    <definedName name="PU_pps_sKA_bDOK">#REF!</definedName>
    <definedName name="PU_vKEN_aiDOK" localSheetId="1">#REF!</definedName>
    <definedName name="PU_vKEN_aiDOK">#REF!</definedName>
    <definedName name="PU_vKEN_bKA" localSheetId="1">#REF!</definedName>
    <definedName name="PU_vKEN_bKA">#REF!</definedName>
    <definedName name="PU_vKEN_bKA_bDOK" localSheetId="1">#REF!</definedName>
    <definedName name="PU_vKEN_bKA_bDOK">#REF!</definedName>
    <definedName name="PU_vKEN_bKA_PDS" localSheetId="1">#REF!</definedName>
    <definedName name="PU_vKEN_bKA_PDS">#REF!</definedName>
    <definedName name="PU_vKEN_sKA" localSheetId="1">#REF!</definedName>
    <definedName name="PU_vKEN_sKA">#REF!</definedName>
    <definedName name="PU_vKEN_sKA_bDOK" localSheetId="1">#REF!</definedName>
    <definedName name="PU_vKEN_sKA_bDOK">#REF!</definedName>
    <definedName name="PU_vKEN_sKA_PDS" localSheetId="1">#REF!</definedName>
    <definedName name="PU_vKEN_sKA_PDS">#REF!</definedName>
    <definedName name="PU_vKPN_aiDOK" localSheetId="1">#REF!</definedName>
    <definedName name="PU_vKPN_aiDOK">#REF!</definedName>
    <definedName name="PU_vKPN_bKA" localSheetId="1">#REF!</definedName>
    <definedName name="PU_vKPN_bKA">#REF!</definedName>
    <definedName name="PU_vKPN_bKA_bDOK" localSheetId="1">#REF!</definedName>
    <definedName name="PU_vKPN_bKA_bDOK">#REF!</definedName>
    <definedName name="PU_vKPN_bKA_PDS" localSheetId="1">#REF!</definedName>
    <definedName name="PU_vKPN_bKA_PDS">#REF!</definedName>
    <definedName name="PU_vKPN_sKA" localSheetId="1">#REF!</definedName>
    <definedName name="PU_vKPN_sKA">#REF!</definedName>
    <definedName name="PU_vKPN_sKA_bDOK" localSheetId="1">#REF!</definedName>
    <definedName name="PU_vKPN_sKA_bDOK">#REF!</definedName>
    <definedName name="PU_vKPN_sKA_PDS" localSheetId="1">#REF!</definedName>
    <definedName name="PU_vKPN_sKA_PDS">#REF!</definedName>
    <definedName name="PV" localSheetId="1">'[3]Mz01-96'!#REF!</definedName>
    <definedName name="PV" localSheetId="0">'[3]Mz01-96'!#REF!</definedName>
    <definedName name="PV">'[3]Mz01-96'!#REF!</definedName>
    <definedName name="rtz" localSheetId="1">'[4]Pr-6'!#REF!</definedName>
    <definedName name="rtz" localSheetId="0">'[5]Pr-6'!#REF!</definedName>
    <definedName name="rtz">'[5]Pr-6'!#REF!</definedName>
    <definedName name="rtzui" localSheetId="1">'[4]Pr-6'!#REF!</definedName>
    <definedName name="rtzui" localSheetId="0">'[5]Pr-6'!#REF!</definedName>
    <definedName name="rtzui">'[5]Pr-6'!#REF!</definedName>
    <definedName name="SPU_paiDOK2000" localSheetId="1">#REF!</definedName>
    <definedName name="SPU_paiDOK2000">#REF!</definedName>
    <definedName name="SPU_pD2001_DS_bKA" localSheetId="1">#REF!</definedName>
    <definedName name="SPU_pD2001_DS_bKA">#REF!</definedName>
    <definedName name="SPU_pP2000_DS_bKA" localSheetId="1">#REF!</definedName>
    <definedName name="SPU_pP2000_DS_bKA">#REF!</definedName>
    <definedName name="SPU_pP2001_DS_bKA" localSheetId="1">#REF!</definedName>
    <definedName name="SPU_pP2001_DS_bKA">#REF!</definedName>
    <definedName name="SPU_pP2001_DS_sKA" localSheetId="1">#REF!</definedName>
    <definedName name="SPU_pP2001_DS_sKA">#REF!</definedName>
    <definedName name="SPU_ppa2000_bDOK" localSheetId="1">#REF!</definedName>
    <definedName name="SPU_ppa2000_bDOK">#REF!</definedName>
    <definedName name="SPU_pps_bKA" localSheetId="1">#REF!</definedName>
    <definedName name="SPU_pps_bKA">#REF!</definedName>
    <definedName name="SPU_pps_bKA_bDOK" localSheetId="1">#REF!</definedName>
    <definedName name="SPU_pps_bKA_bDOK">#REF!</definedName>
    <definedName name="SPU_pps_sKA" localSheetId="1">#REF!</definedName>
    <definedName name="SPU_pps_sKA">#REF!</definedName>
    <definedName name="SPU_pps_sKA_bDOK" localSheetId="1">#REF!</definedName>
    <definedName name="SPU_pps_sKA_bDOK">#REF!</definedName>
    <definedName name="SPU_vKEN_aiDOK" localSheetId="1">#REF!</definedName>
    <definedName name="SPU_vKEN_aiDOK">#REF!</definedName>
    <definedName name="SPU_vKEN_bKA" localSheetId="1">#REF!</definedName>
    <definedName name="SPU_vKEN_bKA">#REF!</definedName>
    <definedName name="SPU_vKEN_bKA_bDOK" localSheetId="1">#REF!</definedName>
    <definedName name="SPU_vKEN_bKA_bDOK">#REF!</definedName>
    <definedName name="SPU_vKEN_bKA_PDS" localSheetId="1">#REF!</definedName>
    <definedName name="SPU_vKEN_bKA_PDS">#REF!</definedName>
    <definedName name="SPU_vKEN_sKA" localSheetId="1">#REF!</definedName>
    <definedName name="SPU_vKEN_sKA">#REF!</definedName>
    <definedName name="SPU_vKEN_sKA_bDOK" localSheetId="1">#REF!</definedName>
    <definedName name="SPU_vKEN_sKA_bDOK">#REF!</definedName>
    <definedName name="SPU_vKEN_sKA_PDS" localSheetId="1">#REF!</definedName>
    <definedName name="SPU_vKEN_sKA_PDS">#REF!</definedName>
    <definedName name="SPU_vKPN_aiDOK" localSheetId="1">#REF!</definedName>
    <definedName name="SPU_vKPN_aiDOK">#REF!</definedName>
    <definedName name="SPU_vKPN_bKA" localSheetId="1">#REF!</definedName>
    <definedName name="SPU_vKPN_bKA">#REF!</definedName>
    <definedName name="SPU_vKPN_bKA_bDOK" localSheetId="1">#REF!</definedName>
    <definedName name="SPU_vKPN_bKA_bDOK">#REF!</definedName>
    <definedName name="SPU_vKPN_bKA_PDS" localSheetId="1">#REF!</definedName>
    <definedName name="SPU_vKPN_bKA_PDS">#REF!</definedName>
    <definedName name="SPU_vKPN_sKA" localSheetId="1">#REF!</definedName>
    <definedName name="SPU_vKPN_sKA">#REF!</definedName>
    <definedName name="SPU_vKPN_sKA_bDOK" localSheetId="1">#REF!</definedName>
    <definedName name="SPU_vKPN_sKA_bDOK">#REF!</definedName>
    <definedName name="SPU_vKPN_sKA_PDS" localSheetId="1">#REF!</definedName>
    <definedName name="SPU_vKPN_sKA_PDS">#REF!</definedName>
    <definedName name="STU_paiDOK2000" localSheetId="1">#REF!</definedName>
    <definedName name="STU_paiDOK2000">#REF!</definedName>
    <definedName name="STU_pD2001_DS_bKA" localSheetId="1">#REF!</definedName>
    <definedName name="STU_pD2001_DS_bKA">#REF!</definedName>
    <definedName name="STU_pP2000_DS_bKA" localSheetId="1">#REF!</definedName>
    <definedName name="STU_pP2000_DS_bKA">#REF!</definedName>
    <definedName name="STU_pP2001_DS_bKA" localSheetId="1">#REF!</definedName>
    <definedName name="STU_pP2001_DS_bKA">#REF!</definedName>
    <definedName name="STU_pP2001_DS_sKA" localSheetId="1">#REF!</definedName>
    <definedName name="STU_pP2001_DS_sKA">#REF!</definedName>
    <definedName name="STU_ppa2000_bDOK" localSheetId="1">#REF!</definedName>
    <definedName name="STU_ppa2000_bDOK">#REF!</definedName>
    <definedName name="STU_pps_bKA" localSheetId="1">#REF!</definedName>
    <definedName name="STU_pps_bKA">#REF!</definedName>
    <definedName name="STU_pps_bKA_bDOK" localSheetId="1">#REF!</definedName>
    <definedName name="STU_pps_bKA_bDOK">#REF!</definedName>
    <definedName name="STU_pps_sKA" localSheetId="1">#REF!</definedName>
    <definedName name="STU_pps_sKA">#REF!</definedName>
    <definedName name="STU_pps_sKA_bDOK" localSheetId="1">#REF!</definedName>
    <definedName name="STU_pps_sKA_bDOK">#REF!</definedName>
    <definedName name="STU_vKEN_aiDOK" localSheetId="1">#REF!</definedName>
    <definedName name="STU_vKEN_aiDOK">#REF!</definedName>
    <definedName name="STU_vKEN_bKA" localSheetId="1">#REF!</definedName>
    <definedName name="STU_vKEN_bKA">#REF!</definedName>
    <definedName name="STU_vKEN_bKA_bDOK" localSheetId="1">#REF!</definedName>
    <definedName name="STU_vKEN_bKA_bDOK">#REF!</definedName>
    <definedName name="STU_vKEN_bKA_PDS" localSheetId="1">#REF!</definedName>
    <definedName name="STU_vKEN_bKA_PDS">#REF!</definedName>
    <definedName name="STU_vKEN_sKA" localSheetId="1">#REF!</definedName>
    <definedName name="STU_vKEN_sKA">#REF!</definedName>
    <definedName name="STU_vKEN_sKA_bDOK" localSheetId="1">#REF!</definedName>
    <definedName name="STU_vKEN_sKA_bDOK">#REF!</definedName>
    <definedName name="STU_vKEN_sKA_PDS" localSheetId="1">#REF!</definedName>
    <definedName name="STU_vKEN_sKA_PDS">#REF!</definedName>
    <definedName name="STU_vKPN_aiDOK" localSheetId="1">#REF!</definedName>
    <definedName name="STU_vKPN_aiDOK">#REF!</definedName>
    <definedName name="STU_vKPN_bKA" localSheetId="1">#REF!</definedName>
    <definedName name="STU_vKPN_bKA">#REF!</definedName>
    <definedName name="STU_vKPN_bKA_bDOK" localSheetId="1">#REF!</definedName>
    <definedName name="STU_vKPN_bKA_bDOK">#REF!</definedName>
    <definedName name="STU_vKPN_bKA_PDS" localSheetId="1">#REF!</definedName>
    <definedName name="STU_vKPN_bKA_PDS">#REF!</definedName>
    <definedName name="STU_vKPN_sKA" localSheetId="1">#REF!</definedName>
    <definedName name="STU_vKPN_sKA">#REF!</definedName>
    <definedName name="STU_vKPN_sKA_bDOK" localSheetId="1">#REF!</definedName>
    <definedName name="STU_vKPN_sKA_bDOK">#REF!</definedName>
    <definedName name="STU_vKPN_sKA_PDS" localSheetId="1">#REF!</definedName>
    <definedName name="STU_vKPN_sKA_PDS">#REF!</definedName>
    <definedName name="SUMA_paiDOK2000" localSheetId="1">#REF!</definedName>
    <definedName name="SUMA_paiDOK2000">#REF!</definedName>
    <definedName name="SUMA_pD2001_DS_bKA" localSheetId="1">#REF!</definedName>
    <definedName name="SUMA_pD2001_DS_bKA">#REF!</definedName>
    <definedName name="SUMA_pP2000_DS_bKA" localSheetId="1">#REF!</definedName>
    <definedName name="SUMA_pP2000_DS_bKA">#REF!</definedName>
    <definedName name="SUMA_pP2001_DS_bKA" localSheetId="1">#REF!</definedName>
    <definedName name="SUMA_pP2001_DS_bKA">#REF!</definedName>
    <definedName name="SUMA_pP2001_DS_sKA" localSheetId="1">#REF!</definedName>
    <definedName name="SUMA_pP2001_DS_sKA">#REF!</definedName>
    <definedName name="SUMA_ppa2000_bDOK" localSheetId="1">#REF!</definedName>
    <definedName name="SUMA_ppa2000_bDOK">#REF!</definedName>
    <definedName name="SUMA_pps_bKA" localSheetId="1">#REF!</definedName>
    <definedName name="SUMA_pps_bKA">#REF!</definedName>
    <definedName name="SUMA_pps_bKA_bDOK" localSheetId="1">#REF!</definedName>
    <definedName name="SUMA_pps_bKA_bDOK">#REF!</definedName>
    <definedName name="SUMA_pps_sKA" localSheetId="1">#REF!</definedName>
    <definedName name="SUMA_pps_sKA">#REF!</definedName>
    <definedName name="SUMA_pps_sKA_bDOK" localSheetId="1">#REF!</definedName>
    <definedName name="SUMA_pps_sKA_bDOK">#REF!</definedName>
    <definedName name="SUMA_vKEN_aiDOK" localSheetId="1">#REF!</definedName>
    <definedName name="SUMA_vKEN_aiDOK">#REF!</definedName>
    <definedName name="SUMA_vKEN_bKA" localSheetId="1">#REF!</definedName>
    <definedName name="SUMA_vKEN_bKA">#REF!</definedName>
    <definedName name="SUMA_vKEN_bKA_bDOK" localSheetId="1">#REF!</definedName>
    <definedName name="SUMA_vKEN_bKA_bDOK">#REF!</definedName>
    <definedName name="SUMA_vKEN_bKA_PDS" localSheetId="1">#REF!</definedName>
    <definedName name="SUMA_vKEN_bKA_PDS">#REF!</definedName>
    <definedName name="SUMA_vKEN_sKA" localSheetId="1">#REF!</definedName>
    <definedName name="SUMA_vKEN_sKA">#REF!</definedName>
    <definedName name="SUMA_vKEN_sKA_bDOK" localSheetId="1">#REF!</definedName>
    <definedName name="SUMA_vKEN_sKA_bDOK">#REF!</definedName>
    <definedName name="SUMA_vKEN_sKA_PDS" localSheetId="1">#REF!</definedName>
    <definedName name="SUMA_vKEN_sKA_PDS">#REF!</definedName>
    <definedName name="SUMA_vKPN_aiDOK" localSheetId="1">#REF!</definedName>
    <definedName name="SUMA_vKPN_aiDOK">#REF!</definedName>
    <definedName name="SUMA_vKPN_bKA" localSheetId="1">#REF!</definedName>
    <definedName name="SUMA_vKPN_bKA">#REF!</definedName>
    <definedName name="SUMA_vKPN_bKA_bDOK" localSheetId="1">#REF!</definedName>
    <definedName name="SUMA_vKPN_bKA_bDOK">#REF!</definedName>
    <definedName name="SUMA_vKPN_bKA_PDS" localSheetId="1">#REF!</definedName>
    <definedName name="SUMA_vKPN_bKA_PDS">#REF!</definedName>
    <definedName name="SUMA_vKPN_sKA" localSheetId="1">#REF!</definedName>
    <definedName name="SUMA_vKPN_sKA">#REF!</definedName>
    <definedName name="SUMA_vKPN_sKA_bDOK" localSheetId="1">#REF!</definedName>
    <definedName name="SUMA_vKPN_sKA_bDOK">#REF!</definedName>
    <definedName name="SUMA_vKPN_sKA_PDS" localSheetId="1">#REF!</definedName>
    <definedName name="SUMA_vKPN_sKA_PDS">#REF!</definedName>
    <definedName name="TRU_paiDOK2000" localSheetId="1">#REF!</definedName>
    <definedName name="TRU_paiDOK2000">#REF!</definedName>
    <definedName name="TRU_pD2001_DS_bKA" localSheetId="1">#REF!</definedName>
    <definedName name="TRU_pD2001_DS_bKA">#REF!</definedName>
    <definedName name="TRU_pP2000_DS_bKA" localSheetId="1">#REF!</definedName>
    <definedName name="TRU_pP2000_DS_bKA">#REF!</definedName>
    <definedName name="TRU_pP2001_DS_bKA" localSheetId="1">#REF!</definedName>
    <definedName name="TRU_pP2001_DS_bKA">#REF!</definedName>
    <definedName name="TRU_pP2001_DS_sKA" localSheetId="1">#REF!</definedName>
    <definedName name="TRU_pP2001_DS_sKA">#REF!</definedName>
    <definedName name="TRU_ppa2000_bDOK" localSheetId="1">#REF!</definedName>
    <definedName name="TRU_ppa2000_bDOK">#REF!</definedName>
    <definedName name="TRU_pps_bKA" localSheetId="1">#REF!</definedName>
    <definedName name="TRU_pps_bKA">#REF!</definedName>
    <definedName name="TRU_pps_bKA_bDOK" localSheetId="1">#REF!</definedName>
    <definedName name="TRU_pps_bKA_bDOK">#REF!</definedName>
    <definedName name="TRU_pps_sKA" localSheetId="1">#REF!</definedName>
    <definedName name="TRU_pps_sKA">#REF!</definedName>
    <definedName name="TRU_pps_sKA_bDOK" localSheetId="1">#REF!</definedName>
    <definedName name="TRU_pps_sKA_bDOK">#REF!</definedName>
    <definedName name="TRU_vKEN_aiDOK" localSheetId="1">#REF!</definedName>
    <definedName name="TRU_vKEN_aiDOK">#REF!</definedName>
    <definedName name="TRU_vKEN_bKA" localSheetId="1">#REF!</definedName>
    <definedName name="TRU_vKEN_bKA">#REF!</definedName>
    <definedName name="TRU_vKEN_bKA_bDOK" localSheetId="1">#REF!</definedName>
    <definedName name="TRU_vKEN_bKA_bDOK">#REF!</definedName>
    <definedName name="TRU_vKEN_bKA_PDS" localSheetId="1">#REF!</definedName>
    <definedName name="TRU_vKEN_bKA_PDS">#REF!</definedName>
    <definedName name="TRU_vKEN_sKA" localSheetId="1">#REF!</definedName>
    <definedName name="TRU_vKEN_sKA">#REF!</definedName>
    <definedName name="TRU_vKEN_sKA_bDOK" localSheetId="1">#REF!</definedName>
    <definedName name="TRU_vKEN_sKA_bDOK">#REF!</definedName>
    <definedName name="TRU_vKEN_sKA_PDS" localSheetId="1">#REF!</definedName>
    <definedName name="TRU_vKEN_sKA_PDS">#REF!</definedName>
    <definedName name="TRU_vKPN_aiDOK" localSheetId="1">#REF!</definedName>
    <definedName name="TRU_vKPN_aiDOK">#REF!</definedName>
    <definedName name="TRU_vKPN_bKA" localSheetId="1">#REF!</definedName>
    <definedName name="TRU_vKPN_bKA">#REF!</definedName>
    <definedName name="TRU_vKPN_bKA_bDOK" localSheetId="1">#REF!</definedName>
    <definedName name="TRU_vKPN_bKA_bDOK">#REF!</definedName>
    <definedName name="TRU_vKPN_bKA_PDS" localSheetId="1">#REF!</definedName>
    <definedName name="TRU_vKPN_bKA_PDS">#REF!</definedName>
    <definedName name="TRU_vKPN_sKA" localSheetId="1">#REF!</definedName>
    <definedName name="TRU_vKPN_sKA">#REF!</definedName>
    <definedName name="TRU_vKPN_sKA_bDOK" localSheetId="1">#REF!</definedName>
    <definedName name="TRU_vKPN_sKA_bDOK">#REF!</definedName>
    <definedName name="TRU_vKPN_sKA_PDS" localSheetId="1">#REF!</definedName>
    <definedName name="TRU_vKPN_sKA_PDS">#REF!</definedName>
    <definedName name="TUKE_paiDOK2000" localSheetId="1">#REF!</definedName>
    <definedName name="TUKE_paiDOK2000">#REF!</definedName>
    <definedName name="TUKE_pD2001_DS_bKA" localSheetId="1">#REF!</definedName>
    <definedName name="TUKE_pD2001_DS_bKA">#REF!</definedName>
    <definedName name="TUKE_pP2000_DS_bKA" localSheetId="1">#REF!</definedName>
    <definedName name="TUKE_pP2000_DS_bKA">#REF!</definedName>
    <definedName name="TUKE_pP2001_DS_bKA" localSheetId="1">#REF!</definedName>
    <definedName name="TUKE_pP2001_DS_bKA">#REF!</definedName>
    <definedName name="TUKE_pP2001_DS_sKA" localSheetId="1">#REF!</definedName>
    <definedName name="TUKE_pP2001_DS_sKA">#REF!</definedName>
    <definedName name="TUKE_ppa2000_bDOK" localSheetId="1">#REF!</definedName>
    <definedName name="TUKE_ppa2000_bDOK">#REF!</definedName>
    <definedName name="TUKE_pps_bKA" localSheetId="1">#REF!</definedName>
    <definedName name="TUKE_pps_bKA">#REF!</definedName>
    <definedName name="TUKE_pps_bKA_bDOK" localSheetId="1">#REF!</definedName>
    <definedName name="TUKE_pps_bKA_bDOK">#REF!</definedName>
    <definedName name="TUKE_pps_sKA" localSheetId="1">#REF!</definedName>
    <definedName name="TUKE_pps_sKA">#REF!</definedName>
    <definedName name="TUKE_pps_sKA_bDOK" localSheetId="1">#REF!</definedName>
    <definedName name="TUKE_pps_sKA_bDOK">#REF!</definedName>
    <definedName name="TUKE_vKEN_aiDOK" localSheetId="1">#REF!</definedName>
    <definedName name="TUKE_vKEN_aiDOK">#REF!</definedName>
    <definedName name="TUKE_vKEN_bKA" localSheetId="1">#REF!</definedName>
    <definedName name="TUKE_vKEN_bKA">#REF!</definedName>
    <definedName name="TUKE_vKEN_bKA_bDOK" localSheetId="1">#REF!</definedName>
    <definedName name="TUKE_vKEN_bKA_bDOK">#REF!</definedName>
    <definedName name="TUKE_vKEN_bKA_PDS" localSheetId="1">#REF!</definedName>
    <definedName name="TUKE_vKEN_bKA_PDS">#REF!</definedName>
    <definedName name="TUKE_vKEN_sKA" localSheetId="1">#REF!</definedName>
    <definedName name="TUKE_vKEN_sKA">#REF!</definedName>
    <definedName name="TUKE_vKEN_sKA_bDOK" localSheetId="1">#REF!</definedName>
    <definedName name="TUKE_vKEN_sKA_bDOK">#REF!</definedName>
    <definedName name="TUKE_vKEN_sKA_PDS" localSheetId="1">#REF!</definedName>
    <definedName name="TUKE_vKEN_sKA_PDS">#REF!</definedName>
    <definedName name="TUKE_vKPN_aiDOK" localSheetId="1">#REF!</definedName>
    <definedName name="TUKE_vKPN_aiDOK">#REF!</definedName>
    <definedName name="TUKE_vKPN_bKA" localSheetId="1">#REF!</definedName>
    <definedName name="TUKE_vKPN_bKA">#REF!</definedName>
    <definedName name="TUKE_vKPN_bKA_bDOK" localSheetId="1">#REF!</definedName>
    <definedName name="TUKE_vKPN_bKA_bDOK">#REF!</definedName>
    <definedName name="TUKE_vKPN_bKA_PDS" localSheetId="1">#REF!</definedName>
    <definedName name="TUKE_vKPN_bKA_PDS">#REF!</definedName>
    <definedName name="TUKE_vKPN_sKA" localSheetId="1">#REF!</definedName>
    <definedName name="TUKE_vKPN_sKA">#REF!</definedName>
    <definedName name="TUKE_vKPN_sKA_bDOK" localSheetId="1">#REF!</definedName>
    <definedName name="TUKE_vKPN_sKA_bDOK">#REF!</definedName>
    <definedName name="TUKE_vKPN_sKA_PDS" localSheetId="1">#REF!</definedName>
    <definedName name="TUKE_vKPN_sKA_PDS">#REF!</definedName>
    <definedName name="TUZVO_paiDOK2000" localSheetId="1">#REF!</definedName>
    <definedName name="TUZVO_paiDOK2000">#REF!</definedName>
    <definedName name="TUZVO_pD2001_DS_bKA" localSheetId="1">#REF!</definedName>
    <definedName name="TUZVO_pD2001_DS_bKA">#REF!</definedName>
    <definedName name="TUZVO_pP2000_DS_bKA" localSheetId="1">#REF!</definedName>
    <definedName name="TUZVO_pP2000_DS_bKA">#REF!</definedName>
    <definedName name="TUZVO_pP2001_DS_bKA" localSheetId="1">#REF!</definedName>
    <definedName name="TUZVO_pP2001_DS_bKA">#REF!</definedName>
    <definedName name="TUZVO_pP2001_DS_sKA" localSheetId="1">#REF!</definedName>
    <definedName name="TUZVO_pP2001_DS_sKA">#REF!</definedName>
    <definedName name="TUZVO_ppa2000_bDOK" localSheetId="1">#REF!</definedName>
    <definedName name="TUZVO_ppa2000_bDOK">#REF!</definedName>
    <definedName name="TUZVO_pps_bKA" localSheetId="1">#REF!</definedName>
    <definedName name="TUZVO_pps_bKA">#REF!</definedName>
    <definedName name="TUZVO_pps_bKA_bDOK" localSheetId="1">#REF!</definedName>
    <definedName name="TUZVO_pps_bKA_bDOK">#REF!</definedName>
    <definedName name="TUZVO_pps_sKA" localSheetId="1">#REF!</definedName>
    <definedName name="TUZVO_pps_sKA">#REF!</definedName>
    <definedName name="TUZVO_pps_sKA_bDOK" localSheetId="1">#REF!</definedName>
    <definedName name="TUZVO_pps_sKA_bDOK">#REF!</definedName>
    <definedName name="TUZVO_vKEN_aiDOK" localSheetId="1">#REF!</definedName>
    <definedName name="TUZVO_vKEN_aiDOK">#REF!</definedName>
    <definedName name="TUZVO_vKEN_bKA" localSheetId="1">#REF!</definedName>
    <definedName name="TUZVO_vKEN_bKA">#REF!</definedName>
    <definedName name="TUZVO_vKEN_bKA_bDOK" localSheetId="1">#REF!</definedName>
    <definedName name="TUZVO_vKEN_bKA_bDOK">#REF!</definedName>
    <definedName name="TUZVO_vKEN_bKA_PDS" localSheetId="1">#REF!</definedName>
    <definedName name="TUZVO_vKEN_bKA_PDS">#REF!</definedName>
    <definedName name="TUZVO_vKEN_sKA" localSheetId="1">#REF!</definedName>
    <definedName name="TUZVO_vKEN_sKA">#REF!</definedName>
    <definedName name="TUZVO_vKEN_sKA_bDOK" localSheetId="1">#REF!</definedName>
    <definedName name="TUZVO_vKEN_sKA_bDOK">#REF!</definedName>
    <definedName name="TUZVO_vKEN_sKA_PDS" localSheetId="1">#REF!</definedName>
    <definedName name="TUZVO_vKEN_sKA_PDS">#REF!</definedName>
    <definedName name="TUZVO_vKPN_aiDOK" localSheetId="1">#REF!</definedName>
    <definedName name="TUZVO_vKPN_aiDOK">#REF!</definedName>
    <definedName name="TUZVO_vKPN_bKA" localSheetId="1">#REF!</definedName>
    <definedName name="TUZVO_vKPN_bKA">#REF!</definedName>
    <definedName name="TUZVO_vKPN_bKA_bDOK" localSheetId="1">#REF!</definedName>
    <definedName name="TUZVO_vKPN_bKA_bDOK">#REF!</definedName>
    <definedName name="TUZVO_vKPN_bKA_PDS" localSheetId="1">#REF!</definedName>
    <definedName name="TUZVO_vKPN_bKA_PDS">#REF!</definedName>
    <definedName name="TUZVO_vKPN_sKA" localSheetId="1">#REF!</definedName>
    <definedName name="TUZVO_vKPN_sKA">#REF!</definedName>
    <definedName name="TUZVO_vKPN_sKA_bDOK" localSheetId="1">#REF!</definedName>
    <definedName name="TUZVO_vKPN_sKA_bDOK">#REF!</definedName>
    <definedName name="TUZVO_vKPN_sKA_PDS" localSheetId="1">#REF!</definedName>
    <definedName name="TUZVO_vKPN_sKA_PDS">#REF!</definedName>
    <definedName name="TVU_paiDOK2000" localSheetId="1">#REF!</definedName>
    <definedName name="TVU_paiDOK2000">#REF!</definedName>
    <definedName name="TVU_pD2001_DS_bKA" localSheetId="1">#REF!</definedName>
    <definedName name="TVU_pD2001_DS_bKA">#REF!</definedName>
    <definedName name="TVU_pP2000_DS_bKA" localSheetId="1">#REF!</definedName>
    <definedName name="TVU_pP2000_DS_bKA">#REF!</definedName>
    <definedName name="TVU_pP2001_DS_bKA" localSheetId="1">#REF!</definedName>
    <definedName name="TVU_pP2001_DS_bKA">#REF!</definedName>
    <definedName name="TVU_pP2001_DS_sKA" localSheetId="1">#REF!</definedName>
    <definedName name="TVU_pP2001_DS_sKA">#REF!</definedName>
    <definedName name="TVU_ppa2000_bDOK" localSheetId="1">#REF!</definedName>
    <definedName name="TVU_ppa2000_bDOK">#REF!</definedName>
    <definedName name="TVU_pps_bKA" localSheetId="1">#REF!</definedName>
    <definedName name="TVU_pps_bKA">#REF!</definedName>
    <definedName name="TVU_pps_bKA_bDOK" localSheetId="1">#REF!</definedName>
    <definedName name="TVU_pps_bKA_bDOK">#REF!</definedName>
    <definedName name="TVU_pps_sKA" localSheetId="1">#REF!</definedName>
    <definedName name="TVU_pps_sKA">#REF!</definedName>
    <definedName name="TVU_pps_sKA_bDOK" localSheetId="1">#REF!</definedName>
    <definedName name="TVU_pps_sKA_bDOK">#REF!</definedName>
    <definedName name="TVU_vKEN_aiDOK" localSheetId="1">#REF!</definedName>
    <definedName name="TVU_vKEN_aiDOK">#REF!</definedName>
    <definedName name="TVU_vKEN_bKA" localSheetId="1">#REF!</definedName>
    <definedName name="TVU_vKEN_bKA">#REF!</definedName>
    <definedName name="TVU_vKEN_bKA_bDOK" localSheetId="1">#REF!</definedName>
    <definedName name="TVU_vKEN_bKA_bDOK">#REF!</definedName>
    <definedName name="TVU_vKEN_bKA_PDS" localSheetId="1">#REF!</definedName>
    <definedName name="TVU_vKEN_bKA_PDS">#REF!</definedName>
    <definedName name="TVU_vKEN_sKA" localSheetId="1">#REF!</definedName>
    <definedName name="TVU_vKEN_sKA">#REF!</definedName>
    <definedName name="TVU_vKEN_sKA_bDOK" localSheetId="1">#REF!</definedName>
    <definedName name="TVU_vKEN_sKA_bDOK">#REF!</definedName>
    <definedName name="TVU_vKEN_sKA_PDS" localSheetId="1">#REF!</definedName>
    <definedName name="TVU_vKEN_sKA_PDS">#REF!</definedName>
    <definedName name="TVU_vKPN_aiDOK" localSheetId="1">#REF!</definedName>
    <definedName name="TVU_vKPN_aiDOK">#REF!</definedName>
    <definedName name="TVU_vKPN_bKA" localSheetId="1">#REF!</definedName>
    <definedName name="TVU_vKPN_bKA">#REF!</definedName>
    <definedName name="TVU_vKPN_bKA_bDOK" localSheetId="1">#REF!</definedName>
    <definedName name="TVU_vKPN_bKA_bDOK">#REF!</definedName>
    <definedName name="TVU_vKPN_bKA_PDS" localSheetId="1">#REF!</definedName>
    <definedName name="TVU_vKPN_bKA_PDS">#REF!</definedName>
    <definedName name="TVU_vKPN_sKA" localSheetId="1">#REF!</definedName>
    <definedName name="TVU_vKPN_sKA">#REF!</definedName>
    <definedName name="TVU_vKPN_sKA_bDOK" localSheetId="1">#REF!</definedName>
    <definedName name="TVU_vKPN_sKA_bDOK">#REF!</definedName>
    <definedName name="TVU_vKPN_sKA_PDS" localSheetId="1">#REF!</definedName>
    <definedName name="TVU_vKPN_sKA_PDS">#REF!</definedName>
    <definedName name="Ua">#REF!</definedName>
    <definedName name="Uc">#REF!</definedName>
    <definedName name="UCM_paiDOK2000" localSheetId="1">#REF!</definedName>
    <definedName name="UCM_paiDOK2000">#REF!</definedName>
    <definedName name="UCM_pD2001_DS_bKA" localSheetId="1">#REF!</definedName>
    <definedName name="UCM_pD2001_DS_bKA">#REF!</definedName>
    <definedName name="UCM_pP2000_DS_bKA" localSheetId="1">#REF!</definedName>
    <definedName name="UCM_pP2000_DS_bKA">#REF!</definedName>
    <definedName name="UCM_pP2001_DS_bKA" localSheetId="1">#REF!</definedName>
    <definedName name="UCM_pP2001_DS_bKA">#REF!</definedName>
    <definedName name="UCM_pP2001_DS_sKA" localSheetId="1">#REF!</definedName>
    <definedName name="UCM_pP2001_DS_sKA">#REF!</definedName>
    <definedName name="UCM_ppa2000_bDOK" localSheetId="1">#REF!</definedName>
    <definedName name="UCM_ppa2000_bDOK">#REF!</definedName>
    <definedName name="UCM_pps_bKA" localSheetId="1">#REF!</definedName>
    <definedName name="UCM_pps_bKA">#REF!</definedName>
    <definedName name="UCM_pps_bKA_bDOK" localSheetId="1">#REF!</definedName>
    <definedName name="UCM_pps_bKA_bDOK">#REF!</definedName>
    <definedName name="UCM_pps_sKA" localSheetId="1">#REF!</definedName>
    <definedName name="UCM_pps_sKA">#REF!</definedName>
    <definedName name="UCM_pps_sKA_bDOK" localSheetId="1">#REF!</definedName>
    <definedName name="UCM_pps_sKA_bDOK">#REF!</definedName>
    <definedName name="UCM_vKEN_aiDOK" localSheetId="1">#REF!</definedName>
    <definedName name="UCM_vKEN_aiDOK">#REF!</definedName>
    <definedName name="UCM_vKEN_bKA" localSheetId="1">#REF!</definedName>
    <definedName name="UCM_vKEN_bKA">#REF!</definedName>
    <definedName name="UCM_vKEN_bKA_bDOK" localSheetId="1">#REF!</definedName>
    <definedName name="UCM_vKEN_bKA_bDOK">#REF!</definedName>
    <definedName name="UCM_vKEN_bKA_PDS" localSheetId="1">#REF!</definedName>
    <definedName name="UCM_vKEN_bKA_PDS">#REF!</definedName>
    <definedName name="UCM_vKEN_sKA" localSheetId="1">#REF!</definedName>
    <definedName name="UCM_vKEN_sKA">#REF!</definedName>
    <definedName name="UCM_vKEN_sKA_bDOK" localSheetId="1">#REF!</definedName>
    <definedName name="UCM_vKEN_sKA_bDOK">#REF!</definedName>
    <definedName name="UCM_vKEN_sKA_PDS" localSheetId="1">#REF!</definedName>
    <definedName name="UCM_vKEN_sKA_PDS">#REF!</definedName>
    <definedName name="UCM_vKPN_aiDOK" localSheetId="1">#REF!</definedName>
    <definedName name="UCM_vKPN_aiDOK">#REF!</definedName>
    <definedName name="UCM_vKPN_bKA" localSheetId="1">#REF!</definedName>
    <definedName name="UCM_vKPN_bKA">#REF!</definedName>
    <definedName name="UCM_vKPN_bKA_bDOK" localSheetId="1">#REF!</definedName>
    <definedName name="UCM_vKPN_bKA_bDOK">#REF!</definedName>
    <definedName name="UCM_vKPN_bKA_PDS" localSheetId="1">#REF!</definedName>
    <definedName name="UCM_vKPN_bKA_PDS">#REF!</definedName>
    <definedName name="UCM_vKPN_sKA" localSheetId="1">#REF!</definedName>
    <definedName name="UCM_vKPN_sKA">#REF!</definedName>
    <definedName name="UCM_vKPN_sKA_bDOK" localSheetId="1">#REF!</definedName>
    <definedName name="UCM_vKPN_sKA_bDOK">#REF!</definedName>
    <definedName name="UCM_vKPN_sKA_PDS" localSheetId="1">#REF!</definedName>
    <definedName name="UCM_vKPN_sKA_PDS">#REF!</definedName>
    <definedName name="Ue">#REF!</definedName>
    <definedName name="Uj">#REF!</definedName>
    <definedName name="UK_paiDOK2000" localSheetId="1">#REF!</definedName>
    <definedName name="UK_paiDOK2000">#REF!</definedName>
    <definedName name="UK_pD2001_DS_bKA" localSheetId="1">#REF!</definedName>
    <definedName name="UK_pD2001_DS_bKA">#REF!</definedName>
    <definedName name="UK_pP2000_DS_bKA" localSheetId="1">#REF!</definedName>
    <definedName name="UK_pP2000_DS_bKA">#REF!</definedName>
    <definedName name="UK_pP2001_DS_bKA" localSheetId="1">#REF!</definedName>
    <definedName name="UK_pP2001_DS_bKA">#REF!</definedName>
    <definedName name="UK_pP2001_DS_sKA" localSheetId="1">#REF!</definedName>
    <definedName name="UK_pP2001_DS_sKA">#REF!</definedName>
    <definedName name="UK_ppa2000_bDOK" localSheetId="1">#REF!</definedName>
    <definedName name="UK_ppa2000_bDOK">#REF!</definedName>
    <definedName name="UK_pps_bKA" localSheetId="1">#REF!</definedName>
    <definedName name="UK_pps_bKA">#REF!</definedName>
    <definedName name="UK_pps_bKA_bDOK" localSheetId="1">#REF!</definedName>
    <definedName name="UK_pps_bKA_bDOK">#REF!</definedName>
    <definedName name="UK_pps_sKA" localSheetId="1">#REF!</definedName>
    <definedName name="UK_pps_sKA">#REF!</definedName>
    <definedName name="UK_pps_sKA_bDOK" localSheetId="1">#REF!</definedName>
    <definedName name="UK_pps_sKA_bDOK">#REF!</definedName>
    <definedName name="UK_vKEN_aiDOK" localSheetId="1">#REF!</definedName>
    <definedName name="UK_vKEN_aiDOK">#REF!</definedName>
    <definedName name="UK_vKEN_bKA" localSheetId="1">#REF!</definedName>
    <definedName name="UK_vKEN_bKA">#REF!</definedName>
    <definedName name="UK_vKEN_bKA_bDOK" localSheetId="1">#REF!</definedName>
    <definedName name="UK_vKEN_bKA_bDOK">#REF!</definedName>
    <definedName name="UK_vKEN_bKA_PDS" localSheetId="1">#REF!</definedName>
    <definedName name="UK_vKEN_bKA_PDS">#REF!</definedName>
    <definedName name="UK_vKEN_sKA" localSheetId="1">#REF!</definedName>
    <definedName name="UK_vKEN_sKA">#REF!</definedName>
    <definedName name="UK_vKEN_sKA_bDOK" localSheetId="1">#REF!</definedName>
    <definedName name="UK_vKEN_sKA_bDOK">#REF!</definedName>
    <definedName name="UK_vKEN_sKA_PDS" localSheetId="1">#REF!</definedName>
    <definedName name="UK_vKEN_sKA_PDS">#REF!</definedName>
    <definedName name="UK_vKPN_aiDOK" localSheetId="1">#REF!</definedName>
    <definedName name="UK_vKPN_aiDOK">#REF!</definedName>
    <definedName name="UK_vKPN_bKA" localSheetId="1">#REF!</definedName>
    <definedName name="UK_vKPN_bKA">#REF!</definedName>
    <definedName name="UK_vKPN_bKA_bDOK" localSheetId="1">#REF!</definedName>
    <definedName name="UK_vKPN_bKA_bDOK">#REF!</definedName>
    <definedName name="UK_vKPN_bKA_PDS" localSheetId="1">#REF!</definedName>
    <definedName name="UK_vKPN_bKA_PDS">#REF!</definedName>
    <definedName name="UK_vKPN_sKA" localSheetId="1">#REF!</definedName>
    <definedName name="UK_vKPN_sKA">#REF!</definedName>
    <definedName name="UK_vKPN_sKA_bDOK" localSheetId="1">#REF!</definedName>
    <definedName name="UK_vKPN_sKA_bDOK">#REF!</definedName>
    <definedName name="UK_vKPN_sKA_PDS" localSheetId="1">#REF!</definedName>
    <definedName name="UK_vKPN_sKA_PDS">#REF!</definedName>
    <definedName name="UKF_paiDOK2000" localSheetId="1">#REF!</definedName>
    <definedName name="UKF_paiDOK2000">#REF!</definedName>
    <definedName name="UKF_pD2001_DS_bKA" localSheetId="1">#REF!</definedName>
    <definedName name="UKF_pD2001_DS_bKA">#REF!</definedName>
    <definedName name="UKF_pP2000_DS_bKA" localSheetId="1">#REF!</definedName>
    <definedName name="UKF_pP2000_DS_bKA">#REF!</definedName>
    <definedName name="UKF_pP2001_DS_bKA" localSheetId="1">#REF!</definedName>
    <definedName name="UKF_pP2001_DS_bKA">#REF!</definedName>
    <definedName name="UKF_pP2001_DS_sKA" localSheetId="1">#REF!</definedName>
    <definedName name="UKF_pP2001_DS_sKA">#REF!</definedName>
    <definedName name="UKF_ppa2000_bDOK" localSheetId="1">#REF!</definedName>
    <definedName name="UKF_ppa2000_bDOK">#REF!</definedName>
    <definedName name="UKF_pps_bKA" localSheetId="1">#REF!</definedName>
    <definedName name="UKF_pps_bKA">#REF!</definedName>
    <definedName name="UKF_pps_bKA_bDOK" localSheetId="1">#REF!</definedName>
    <definedName name="UKF_pps_bKA_bDOK">#REF!</definedName>
    <definedName name="UKF_pps_sKA" localSheetId="1">#REF!</definedName>
    <definedName name="UKF_pps_sKA">#REF!</definedName>
    <definedName name="UKF_pps_sKA_bDOK" localSheetId="1">#REF!</definedName>
    <definedName name="UKF_pps_sKA_bDOK">#REF!</definedName>
    <definedName name="UKF_vKEN_aiDOK" localSheetId="1">#REF!</definedName>
    <definedName name="UKF_vKEN_aiDOK">#REF!</definedName>
    <definedName name="UKF_vKEN_bKA" localSheetId="1">#REF!</definedName>
    <definedName name="UKF_vKEN_bKA">#REF!</definedName>
    <definedName name="UKF_vKEN_bKA_bDOK" localSheetId="1">#REF!</definedName>
    <definedName name="UKF_vKEN_bKA_bDOK">#REF!</definedName>
    <definedName name="UKF_vKEN_bKA_PDS" localSheetId="1">#REF!</definedName>
    <definedName name="UKF_vKEN_bKA_PDS">#REF!</definedName>
    <definedName name="UKF_vKEN_sKA" localSheetId="1">#REF!</definedName>
    <definedName name="UKF_vKEN_sKA">#REF!</definedName>
    <definedName name="UKF_vKEN_sKA_bDOK" localSheetId="1">#REF!</definedName>
    <definedName name="UKF_vKEN_sKA_bDOK">#REF!</definedName>
    <definedName name="UKF_vKEN_sKA_PDS" localSheetId="1">#REF!</definedName>
    <definedName name="UKF_vKEN_sKA_PDS">#REF!</definedName>
    <definedName name="UKF_vKPN_aiDOK" localSheetId="1">#REF!</definedName>
    <definedName name="UKF_vKPN_aiDOK">#REF!</definedName>
    <definedName name="UKF_vKPN_bKA" localSheetId="1">#REF!</definedName>
    <definedName name="UKF_vKPN_bKA">#REF!</definedName>
    <definedName name="UKF_vKPN_bKA_bDOK" localSheetId="1">#REF!</definedName>
    <definedName name="UKF_vKPN_bKA_bDOK">#REF!</definedName>
    <definedName name="UKF_vKPN_bKA_PDS" localSheetId="1">#REF!</definedName>
    <definedName name="UKF_vKPN_bKA_PDS">#REF!</definedName>
    <definedName name="UKF_vKPN_sKA" localSheetId="1">#REF!</definedName>
    <definedName name="UKF_vKPN_sKA">#REF!</definedName>
    <definedName name="UKF_vKPN_sKA_bDOK" localSheetId="1">#REF!</definedName>
    <definedName name="UKF_vKPN_sKA_bDOK">#REF!</definedName>
    <definedName name="UKF_vKPN_sKA_PDS" localSheetId="1">#REF!</definedName>
    <definedName name="UKF_vKPN_sKA_PDS">#REF!</definedName>
    <definedName name="Um">#REF!</definedName>
    <definedName name="UMB_paiDOK2000" localSheetId="1">#REF!</definedName>
    <definedName name="UMB_paiDOK2000">#REF!</definedName>
    <definedName name="UMB_pD2001_DS_bKA" localSheetId="1">#REF!</definedName>
    <definedName name="UMB_pD2001_DS_bKA">#REF!</definedName>
    <definedName name="UMB_pP2000_DS_bKA" localSheetId="1">#REF!</definedName>
    <definedName name="UMB_pP2000_DS_bKA">#REF!</definedName>
    <definedName name="UMB_pP2001_DS_bKA" localSheetId="1">#REF!</definedName>
    <definedName name="UMB_pP2001_DS_bKA">#REF!</definedName>
    <definedName name="UMB_pP2001_DS_sKA" localSheetId="1">#REF!</definedName>
    <definedName name="UMB_pP2001_DS_sKA">#REF!</definedName>
    <definedName name="UMB_ppa2000_bDOK" localSheetId="1">#REF!</definedName>
    <definedName name="UMB_ppa2000_bDOK">#REF!</definedName>
    <definedName name="UMB_pps_bKA" localSheetId="1">#REF!</definedName>
    <definedName name="UMB_pps_bKA">#REF!</definedName>
    <definedName name="UMB_pps_bKA_bDOK" localSheetId="1">#REF!</definedName>
    <definedName name="UMB_pps_bKA_bDOK">#REF!</definedName>
    <definedName name="UMB_pps_sKA" localSheetId="1">#REF!</definedName>
    <definedName name="UMB_pps_sKA">#REF!</definedName>
    <definedName name="UMB_pps_sKA_bDOK" localSheetId="1">#REF!</definedName>
    <definedName name="UMB_pps_sKA_bDOK">#REF!</definedName>
    <definedName name="UMB_vKEN_aiDOK" localSheetId="1">#REF!</definedName>
    <definedName name="UMB_vKEN_aiDOK">#REF!</definedName>
    <definedName name="UMB_vKEN_bKA" localSheetId="1">#REF!</definedName>
    <definedName name="UMB_vKEN_bKA">#REF!</definedName>
    <definedName name="UMB_vKEN_bKA_bDOK" localSheetId="1">#REF!</definedName>
    <definedName name="UMB_vKEN_bKA_bDOK">#REF!</definedName>
    <definedName name="UMB_vKEN_bKA_PDS" localSheetId="1">#REF!</definedName>
    <definedName name="UMB_vKEN_bKA_PDS">#REF!</definedName>
    <definedName name="UMB_vKEN_sKA" localSheetId="1">#REF!</definedName>
    <definedName name="UMB_vKEN_sKA">#REF!</definedName>
    <definedName name="UMB_vKEN_sKA_bDOK" localSheetId="1">#REF!</definedName>
    <definedName name="UMB_vKEN_sKA_bDOK">#REF!</definedName>
    <definedName name="UMB_vKEN_sKA_PDS" localSheetId="1">#REF!</definedName>
    <definedName name="UMB_vKEN_sKA_PDS">#REF!</definedName>
    <definedName name="UMB_vKPN_aiDOK" localSheetId="1">#REF!</definedName>
    <definedName name="UMB_vKPN_aiDOK">#REF!</definedName>
    <definedName name="UMB_vKPN_bKA" localSheetId="1">#REF!</definedName>
    <definedName name="UMB_vKPN_bKA">#REF!</definedName>
    <definedName name="UMB_vKPN_bKA_bDOK" localSheetId="1">#REF!</definedName>
    <definedName name="UMB_vKPN_bKA_bDOK">#REF!</definedName>
    <definedName name="UMB_vKPN_bKA_PDS" localSheetId="1">#REF!</definedName>
    <definedName name="UMB_vKPN_bKA_PDS">#REF!</definedName>
    <definedName name="UMB_vKPN_sKA" localSheetId="1">#REF!</definedName>
    <definedName name="UMB_vKPN_sKA">#REF!</definedName>
    <definedName name="UMB_vKPN_sKA_bDOK" localSheetId="1">#REF!</definedName>
    <definedName name="UMB_vKPN_sKA_bDOK">#REF!</definedName>
    <definedName name="UMB_vKPN_sKA_PDS" localSheetId="1">#REF!</definedName>
    <definedName name="UMB_vKPN_sKA_PDS">#REF!</definedName>
    <definedName name="UPJS_paiDOK2000" localSheetId="1">#REF!</definedName>
    <definedName name="UPJS_paiDOK2000">#REF!</definedName>
    <definedName name="UPJS_pD2001_DS_bKA" localSheetId="1">#REF!</definedName>
    <definedName name="UPJS_pD2001_DS_bKA">#REF!</definedName>
    <definedName name="UPJS_pP2000_DS_bKA" localSheetId="1">#REF!</definedName>
    <definedName name="UPJS_pP2000_DS_bKA">#REF!</definedName>
    <definedName name="UPJS_pP2001_DS_bKA" localSheetId="1">#REF!</definedName>
    <definedName name="UPJS_pP2001_DS_bKA">#REF!</definedName>
    <definedName name="UPJS_pP2001_DS_sKA" localSheetId="1">#REF!</definedName>
    <definedName name="UPJS_pP2001_DS_sKA">#REF!</definedName>
    <definedName name="UPJS_ppa2000_bDOK" localSheetId="1">#REF!</definedName>
    <definedName name="UPJS_ppa2000_bDOK">#REF!</definedName>
    <definedName name="UPJS_pps_bKA" localSheetId="1">#REF!</definedName>
    <definedName name="UPJS_pps_bKA">#REF!</definedName>
    <definedName name="UPJS_pps_bKA_bDOK" localSheetId="1">#REF!</definedName>
    <definedName name="UPJS_pps_bKA_bDOK">#REF!</definedName>
    <definedName name="UPJS_pps_sKA" localSheetId="1">#REF!</definedName>
    <definedName name="UPJS_pps_sKA">#REF!</definedName>
    <definedName name="UPJS_pps_sKA_bDOK" localSheetId="1">#REF!</definedName>
    <definedName name="UPJS_pps_sKA_bDOK">#REF!</definedName>
    <definedName name="UPJS_vKEN_aiDOK" localSheetId="1">#REF!</definedName>
    <definedName name="UPJS_vKEN_aiDOK">#REF!</definedName>
    <definedName name="UPJS_vKEN_bKA" localSheetId="1">#REF!</definedName>
    <definedName name="UPJS_vKEN_bKA">#REF!</definedName>
    <definedName name="UPJS_vKEN_bKA_bDOK" localSheetId="1">#REF!</definedName>
    <definedName name="UPJS_vKEN_bKA_bDOK">#REF!</definedName>
    <definedName name="UPJS_vKEN_bKA_PDS" localSheetId="1">#REF!</definedName>
    <definedName name="UPJS_vKEN_bKA_PDS">#REF!</definedName>
    <definedName name="UPJS_vKEN_sKA" localSheetId="1">#REF!</definedName>
    <definedName name="UPJS_vKEN_sKA">#REF!</definedName>
    <definedName name="UPJS_vKEN_sKA_bDOK" localSheetId="1">#REF!</definedName>
    <definedName name="UPJS_vKEN_sKA_bDOK">#REF!</definedName>
    <definedName name="UPJS_vKEN_sKA_PDS" localSheetId="1">#REF!</definedName>
    <definedName name="UPJS_vKEN_sKA_PDS">#REF!</definedName>
    <definedName name="UPJS_vKPN_aiDOK" localSheetId="1">#REF!</definedName>
    <definedName name="UPJS_vKPN_aiDOK">#REF!</definedName>
    <definedName name="UPJS_vKPN_bKA" localSheetId="1">#REF!</definedName>
    <definedName name="UPJS_vKPN_bKA">#REF!</definedName>
    <definedName name="UPJS_vKPN_bKA_bDOK" localSheetId="1">#REF!</definedName>
    <definedName name="UPJS_vKPN_bKA_bDOK">#REF!</definedName>
    <definedName name="UPJS_vKPN_bKA_PDS" localSheetId="1">#REF!</definedName>
    <definedName name="UPJS_vKPN_bKA_PDS">#REF!</definedName>
    <definedName name="UPJS_vKPN_sKA" localSheetId="1">#REF!</definedName>
    <definedName name="UPJS_vKPN_sKA">#REF!</definedName>
    <definedName name="UPJS_vKPN_sKA_bDOK" localSheetId="1">#REF!</definedName>
    <definedName name="UPJS_vKPN_sKA_bDOK">#REF!</definedName>
    <definedName name="UPJS_vKPN_sKA_PDS" localSheetId="1">#REF!</definedName>
    <definedName name="UPJS_vKPN_sKA_PDS">#REF!</definedName>
    <definedName name="Uv">#REF!</definedName>
    <definedName name="UVL_paiDOK2000" localSheetId="1">#REF!</definedName>
    <definedName name="UVL_paiDOK2000">#REF!</definedName>
    <definedName name="UVL_pD2001_DS_bKA" localSheetId="1">#REF!</definedName>
    <definedName name="UVL_pD2001_DS_bKA">#REF!</definedName>
    <definedName name="UVL_pP2000_DS_bKA" localSheetId="1">#REF!</definedName>
    <definedName name="UVL_pP2000_DS_bKA">#REF!</definedName>
    <definedName name="UVL_pP2001_DS_bKA" localSheetId="1">#REF!</definedName>
    <definedName name="UVL_pP2001_DS_bKA">#REF!</definedName>
    <definedName name="UVL_pP2001_DS_sKA" localSheetId="1">#REF!</definedName>
    <definedName name="UVL_pP2001_DS_sKA">#REF!</definedName>
    <definedName name="UVL_ppa2000_bDOK" localSheetId="1">#REF!</definedName>
    <definedName name="UVL_ppa2000_bDOK">#REF!</definedName>
    <definedName name="UVL_pps_bKA" localSheetId="1">#REF!</definedName>
    <definedName name="UVL_pps_bKA">#REF!</definedName>
    <definedName name="UVL_pps_bKA_bDOK" localSheetId="1">#REF!</definedName>
    <definedName name="UVL_pps_bKA_bDOK">#REF!</definedName>
    <definedName name="UVL_pps_sKA" localSheetId="1">#REF!</definedName>
    <definedName name="UVL_pps_sKA">#REF!</definedName>
    <definedName name="UVL_pps_sKA_bDOK" localSheetId="1">#REF!</definedName>
    <definedName name="UVL_pps_sKA_bDOK">#REF!</definedName>
    <definedName name="UVL_vKEN_aiDOK" localSheetId="1">#REF!</definedName>
    <definedName name="UVL_vKEN_aiDOK">#REF!</definedName>
    <definedName name="UVL_vKEN_bKA" localSheetId="1">#REF!</definedName>
    <definedName name="UVL_vKEN_bKA">#REF!</definedName>
    <definedName name="UVL_vKEN_bKA_bDOK" localSheetId="1">#REF!</definedName>
    <definedName name="UVL_vKEN_bKA_bDOK">#REF!</definedName>
    <definedName name="UVL_vKEN_bKA_PDS" localSheetId="1">#REF!</definedName>
    <definedName name="UVL_vKEN_bKA_PDS">#REF!</definedName>
    <definedName name="UVL_vKEN_sKA" localSheetId="1">#REF!</definedName>
    <definedName name="UVL_vKEN_sKA">#REF!</definedName>
    <definedName name="UVL_vKEN_sKA_bDOK" localSheetId="1">#REF!</definedName>
    <definedName name="UVL_vKEN_sKA_bDOK">#REF!</definedName>
    <definedName name="UVL_vKEN_sKA_PDS" localSheetId="1">#REF!</definedName>
    <definedName name="UVL_vKEN_sKA_PDS">#REF!</definedName>
    <definedName name="UVL_vKPN_aiDOK" localSheetId="1">#REF!</definedName>
    <definedName name="UVL_vKPN_aiDOK">#REF!</definedName>
    <definedName name="UVL_vKPN_bKA" localSheetId="1">#REF!</definedName>
    <definedName name="UVL_vKPN_bKA">#REF!</definedName>
    <definedName name="UVL_vKPN_bKA_bDOK" localSheetId="1">#REF!</definedName>
    <definedName name="UVL_vKPN_bKA_bDOK">#REF!</definedName>
    <definedName name="UVL_vKPN_bKA_PDS" localSheetId="1">#REF!</definedName>
    <definedName name="UVL_vKPN_bKA_PDS">#REF!</definedName>
    <definedName name="UVL_vKPN_sKA" localSheetId="1">#REF!</definedName>
    <definedName name="UVL_vKPN_sKA">#REF!</definedName>
    <definedName name="UVL_vKPN_sKA_bDOK" localSheetId="1">#REF!</definedName>
    <definedName name="UVL_vKPN_sKA_bDOK">#REF!</definedName>
    <definedName name="UVL_vKPN_sKA_PDS" localSheetId="1">#REF!</definedName>
    <definedName name="UVL_vKPN_sKA_PDS">#REF!</definedName>
    <definedName name="vbn" localSheetId="1">'[4]Pr-6'!#REF!</definedName>
    <definedName name="vbn" localSheetId="0">'[5]Pr-6'!#REF!</definedName>
    <definedName name="vbn">'[5]Pr-6'!#REF!</definedName>
    <definedName name="VSMU_paiDOK2000" localSheetId="1">#REF!</definedName>
    <definedName name="VSMU_paiDOK2000">#REF!</definedName>
    <definedName name="VSMU_pD2001_DS_bKA" localSheetId="1">#REF!</definedName>
    <definedName name="VSMU_pD2001_DS_bKA">#REF!</definedName>
    <definedName name="VSMU_pP2000_DS_bKA" localSheetId="1">#REF!</definedName>
    <definedName name="VSMU_pP2000_DS_bKA">#REF!</definedName>
    <definedName name="VSMU_pP2001_DS_bKA" localSheetId="1">#REF!</definedName>
    <definedName name="VSMU_pP2001_DS_bKA">#REF!</definedName>
    <definedName name="VSMU_pP2001_DS_sKA" localSheetId="1">#REF!</definedName>
    <definedName name="VSMU_pP2001_DS_sKA">#REF!</definedName>
    <definedName name="VSMU_ppa2000_bDOK" localSheetId="1">#REF!</definedName>
    <definedName name="VSMU_ppa2000_bDOK">#REF!</definedName>
    <definedName name="VSMU_pps_bKA" localSheetId="1">#REF!</definedName>
    <definedName name="VSMU_pps_bKA">#REF!</definedName>
    <definedName name="VSMU_pps_bKA_bDOK" localSheetId="1">#REF!</definedName>
    <definedName name="VSMU_pps_bKA_bDOK">#REF!</definedName>
    <definedName name="VSMU_pps_sKA" localSheetId="1">#REF!</definedName>
    <definedName name="VSMU_pps_sKA">#REF!</definedName>
    <definedName name="VSMU_pps_sKA_bDOK" localSheetId="1">#REF!</definedName>
    <definedName name="VSMU_pps_sKA_bDOK">#REF!</definedName>
    <definedName name="VSMU_vKEN_aiDOK" localSheetId="1">#REF!</definedName>
    <definedName name="VSMU_vKEN_aiDOK">#REF!</definedName>
    <definedName name="VSMU_vKEN_bKA" localSheetId="1">#REF!</definedName>
    <definedName name="VSMU_vKEN_bKA">#REF!</definedName>
    <definedName name="VSMU_vKEN_bKA_bDOK" localSheetId="1">#REF!</definedName>
    <definedName name="VSMU_vKEN_bKA_bDOK">#REF!</definedName>
    <definedName name="VSMU_vKEN_bKA_PDS" localSheetId="1">#REF!</definedName>
    <definedName name="VSMU_vKEN_bKA_PDS">#REF!</definedName>
    <definedName name="VSMU_vKEN_sKA" localSheetId="1">#REF!</definedName>
    <definedName name="VSMU_vKEN_sKA">#REF!</definedName>
    <definedName name="VSMU_vKEN_sKA_bDOK" localSheetId="1">#REF!</definedName>
    <definedName name="VSMU_vKEN_sKA_bDOK">#REF!</definedName>
    <definedName name="VSMU_vKEN_sKA_PDS" localSheetId="1">#REF!</definedName>
    <definedName name="VSMU_vKEN_sKA_PDS">#REF!</definedName>
    <definedName name="VSMU_vKPN_aiDOK" localSheetId="1">#REF!</definedName>
    <definedName name="VSMU_vKPN_aiDOK">#REF!</definedName>
    <definedName name="VSMU_vKPN_bKA" localSheetId="1">#REF!</definedName>
    <definedName name="VSMU_vKPN_bKA">#REF!</definedName>
    <definedName name="VSMU_vKPN_bKA_bDOK" localSheetId="1">#REF!</definedName>
    <definedName name="VSMU_vKPN_bKA_bDOK">#REF!</definedName>
    <definedName name="VSMU_vKPN_bKA_PDS" localSheetId="1">#REF!</definedName>
    <definedName name="VSMU_vKPN_bKA_PDS">#REF!</definedName>
    <definedName name="VSMU_vKPN_sKA" localSheetId="1">#REF!</definedName>
    <definedName name="VSMU_vKPN_sKA">#REF!</definedName>
    <definedName name="VSMU_vKPN_sKA_bDOK" localSheetId="1">#REF!</definedName>
    <definedName name="VSMU_vKPN_sKA_bDOK">#REF!</definedName>
    <definedName name="VSMU_vKPN_sKA_PDS" localSheetId="1">#REF!</definedName>
    <definedName name="VSMU_vKPN_sKA_PDS">#REF!</definedName>
    <definedName name="VSVU_paiDOK2000" localSheetId="1">#REF!</definedName>
    <definedName name="VSVU_paiDOK2000">#REF!</definedName>
    <definedName name="VSVU_pD2001_DS_bKA" localSheetId="1">#REF!</definedName>
    <definedName name="VSVU_pD2001_DS_bKA">#REF!</definedName>
    <definedName name="VSVU_pP2000_DS_bKA" localSheetId="1">#REF!</definedName>
    <definedName name="VSVU_pP2000_DS_bKA">#REF!</definedName>
    <definedName name="VSVU_pP2001_DS_bKA" localSheetId="1">#REF!</definedName>
    <definedName name="VSVU_pP2001_DS_bKA">#REF!</definedName>
    <definedName name="VSVU_pP2001_DS_sKA" localSheetId="1">#REF!</definedName>
    <definedName name="VSVU_pP2001_DS_sKA">#REF!</definedName>
    <definedName name="VSVU_ppa2000_bDOK" localSheetId="1">#REF!</definedName>
    <definedName name="VSVU_ppa2000_bDOK">#REF!</definedName>
    <definedName name="VSVU_pps_bKA" localSheetId="1">#REF!</definedName>
    <definedName name="VSVU_pps_bKA">#REF!</definedName>
    <definedName name="VSVU_pps_bKA_bDOK" localSheetId="1">#REF!</definedName>
    <definedName name="VSVU_pps_bKA_bDOK">#REF!</definedName>
    <definedName name="VSVU_pps_sKA" localSheetId="1">#REF!</definedName>
    <definedName name="VSVU_pps_sKA">#REF!</definedName>
    <definedName name="VSVU_pps_sKA_bDOK" localSheetId="1">#REF!</definedName>
    <definedName name="VSVU_pps_sKA_bDOK">#REF!</definedName>
    <definedName name="VSVU_vKEN_aiDOK" localSheetId="1">#REF!</definedName>
    <definedName name="VSVU_vKEN_aiDOK">#REF!</definedName>
    <definedName name="VSVU_vKEN_bKA" localSheetId="1">#REF!</definedName>
    <definedName name="VSVU_vKEN_bKA">#REF!</definedName>
    <definedName name="VSVU_vKEN_bKA_bDOK" localSheetId="1">#REF!</definedName>
    <definedName name="VSVU_vKEN_bKA_bDOK">#REF!</definedName>
    <definedName name="VSVU_vKEN_bKA_PDS" localSheetId="1">#REF!</definedName>
    <definedName name="VSVU_vKEN_bKA_PDS">#REF!</definedName>
    <definedName name="VSVU_vKEN_sKA" localSheetId="1">#REF!</definedName>
    <definedName name="VSVU_vKEN_sKA">#REF!</definedName>
    <definedName name="VSVU_vKEN_sKA_bDOK" localSheetId="1">#REF!</definedName>
    <definedName name="VSVU_vKEN_sKA_bDOK">#REF!</definedName>
    <definedName name="VSVU_vKEN_sKA_PDS" localSheetId="1">#REF!</definedName>
    <definedName name="VSVU_vKEN_sKA_PDS">#REF!</definedName>
    <definedName name="VSVU_vKPN_aiDOK" localSheetId="1">#REF!</definedName>
    <definedName name="VSVU_vKPN_aiDOK">#REF!</definedName>
    <definedName name="VSVU_vKPN_bKA" localSheetId="1">#REF!</definedName>
    <definedName name="VSVU_vKPN_bKA">#REF!</definedName>
    <definedName name="VSVU_vKPN_bKA_bDOK" localSheetId="1">#REF!</definedName>
    <definedName name="VSVU_vKPN_bKA_bDOK">#REF!</definedName>
    <definedName name="VSVU_vKPN_bKA_PDS" localSheetId="1">#REF!</definedName>
    <definedName name="VSVU_vKPN_bKA_PDS">#REF!</definedName>
    <definedName name="VSVU_vKPN_sKA" localSheetId="1">#REF!</definedName>
    <definedName name="VSVU_vKPN_sKA">#REF!</definedName>
    <definedName name="VSVU_vKPN_sKA_bDOK" localSheetId="1">#REF!</definedName>
    <definedName name="VSVU_vKPN_sKA_bDOK">#REF!</definedName>
    <definedName name="VSVU_vKPN_sKA_PDS" localSheetId="1">#REF!</definedName>
    <definedName name="VSVU_vKPN_sKA_PDS">#REF!</definedName>
    <definedName name="x">#REF!</definedName>
    <definedName name="xxxxxxxxxxxx">#REF!</definedName>
    <definedName name="ZMI">'[21]priplatky20'!$K$7</definedName>
    <definedName name="ZMII">'[21]priplatky20'!$L$7</definedName>
    <definedName name="ZU_paiDOK2000" localSheetId="1">#REF!</definedName>
    <definedName name="ZU_paiDOK2000">#REF!</definedName>
    <definedName name="ZU_pD2001_DS_bKA" localSheetId="1">#REF!</definedName>
    <definedName name="ZU_pD2001_DS_bKA">#REF!</definedName>
    <definedName name="ZU_pP2000_DS_bKA" localSheetId="1">#REF!</definedName>
    <definedName name="ZU_pP2000_DS_bKA">#REF!</definedName>
    <definedName name="ZU_pP2001_DS_bKA" localSheetId="1">#REF!</definedName>
    <definedName name="ZU_pP2001_DS_bKA">#REF!</definedName>
    <definedName name="ZU_pP2001_DS_sKA" localSheetId="1">#REF!</definedName>
    <definedName name="ZU_pP2001_DS_sKA">#REF!</definedName>
    <definedName name="ZU_ppa2000_bDOK" localSheetId="1">#REF!</definedName>
    <definedName name="ZU_ppa2000_bDOK">#REF!</definedName>
    <definedName name="ZU_pps_bKA" localSheetId="1">#REF!</definedName>
    <definedName name="ZU_pps_bKA">#REF!</definedName>
    <definedName name="ZU_pps_bKA_bDOK" localSheetId="1">#REF!</definedName>
    <definedName name="ZU_pps_bKA_bDOK">#REF!</definedName>
    <definedName name="ZU_pps_sKA" localSheetId="1">#REF!</definedName>
    <definedName name="ZU_pps_sKA">#REF!</definedName>
    <definedName name="ZU_pps_sKA_bDOK" localSheetId="1">#REF!</definedName>
    <definedName name="ZU_pps_sKA_bDOK">#REF!</definedName>
    <definedName name="ZU_vKEN_aiDOK" localSheetId="1">#REF!</definedName>
    <definedName name="ZU_vKEN_aiDOK">#REF!</definedName>
    <definedName name="ZU_vKEN_bKA" localSheetId="1">#REF!</definedName>
    <definedName name="ZU_vKEN_bKA">#REF!</definedName>
    <definedName name="ZU_vKEN_bKA_bDOK" localSheetId="1">#REF!</definedName>
    <definedName name="ZU_vKEN_bKA_bDOK">#REF!</definedName>
    <definedName name="ZU_vKEN_bKA_PDS" localSheetId="1">#REF!</definedName>
    <definedName name="ZU_vKEN_bKA_PDS">#REF!</definedName>
    <definedName name="ZU_vKEN_sKA" localSheetId="1">#REF!</definedName>
    <definedName name="ZU_vKEN_sKA">#REF!</definedName>
    <definedName name="ZU_vKEN_sKA_bDOK" localSheetId="1">#REF!</definedName>
    <definedName name="ZU_vKEN_sKA_bDOK">#REF!</definedName>
    <definedName name="ZU_vKEN_sKA_PDS" localSheetId="1">#REF!</definedName>
    <definedName name="ZU_vKEN_sKA_PDS">#REF!</definedName>
    <definedName name="ZU_vKPN_aiDOK" localSheetId="1">#REF!</definedName>
    <definedName name="ZU_vKPN_aiDOK">#REF!</definedName>
    <definedName name="ZU_vKPN_bKA" localSheetId="1">#REF!</definedName>
    <definedName name="ZU_vKPN_bKA">#REF!</definedName>
    <definedName name="ZU_vKPN_bKA_bDOK" localSheetId="1">#REF!</definedName>
    <definedName name="ZU_vKPN_bKA_bDOK">#REF!</definedName>
    <definedName name="ZU_vKPN_bKA_PDS" localSheetId="1">#REF!</definedName>
    <definedName name="ZU_vKPN_bKA_PDS">#REF!</definedName>
    <definedName name="ZU_vKPN_sKA" localSheetId="1">#REF!</definedName>
    <definedName name="ZU_vKPN_sKA">#REF!</definedName>
    <definedName name="ZU_vKPN_sKA_bDOK" localSheetId="1">#REF!</definedName>
    <definedName name="ZU_vKPN_sKA_bDOK">#REF!</definedName>
    <definedName name="ZU_vKPN_sKA_PDS" localSheetId="1">#REF!</definedName>
    <definedName name="ZU_vKPN_sKA_PDS">#REF!</definedName>
  </definedNames>
  <calcPr fullCalcOnLoad="1"/>
</workbook>
</file>

<file path=xl/sharedStrings.xml><?xml version="1.0" encoding="utf-8"?>
<sst xmlns="http://schemas.openxmlformats.org/spreadsheetml/2006/main" count="349" uniqueCount="194">
  <si>
    <t>STU  s u m á r</t>
  </si>
  <si>
    <t>SvF</t>
  </si>
  <si>
    <t>SjF</t>
  </si>
  <si>
    <t>FEI</t>
  </si>
  <si>
    <t>FCHPT</t>
  </si>
  <si>
    <t>FA</t>
  </si>
  <si>
    <t>MtF</t>
  </si>
  <si>
    <t>FIIT</t>
  </si>
  <si>
    <t xml:space="preserve">UZ ŠDaJ </t>
  </si>
  <si>
    <t>UM</t>
  </si>
  <si>
    <t>R+CUP bez účelSTU</t>
  </si>
  <si>
    <t>účel STU*/</t>
  </si>
  <si>
    <t>S T U</t>
  </si>
  <si>
    <t>Bežné a kapitálové výdavky spolu</t>
  </si>
  <si>
    <t>Bežné výdavky spolu</t>
  </si>
  <si>
    <t>BV z toho: veda a výskum</t>
  </si>
  <si>
    <t xml:space="preserve">Program  077 </t>
  </si>
  <si>
    <t>Podprogram  07712 - veda a technika</t>
  </si>
  <si>
    <t>FR do 07711</t>
  </si>
  <si>
    <t>Podprogram  077 13 - rozvoj VŠ</t>
  </si>
  <si>
    <t>0771501 - sociálne štipendiá</t>
  </si>
  <si>
    <t>ÚZ ŠDaJ</t>
  </si>
  <si>
    <t>R+CUP</t>
  </si>
  <si>
    <t>Rezerva</t>
  </si>
  <si>
    <t>STU spolu</t>
  </si>
  <si>
    <t>P/PP</t>
  </si>
  <si>
    <t>07713</t>
  </si>
  <si>
    <t>interné úpravy dotácie mimo DZ:</t>
  </si>
  <si>
    <t>interné úpravy dotácie dľa DZ:</t>
  </si>
  <si>
    <t>štip.DrŠ-nové miesta-rez.</t>
  </si>
  <si>
    <t>úpravy - vzájomné výkony vo vzdel. MP</t>
  </si>
  <si>
    <t>úpravy- vzájomné výkony vo vzd. odvody</t>
  </si>
  <si>
    <t>presun mezi programami  - odvody</t>
  </si>
  <si>
    <t>presuny z Fondu rektora -odvody</t>
  </si>
  <si>
    <t>úpravy spolu</t>
  </si>
  <si>
    <t>úpravy spolu dľa DZ</t>
  </si>
  <si>
    <t xml:space="preserve">ÚPRAVY  DOTÁCIE  KAPITÁLOVÝCH  VÝDAVKOV  </t>
  </si>
  <si>
    <t xml:space="preserve">Upravená dotácia podľa DZ </t>
  </si>
  <si>
    <t xml:space="preserve">KEGA                            </t>
  </si>
  <si>
    <t xml:space="preserve">rozv.proj. Portál.riešenie VŠ                     </t>
  </si>
  <si>
    <t xml:space="preserve">rozv.proj. 5d                         </t>
  </si>
  <si>
    <t xml:space="preserve">rozv.proj. 5f                           </t>
  </si>
  <si>
    <t>príl. č. 2</t>
  </si>
  <si>
    <t>v €</t>
  </si>
  <si>
    <t>Podprogram 06K11 - APVV</t>
  </si>
  <si>
    <t>Podprogram 06K12- prierezové programy</t>
  </si>
  <si>
    <t>Podprogram 06K12</t>
  </si>
  <si>
    <t>Podprogram 06K0A02-štátne programy</t>
  </si>
  <si>
    <t>Podprogram 05T08 - zahr. štipendisti</t>
  </si>
  <si>
    <t>Podprogram 0210203 - proj. DAAD</t>
  </si>
  <si>
    <t>Kapitálové výdavky celkom</t>
  </si>
  <si>
    <t>Kapitálové výdavky 077</t>
  </si>
  <si>
    <t>077 12 02 - VEGA</t>
  </si>
  <si>
    <t>077 12 05 - KEGA</t>
  </si>
  <si>
    <t xml:space="preserve">    077 11- odvody z miezd</t>
  </si>
  <si>
    <t xml:space="preserve">    077 11-TaS</t>
  </si>
  <si>
    <t xml:space="preserve">Podprogram  077 11 - VŠ vzdelávanie </t>
  </si>
  <si>
    <t xml:space="preserve">    077 11- mzdy</t>
  </si>
  <si>
    <t>Podprogram  077 15 - sociálne služby</t>
  </si>
  <si>
    <t>Úpravy po AS</t>
  </si>
  <si>
    <t>presuny z Fondu rektora -mzdy</t>
  </si>
  <si>
    <t>projekty APVV</t>
  </si>
  <si>
    <t>presun mezi programami  - TaS</t>
  </si>
  <si>
    <t>CUVTIS</t>
  </si>
  <si>
    <t>UZ Technik</t>
  </si>
  <si>
    <t>Vládni štipendisti</t>
  </si>
  <si>
    <t>06K 11</t>
  </si>
  <si>
    <t>prierezové projekty</t>
  </si>
  <si>
    <t>fond obnovy</t>
  </si>
  <si>
    <t>Nerozd.účel MŠ</t>
  </si>
  <si>
    <t>Know-how centrum</t>
  </si>
  <si>
    <t>Postdoktorandský program</t>
  </si>
  <si>
    <t xml:space="preserve">0771502 - motivačné štipendiá </t>
  </si>
  <si>
    <t>Schválená dotácia AS 2014</t>
  </si>
  <si>
    <t>k</t>
  </si>
  <si>
    <t>Nerozd.účel MŠ + fond obnovy</t>
  </si>
  <si>
    <t>05T 08</t>
  </si>
  <si>
    <t>021 02 03</t>
  </si>
  <si>
    <t>06K 12</t>
  </si>
  <si>
    <t>077 12 01</t>
  </si>
  <si>
    <t>077 11</t>
  </si>
  <si>
    <t>SIVVPP  energie</t>
  </si>
  <si>
    <t>v tom integrátori AIS, SIVVP</t>
  </si>
  <si>
    <t>UVP</t>
  </si>
  <si>
    <t>Fak.,UM,UVP spolu</t>
  </si>
  <si>
    <t>AS</t>
  </si>
  <si>
    <t>v tom FR</t>
  </si>
  <si>
    <t>činnosti vedeckej rady (Útvar vedy)</t>
  </si>
  <si>
    <t>súdne spory a poplatky</t>
  </si>
  <si>
    <t>Projektové stredisko</t>
  </si>
  <si>
    <t>0771502 - motivačné štipendiá pre vybrané štud. odbory</t>
  </si>
  <si>
    <t>projekty DAAD, vládne štipendiá</t>
  </si>
  <si>
    <t>Stuba Green Team</t>
  </si>
  <si>
    <t>0771201 - inštituc. veda spolu        v tom:</t>
  </si>
  <si>
    <t>mladý výskumník + excelentné tímy</t>
  </si>
  <si>
    <t>presun medzi súčasťami, VEGA</t>
  </si>
  <si>
    <t>presun mezi programami  - mzdy</t>
  </si>
  <si>
    <t xml:space="preserve">presun mezi programami </t>
  </si>
  <si>
    <t>/v zmysle Dotačnej zmluvy/prerozdelenie prostriedkov na šport</t>
  </si>
  <si>
    <t>presun medzi súčasťami, KEGA</t>
  </si>
  <si>
    <t>presuny z AS - mzdy</t>
  </si>
  <si>
    <t>presuny z AS - odvody</t>
  </si>
  <si>
    <t>077 11 / 610</t>
  </si>
  <si>
    <t>077 11 / 620</t>
  </si>
  <si>
    <t>ÚPRAVY  DOTÁCIE  BEŽNÝCH  VÝDAVKOV  ROK 2020</t>
  </si>
  <si>
    <t>presun medzi súčasťami, APVV</t>
  </si>
  <si>
    <t>najlepšia publikácia, umelecký výkon</t>
  </si>
  <si>
    <t>Dodatok č. 1 - VEGA</t>
  </si>
  <si>
    <t>Dodatok č. 1 - KEGA</t>
  </si>
  <si>
    <t>077 12 02</t>
  </si>
  <si>
    <t>077 12 05</t>
  </si>
  <si>
    <t>úpravy v zmysle Smerice rektora č. 8/2017 /mzdy a odvody/</t>
  </si>
  <si>
    <t>Schválená dotácia 2020</t>
  </si>
  <si>
    <t>Valorizácia 2020</t>
  </si>
  <si>
    <t>Dopad val. od 1.9.19 na 8 mes.</t>
  </si>
  <si>
    <t>077 11 - Mzdy výkonové</t>
  </si>
  <si>
    <t xml:space="preserve">v tom: účel z Mš      </t>
  </si>
  <si>
    <t>v tom na podporu štud. so špecif. potr.</t>
  </si>
  <si>
    <t>materiálnotech. a org. zabezp. vzdelávacích činností pre STU (Útvar vzdelávania)</t>
  </si>
  <si>
    <t>zahr. SC vedenia STU, členské STU v medzinárodných org. EUA a  SEFI, zahr. aktivity STU - stretnutie rektorov 4TU, sieť pobalstkých univerzít, sieť dunajských univerzít (Útvar medzin.mobility štud).</t>
  </si>
  <si>
    <t>Inzercia, propag. Mat. STU, PR a med. porad., účasť STU na veľtrhoch a výstavách, monitor. médií, corp. identity, univ. akcie, prieskum verejnej mienky o STU. (Útvar práce s ver.)</t>
  </si>
  <si>
    <t>Vydavateľstvo SPEKTRUM STU</t>
  </si>
  <si>
    <t>VO Softvér (e-Biz)</t>
  </si>
  <si>
    <t>FO</t>
  </si>
  <si>
    <t>07712 - výkonové zložky</t>
  </si>
  <si>
    <t>Valorizácia VVZ na rok 2020</t>
  </si>
  <si>
    <t>Dopady val. od 1.9. na 8 mes.</t>
  </si>
  <si>
    <t>Zvýšenie DrŠ na 2020</t>
  </si>
  <si>
    <t>Dopady zvýš. DrŠ na 8 mes.</t>
  </si>
  <si>
    <t xml:space="preserve">Podpora tímov H2020 </t>
  </si>
  <si>
    <t>Špičkové výk. (karent 1Q)</t>
  </si>
  <si>
    <t>Špičkové tímy STU</t>
  </si>
  <si>
    <t>členstvo v KIC EIT (v r.2019 proj. EIT)</t>
  </si>
  <si>
    <t>Mladý výsk. a excelentné tímy</t>
  </si>
  <si>
    <t>Podpora štud. organizácií</t>
  </si>
  <si>
    <t>Centrum akademického športu</t>
  </si>
  <si>
    <t>Knižničné liciencie a databázy</t>
  </si>
  <si>
    <t>ANSIS, MATLAB, ARL, LabView, e-Porady</t>
  </si>
  <si>
    <t>CVT - upgrade hardvéru</t>
  </si>
  <si>
    <t>Podprogram 07715 03 spolu</t>
  </si>
  <si>
    <t>077 1503   ŠD spolu</t>
  </si>
  <si>
    <t>077 1503 - ŠD - mzdy</t>
  </si>
  <si>
    <t>077 1503 - ŠD - odvody</t>
  </si>
  <si>
    <t>077 1503 - ŠD - valorizácia</t>
  </si>
  <si>
    <t>0771503 - ŠD - valorizácia odvody</t>
  </si>
  <si>
    <t>077 1503 - ŠD - na ubyt. študentov</t>
  </si>
  <si>
    <t>077 1503- ŠD - na prevádzku</t>
  </si>
  <si>
    <t xml:space="preserve">077 1503 - strav. príspevok </t>
  </si>
  <si>
    <t>077 1503 - kultúra, šport</t>
  </si>
  <si>
    <t>InQb</t>
  </si>
  <si>
    <t>Vedec roka, naj. Publik. &amp; um.výkon roka</t>
  </si>
  <si>
    <t>077 15 03 / 0810</t>
  </si>
  <si>
    <t>úprava medzi programami CAŠ</t>
  </si>
  <si>
    <t>077 11 / 630</t>
  </si>
  <si>
    <t>úprava - ÚVP z roku 2019</t>
  </si>
  <si>
    <t>úprava prorektori rok 2020 - mzdy + odvody</t>
  </si>
  <si>
    <t>rozdelenie rezervy na univerzitné vedecké parky</t>
  </si>
  <si>
    <t>zmena zdroja na InQ</t>
  </si>
  <si>
    <t>presum FR - mzdy a odvody</t>
  </si>
  <si>
    <t>Dodatok č. 2 - Obnova existujúcich toaliet a rekonštrukcia zdravotníckych inštalácií a areálových sietí FA_077 11 _ RI 41494</t>
  </si>
  <si>
    <t>Dodatok č. 3 - VEGA</t>
  </si>
  <si>
    <t>Dodatok č. 3 - šport</t>
  </si>
  <si>
    <t>077 15 03</t>
  </si>
  <si>
    <t>Dodatok č. 4 - COVID-19_dopady pandémie</t>
  </si>
  <si>
    <t>Dodatok č. 6 - zúčtovanie motivačných odborových štipendií poskytnurých v roku 2019</t>
  </si>
  <si>
    <t>077 15 02</t>
  </si>
  <si>
    <t>Dodatok č. 5 - Komplexná rekonštrukcia izieb blokov A1-A4, ŠD Mladosť_RI 37403</t>
  </si>
  <si>
    <t>Dodatok č. 2 - Obnova existujúcich toaliet a rekonštrukcia zdravotníckych inštalácií a areálových sietí FA- RI 41494 /zdroj 131J/</t>
  </si>
  <si>
    <t>Projekty APVV - COVID 19</t>
  </si>
  <si>
    <t>APVV - COVID 19</t>
  </si>
  <si>
    <t>Dodatok č. 7 - rekreácie - účelová /1. - 9.2020/</t>
  </si>
  <si>
    <t>Dodatok č. 7 - rekreácie - účelová predpoklad</t>
  </si>
  <si>
    <t xml:space="preserve">077 11 </t>
  </si>
  <si>
    <t>úprava R STU-KnowHowCentrum</t>
  </si>
  <si>
    <t>077 15 01</t>
  </si>
  <si>
    <t>Dodatok č. 8 - COVID-19_dopady pandémie -presun mezi programami</t>
  </si>
  <si>
    <t>presun-rekreačné poukazy za 10.a11.mesiac</t>
  </si>
  <si>
    <t>Dodatok č. 8 - úprava stravného príspevku na zýáklade revítie k 31.10.2020</t>
  </si>
  <si>
    <t>Dodatok č. 9 - rozvojový projekt- HRS4R na DTU</t>
  </si>
  <si>
    <t>077 13</t>
  </si>
  <si>
    <t>Dodatok č. 9 - úprava soc.štipendií po revízii k 31.10.</t>
  </si>
  <si>
    <t>Dodatok č. 9 - dofinancovanie vzdelávacej činnosti</t>
  </si>
  <si>
    <t>Dodatok č. 9 - dofinancovanie výskumnej, vývojovej aumeleckej činnosti</t>
  </si>
  <si>
    <t>Súhrnná tabuľka o rozpise dotácie STU k  31.12.2020</t>
  </si>
  <si>
    <t>Dodatok č. 9 - rozvojový projekt- STU T6-podporné centrum pre študentov</t>
  </si>
  <si>
    <t>DOTÁCIE KV SPOLU k  31.12.2020</t>
  </si>
  <si>
    <t>interná žiadosť_dopady pandémie_presun mezi súčasťami</t>
  </si>
  <si>
    <t>DOTÁCIE BV SPOLU k  31.12.2020</t>
  </si>
  <si>
    <t xml:space="preserve">DOTÁCIE BV SPOLU PODĽA DZ   k 31.12.2020                             </t>
  </si>
  <si>
    <t>DOTÁCIE KV SPOLU PODĽA  DZ k 31.12.2020</t>
  </si>
  <si>
    <t>Upravená dotácia podľa DZ k 31.12.2020</t>
  </si>
  <si>
    <t>Dodatok č. 5 - Komplexná rekonštrukcia izieb blokov A1-A4, ŠD Mladosť /zdroj 111/, RI 37403</t>
  </si>
  <si>
    <t>FAD</t>
  </si>
  <si>
    <t>príl. č. 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</si>
</sst>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.00\ &quot;EUR&quot;_-;\-* #,##0.00\ &quot;EUR&quot;_-;_-* &quot;-&quot;??\ &quot;EUR&quot;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00"/>
    <numFmt numFmtId="181" formatCode="0.0"/>
    <numFmt numFmtId="182" formatCode="0.0000_ ;[Red]\-0.0000\ "/>
    <numFmt numFmtId="183" formatCode="0_ ;[Red]\-0\ "/>
    <numFmt numFmtId="184" formatCode="#,##0.000"/>
    <numFmt numFmtId="185" formatCode="#,##0.0000"/>
    <numFmt numFmtId="186" formatCode="#,##0.0"/>
    <numFmt numFmtId="187" formatCode="0.0000"/>
    <numFmt numFmtId="188" formatCode="#,##0.00000"/>
    <numFmt numFmtId="189" formatCode="#,##0.000000"/>
    <numFmt numFmtId="190" formatCode="#,##0.0000000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4"/>
      <color indexed="4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color indexed="57"/>
      <name val="Arial CE"/>
      <family val="2"/>
    </font>
    <font>
      <b/>
      <sz val="12"/>
      <name val="Arial CE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name val="Arial CE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i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0"/>
      <color indexed="48"/>
      <name val="Arial CE"/>
      <family val="2"/>
    </font>
    <font>
      <sz val="10"/>
      <color indexed="10"/>
      <name val="Arial CE"/>
      <family val="2"/>
    </font>
    <font>
      <sz val="10"/>
      <color indexed="48"/>
      <name val="Arial"/>
      <family val="2"/>
    </font>
    <font>
      <sz val="10"/>
      <color indexed="57"/>
      <name val="Arial"/>
      <family val="2"/>
    </font>
    <font>
      <sz val="10"/>
      <color indexed="57"/>
      <name val="Arial CE"/>
      <family val="2"/>
    </font>
    <font>
      <sz val="10"/>
      <color indexed="10"/>
      <name val="Arial"/>
      <family val="2"/>
    </font>
    <font>
      <sz val="12"/>
      <name val="Arial CE"/>
      <family val="2"/>
    </font>
    <font>
      <i/>
      <sz val="10"/>
      <color indexed="48"/>
      <name val="Arial CE"/>
      <family val="2"/>
    </font>
    <font>
      <sz val="11"/>
      <color indexed="48"/>
      <name val="Arial CE"/>
      <family val="2"/>
    </font>
    <font>
      <b/>
      <sz val="11"/>
      <name val="Arial CE"/>
      <family val="2"/>
    </font>
    <font>
      <sz val="10"/>
      <color indexed="48"/>
      <name val="Arial CE"/>
      <family val="2"/>
    </font>
    <font>
      <u val="single"/>
      <sz val="10"/>
      <name val="Arial CE"/>
      <family val="2"/>
    </font>
    <font>
      <b/>
      <i/>
      <sz val="11"/>
      <name val="Times New Roman"/>
      <family val="1"/>
    </font>
    <font>
      <b/>
      <sz val="11"/>
      <name val="Times New Roman CE"/>
      <family val="1"/>
    </font>
    <font>
      <i/>
      <sz val="10"/>
      <color indexed="10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4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CE"/>
      <family val="2"/>
    </font>
    <font>
      <b/>
      <sz val="10"/>
      <color indexed="36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sz val="10"/>
      <color theme="1"/>
      <name val="Arial CE"/>
      <family val="2"/>
    </font>
    <font>
      <sz val="11"/>
      <color rgb="FFFF0000"/>
      <name val="Times New Roman"/>
      <family val="1"/>
    </font>
    <font>
      <b/>
      <sz val="10"/>
      <color rgb="FF7030A0"/>
      <name val="Arial CE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8E4B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818">
    <xf numFmtId="0" fontId="0" fillId="0" borderId="0" xfId="0" applyAlignment="1">
      <alignment/>
    </xf>
    <xf numFmtId="0" fontId="20" fillId="0" borderId="0" xfId="52" applyFont="1">
      <alignment/>
      <protection/>
    </xf>
    <xf numFmtId="0" fontId="0" fillId="0" borderId="0" xfId="0" applyFont="1" applyAlignment="1">
      <alignment/>
    </xf>
    <xf numFmtId="0" fontId="22" fillId="0" borderId="0" xfId="52" applyFo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" fontId="2" fillId="0" borderId="10" xfId="52" applyNumberFormat="1" applyFont="1" applyFill="1" applyBorder="1">
      <alignment/>
      <protection/>
    </xf>
    <xf numFmtId="0" fontId="23" fillId="0" borderId="0" xfId="0" applyFont="1" applyAlignment="1">
      <alignment/>
    </xf>
    <xf numFmtId="0" fontId="2" fillId="0" borderId="11" xfId="52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2" fillId="0" borderId="11" xfId="52" applyFont="1" applyFill="1" applyBorder="1">
      <alignment/>
      <protection/>
    </xf>
    <xf numFmtId="0" fontId="2" fillId="0" borderId="12" xfId="52" applyFont="1" applyFill="1" applyBorder="1">
      <alignment/>
      <protection/>
    </xf>
    <xf numFmtId="4" fontId="2" fillId="0" borderId="13" xfId="52" applyNumberFormat="1" applyFont="1" applyBorder="1">
      <alignment/>
      <protection/>
    </xf>
    <xf numFmtId="0" fontId="2" fillId="33" borderId="14" xfId="52" applyFont="1" applyFill="1" applyBorder="1">
      <alignment/>
      <protection/>
    </xf>
    <xf numFmtId="0" fontId="22" fillId="0" borderId="0" xfId="52" applyFont="1" applyAlignment="1">
      <alignment horizontal="right"/>
      <protection/>
    </xf>
    <xf numFmtId="4" fontId="22" fillId="0" borderId="0" xfId="52" applyNumberFormat="1" applyFont="1">
      <alignment/>
      <protection/>
    </xf>
    <xf numFmtId="0" fontId="24" fillId="0" borderId="0" xfId="0" applyFont="1" applyAlignment="1">
      <alignment/>
    </xf>
    <xf numFmtId="4" fontId="20" fillId="0" borderId="0" xfId="52" applyNumberFormat="1" applyFont="1">
      <alignment/>
      <protection/>
    </xf>
    <xf numFmtId="0" fontId="26" fillId="0" borderId="0" xfId="0" applyFont="1" applyAlignment="1">
      <alignment/>
    </xf>
    <xf numFmtId="0" fontId="2" fillId="0" borderId="0" xfId="54">
      <alignment/>
      <protection/>
    </xf>
    <xf numFmtId="0" fontId="4" fillId="0" borderId="0" xfId="54" applyFont="1" applyBorder="1" applyAlignment="1">
      <alignment horizontal="left"/>
      <protection/>
    </xf>
    <xf numFmtId="4" fontId="3" fillId="0" borderId="0" xfId="54" applyNumberFormat="1" applyFont="1" applyBorder="1" applyAlignment="1">
      <alignment horizontal="center"/>
      <protection/>
    </xf>
    <xf numFmtId="0" fontId="8" fillId="0" borderId="0" xfId="54" applyFont="1">
      <alignment/>
      <protection/>
    </xf>
    <xf numFmtId="4" fontId="10" fillId="34" borderId="15" xfId="54" applyNumberFormat="1" applyFont="1" applyFill="1" applyBorder="1" applyAlignment="1">
      <alignment horizontal="center"/>
      <protection/>
    </xf>
    <xf numFmtId="4" fontId="11" fillId="34" borderId="15" xfId="54" applyNumberFormat="1" applyFont="1" applyFill="1" applyBorder="1" applyAlignment="1">
      <alignment horizontal="center" wrapText="1"/>
      <protection/>
    </xf>
    <xf numFmtId="0" fontId="27" fillId="0" borderId="0" xfId="54" applyFont="1">
      <alignment/>
      <protection/>
    </xf>
    <xf numFmtId="0" fontId="13" fillId="0" borderId="0" xfId="54" applyFont="1">
      <alignment/>
      <protection/>
    </xf>
    <xf numFmtId="4" fontId="16" fillId="0" borderId="16" xfId="54" applyNumberFormat="1" applyFont="1" applyFill="1" applyBorder="1">
      <alignment/>
      <protection/>
    </xf>
    <xf numFmtId="0" fontId="5" fillId="0" borderId="0" xfId="54" applyFont="1">
      <alignment/>
      <protection/>
    </xf>
    <xf numFmtId="0" fontId="28" fillId="0" borderId="0" xfId="54" applyFont="1">
      <alignment/>
      <protection/>
    </xf>
    <xf numFmtId="0" fontId="13" fillId="34" borderId="0" xfId="54" applyFont="1" applyFill="1">
      <alignment/>
      <protection/>
    </xf>
    <xf numFmtId="4" fontId="16" fillId="34" borderId="13" xfId="54" applyNumberFormat="1" applyFont="1" applyFill="1" applyBorder="1">
      <alignment/>
      <protection/>
    </xf>
    <xf numFmtId="0" fontId="29" fillId="0" borderId="0" xfId="54" applyFont="1">
      <alignment/>
      <protection/>
    </xf>
    <xf numFmtId="0" fontId="6" fillId="0" borderId="0" xfId="54" applyFont="1">
      <alignment/>
      <protection/>
    </xf>
    <xf numFmtId="0" fontId="2" fillId="0" borderId="0" xfId="54" applyFill="1">
      <alignment/>
      <protection/>
    </xf>
    <xf numFmtId="0" fontId="2" fillId="0" borderId="0" xfId="54" applyFont="1" applyFill="1">
      <alignment/>
      <protection/>
    </xf>
    <xf numFmtId="0" fontId="9" fillId="0" borderId="0" xfId="54" applyFont="1">
      <alignment/>
      <protection/>
    </xf>
    <xf numFmtId="4" fontId="16" fillId="35" borderId="13" xfId="54" applyNumberFormat="1" applyFont="1" applyFill="1" applyBorder="1">
      <alignment/>
      <protection/>
    </xf>
    <xf numFmtId="4" fontId="2" fillId="36" borderId="17" xfId="54" applyNumberFormat="1" applyFill="1" applyBorder="1">
      <alignment/>
      <protection/>
    </xf>
    <xf numFmtId="4" fontId="2" fillId="0" borderId="0" xfId="54" applyNumberFormat="1">
      <alignment/>
      <protection/>
    </xf>
    <xf numFmtId="0" fontId="2" fillId="0" borderId="18" xfId="52" applyFont="1" applyFill="1" applyBorder="1">
      <alignment/>
      <protection/>
    </xf>
    <xf numFmtId="0" fontId="2" fillId="0" borderId="0" xfId="54" applyFont="1" applyAlignment="1">
      <alignment horizontal="right"/>
      <protection/>
    </xf>
    <xf numFmtId="2" fontId="8" fillId="0" borderId="19" xfId="54" applyNumberFormat="1" applyFont="1" applyBorder="1" applyAlignment="1">
      <alignment horizontal="left"/>
      <protection/>
    </xf>
    <xf numFmtId="4" fontId="2" fillId="0" borderId="13" xfId="54" applyNumberFormat="1" applyFont="1" applyFill="1" applyBorder="1">
      <alignment/>
      <protection/>
    </xf>
    <xf numFmtId="4" fontId="2" fillId="0" borderId="13" xfId="52" applyNumberFormat="1" applyFont="1" applyFill="1" applyBorder="1">
      <alignment/>
      <protection/>
    </xf>
    <xf numFmtId="4" fontId="2" fillId="0" borderId="20" xfId="52" applyNumberFormat="1" applyFont="1" applyFill="1" applyBorder="1">
      <alignment/>
      <protection/>
    </xf>
    <xf numFmtId="4" fontId="2" fillId="0" borderId="20" xfId="52" applyNumberFormat="1" applyFont="1" applyBorder="1">
      <alignment/>
      <protection/>
    </xf>
    <xf numFmtId="4" fontId="2" fillId="0" borderId="16" xfId="52" applyNumberFormat="1" applyFont="1" applyFill="1" applyBorder="1">
      <alignment/>
      <protection/>
    </xf>
    <xf numFmtId="0" fontId="2" fillId="0" borderId="18" xfId="52" applyFont="1" applyFill="1" applyBorder="1" applyAlignment="1">
      <alignment wrapText="1"/>
      <protection/>
    </xf>
    <xf numFmtId="4" fontId="32" fillId="34" borderId="0" xfId="54" applyNumberFormat="1" applyFont="1" applyFill="1">
      <alignment/>
      <protection/>
    </xf>
    <xf numFmtId="4" fontId="16" fillId="34" borderId="16" xfId="54" applyNumberFormat="1" applyFont="1" applyFill="1" applyBorder="1">
      <alignment/>
      <protection/>
    </xf>
    <xf numFmtId="4" fontId="2" fillId="36" borderId="21" xfId="57" applyNumberFormat="1" applyFont="1" applyFill="1" applyBorder="1" applyAlignment="1">
      <alignment/>
    </xf>
    <xf numFmtId="4" fontId="2" fillId="36" borderId="21" xfId="54" applyNumberFormat="1" applyFill="1" applyBorder="1">
      <alignment/>
      <protection/>
    </xf>
    <xf numFmtId="0" fontId="9" fillId="0" borderId="22" xfId="54" applyFont="1" applyBorder="1" applyAlignment="1">
      <alignment horizontal="left"/>
      <protection/>
    </xf>
    <xf numFmtId="4" fontId="2" fillId="35" borderId="17" xfId="54" applyNumberFormat="1" applyFill="1" applyBorder="1">
      <alignment/>
      <protection/>
    </xf>
    <xf numFmtId="0" fontId="6" fillId="36" borderId="22" xfId="52" applyFont="1" applyFill="1" applyBorder="1">
      <alignment/>
      <protection/>
    </xf>
    <xf numFmtId="0" fontId="6" fillId="37" borderId="18" xfId="52" applyFont="1" applyFill="1" applyBorder="1">
      <alignment/>
      <protection/>
    </xf>
    <xf numFmtId="0" fontId="6" fillId="0" borderId="0" xfId="52" applyFont="1">
      <alignment/>
      <protection/>
    </xf>
    <xf numFmtId="4" fontId="16" fillId="34" borderId="23" xfId="54" applyNumberFormat="1" applyFont="1" applyFill="1" applyBorder="1">
      <alignment/>
      <protection/>
    </xf>
    <xf numFmtId="4" fontId="9" fillId="0" borderId="14" xfId="54" applyNumberFormat="1" applyFont="1" applyBorder="1" applyAlignment="1">
      <alignment horizontal="left"/>
      <protection/>
    </xf>
    <xf numFmtId="4" fontId="9" fillId="0" borderId="22" xfId="54" applyNumberFormat="1" applyFont="1" applyBorder="1" applyAlignment="1">
      <alignment horizontal="center"/>
      <protection/>
    </xf>
    <xf numFmtId="4" fontId="6" fillId="0" borderId="0" xfId="54" applyNumberFormat="1" applyFont="1">
      <alignment/>
      <protection/>
    </xf>
    <xf numFmtId="4" fontId="15" fillId="36" borderId="16" xfId="54" applyNumberFormat="1" applyFont="1" applyFill="1" applyBorder="1" applyAlignment="1">
      <alignment horizontal="left" vertical="center" wrapText="1"/>
      <protection/>
    </xf>
    <xf numFmtId="4" fontId="2" fillId="0" borderId="0" xfId="54" applyNumberFormat="1" applyFont="1">
      <alignment/>
      <protection/>
    </xf>
    <xf numFmtId="4" fontId="2" fillId="0" borderId="0" xfId="54" applyNumberFormat="1" applyFont="1" applyAlignment="1">
      <alignment horizontal="right"/>
      <protection/>
    </xf>
    <xf numFmtId="4" fontId="2" fillId="0" borderId="0" xfId="54" applyNumberFormat="1" applyFont="1">
      <alignment/>
      <protection/>
    </xf>
    <xf numFmtId="4" fontId="16" fillId="38" borderId="13" xfId="54" applyNumberFormat="1" applyFont="1" applyFill="1" applyBorder="1">
      <alignment/>
      <protection/>
    </xf>
    <xf numFmtId="0" fontId="2" fillId="39" borderId="18" xfId="52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6" fillId="0" borderId="22" xfId="52" applyFont="1" applyBorder="1">
      <alignment/>
      <protection/>
    </xf>
    <xf numFmtId="4" fontId="7" fillId="34" borderId="15" xfId="54" applyNumberFormat="1" applyFont="1" applyFill="1" applyBorder="1" applyAlignment="1">
      <alignment horizontal="center" wrapText="1"/>
      <protection/>
    </xf>
    <xf numFmtId="0" fontId="6" fillId="36" borderId="24" xfId="52" applyFont="1" applyFill="1" applyBorder="1">
      <alignment/>
      <protection/>
    </xf>
    <xf numFmtId="0" fontId="6" fillId="33" borderId="22" xfId="52" applyFont="1" applyFill="1" applyBorder="1">
      <alignment/>
      <protection/>
    </xf>
    <xf numFmtId="4" fontId="6" fillId="33" borderId="15" xfId="52" applyNumberFormat="1" applyFont="1" applyFill="1" applyBorder="1">
      <alignment/>
      <protection/>
    </xf>
    <xf numFmtId="0" fontId="6" fillId="0" borderId="25" xfId="52" applyFont="1" applyFill="1" applyBorder="1">
      <alignment/>
      <protection/>
    </xf>
    <xf numFmtId="4" fontId="6" fillId="0" borderId="13" xfId="52" applyNumberFormat="1" applyFont="1" applyFill="1" applyBorder="1">
      <alignment/>
      <protection/>
    </xf>
    <xf numFmtId="4" fontId="6" fillId="0" borderId="23" xfId="52" applyNumberFormat="1" applyFont="1" applyFill="1" applyBorder="1">
      <alignment/>
      <protection/>
    </xf>
    <xf numFmtId="4" fontId="2" fillId="0" borderId="17" xfId="52" applyNumberFormat="1" applyFont="1" applyBorder="1">
      <alignment/>
      <protection/>
    </xf>
    <xf numFmtId="4" fontId="2" fillId="0" borderId="26" xfId="52" applyNumberFormat="1" applyFont="1" applyBorder="1">
      <alignment/>
      <protection/>
    </xf>
    <xf numFmtId="4" fontId="6" fillId="36" borderId="27" xfId="52" applyNumberFormat="1" applyFont="1" applyFill="1" applyBorder="1">
      <alignment/>
      <protection/>
    </xf>
    <xf numFmtId="0" fontId="20" fillId="0" borderId="0" xfId="0" applyFont="1" applyAlignment="1">
      <alignment horizontal="right"/>
    </xf>
    <xf numFmtId="0" fontId="6" fillId="0" borderId="24" xfId="52" applyFont="1" applyBorder="1">
      <alignment/>
      <protection/>
    </xf>
    <xf numFmtId="4" fontId="6" fillId="0" borderId="28" xfId="52" applyNumberFormat="1" applyFont="1" applyBorder="1" applyAlignment="1">
      <alignment horizontal="center"/>
      <protection/>
    </xf>
    <xf numFmtId="4" fontId="6" fillId="0" borderId="29" xfId="52" applyNumberFormat="1" applyFont="1" applyBorder="1" applyAlignment="1">
      <alignment horizontal="center"/>
      <protection/>
    </xf>
    <xf numFmtId="0" fontId="6" fillId="40" borderId="24" xfId="52" applyFont="1" applyFill="1" applyBorder="1">
      <alignment/>
      <protection/>
    </xf>
    <xf numFmtId="4" fontId="6" fillId="40" borderId="30" xfId="52" applyNumberFormat="1" applyFont="1" applyFill="1" applyBorder="1">
      <alignment/>
      <protection/>
    </xf>
    <xf numFmtId="4" fontId="6" fillId="40" borderId="15" xfId="52" applyNumberFormat="1" applyFont="1" applyFill="1" applyBorder="1">
      <alignment/>
      <protection/>
    </xf>
    <xf numFmtId="4" fontId="2" fillId="0" borderId="10" xfId="52" applyNumberFormat="1" applyFont="1" applyFill="1" applyBorder="1">
      <alignment/>
      <protection/>
    </xf>
    <xf numFmtId="4" fontId="2" fillId="0" borderId="23" xfId="52" applyNumberFormat="1" applyFont="1" applyBorder="1">
      <alignment/>
      <protection/>
    </xf>
    <xf numFmtId="0" fontId="2" fillId="0" borderId="13" xfId="52" applyFont="1" applyFill="1" applyBorder="1">
      <alignment/>
      <protection/>
    </xf>
    <xf numFmtId="49" fontId="2" fillId="0" borderId="13" xfId="52" applyNumberFormat="1" applyFont="1" applyFill="1" applyBorder="1" applyAlignment="1">
      <alignment horizontal="right"/>
      <protection/>
    </xf>
    <xf numFmtId="4" fontId="2" fillId="0" borderId="17" xfId="54" applyNumberFormat="1" applyFont="1" applyFill="1" applyBorder="1">
      <alignment/>
      <protection/>
    </xf>
    <xf numFmtId="4" fontId="2" fillId="0" borderId="31" xfId="52" applyNumberFormat="1" applyFont="1" applyBorder="1">
      <alignment/>
      <protection/>
    </xf>
    <xf numFmtId="4" fontId="2" fillId="0" borderId="19" xfId="52" applyNumberFormat="1" applyFont="1" applyBorder="1">
      <alignment/>
      <protection/>
    </xf>
    <xf numFmtId="4" fontId="6" fillId="0" borderId="17" xfId="52" applyNumberFormat="1" applyFont="1" applyFill="1" applyBorder="1">
      <alignment/>
      <protection/>
    </xf>
    <xf numFmtId="0" fontId="5" fillId="41" borderId="22" xfId="52" applyFont="1" applyFill="1" applyBorder="1">
      <alignment/>
      <protection/>
    </xf>
    <xf numFmtId="0" fontId="2" fillId="41" borderId="24" xfId="52" applyFont="1" applyFill="1" applyBorder="1">
      <alignment/>
      <protection/>
    </xf>
    <xf numFmtId="0" fontId="5" fillId="33" borderId="14" xfId="52" applyFont="1" applyFill="1" applyBorder="1">
      <alignment/>
      <protection/>
    </xf>
    <xf numFmtId="0" fontId="2" fillId="33" borderId="32" xfId="52" applyFont="1" applyFill="1" applyBorder="1">
      <alignment/>
      <protection/>
    </xf>
    <xf numFmtId="0" fontId="22" fillId="0" borderId="0" xfId="0" applyFont="1" applyAlignment="1">
      <alignment/>
    </xf>
    <xf numFmtId="4" fontId="10" fillId="39" borderId="15" xfId="54" applyNumberFormat="1" applyFont="1" applyFill="1" applyBorder="1" applyAlignment="1">
      <alignment horizontal="center"/>
      <protection/>
    </xf>
    <xf numFmtId="0" fontId="13" fillId="39" borderId="0" xfId="54" applyFont="1" applyFill="1">
      <alignment/>
      <protection/>
    </xf>
    <xf numFmtId="0" fontId="30" fillId="0" borderId="0" xfId="54" applyFont="1">
      <alignment/>
      <protection/>
    </xf>
    <xf numFmtId="4" fontId="15" fillId="36" borderId="21" xfId="54" applyNumberFormat="1" applyFont="1" applyFill="1" applyBorder="1">
      <alignment/>
      <protection/>
    </xf>
    <xf numFmtId="4" fontId="6" fillId="0" borderId="0" xfId="54" applyNumberFormat="1" applyFont="1">
      <alignment/>
      <protection/>
    </xf>
    <xf numFmtId="4" fontId="2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2" fillId="39" borderId="11" xfId="52" applyFont="1" applyFill="1" applyBorder="1" applyAlignment="1">
      <alignment wrapText="1"/>
      <protection/>
    </xf>
    <xf numFmtId="0" fontId="2" fillId="0" borderId="33" xfId="52" applyFont="1" applyFill="1" applyBorder="1" applyAlignment="1">
      <alignment wrapText="1"/>
      <protection/>
    </xf>
    <xf numFmtId="4" fontId="6" fillId="36" borderId="30" xfId="52" applyNumberFormat="1" applyFont="1" applyFill="1" applyBorder="1">
      <alignment/>
      <protection/>
    </xf>
    <xf numFmtId="4" fontId="6" fillId="0" borderId="30" xfId="52" applyNumberFormat="1" applyFont="1" applyBorder="1">
      <alignment/>
      <protection/>
    </xf>
    <xf numFmtId="4" fontId="5" fillId="37" borderId="15" xfId="52" applyNumberFormat="1" applyFont="1" applyFill="1" applyBorder="1">
      <alignment/>
      <protection/>
    </xf>
    <xf numFmtId="4" fontId="5" fillId="33" borderId="21" xfId="52" applyNumberFormat="1" applyFont="1" applyFill="1" applyBorder="1">
      <alignment/>
      <protection/>
    </xf>
    <xf numFmtId="4" fontId="6" fillId="36" borderId="15" xfId="52" applyNumberFormat="1" applyFont="1" applyFill="1" applyBorder="1">
      <alignment/>
      <protection/>
    </xf>
    <xf numFmtId="4" fontId="6" fillId="0" borderId="15" xfId="52" applyNumberFormat="1" applyFont="1" applyBorder="1">
      <alignment/>
      <protection/>
    </xf>
    <xf numFmtId="0" fontId="2" fillId="37" borderId="22" xfId="52" applyFont="1" applyFill="1" applyBorder="1">
      <alignment/>
      <protection/>
    </xf>
    <xf numFmtId="49" fontId="2" fillId="0" borderId="34" xfId="52" applyNumberFormat="1" applyFont="1" applyFill="1" applyBorder="1" applyAlignment="1">
      <alignment horizontal="left"/>
      <protection/>
    </xf>
    <xf numFmtId="0" fontId="27" fillId="0" borderId="0" xfId="54" applyFont="1" applyFill="1">
      <alignment/>
      <protection/>
    </xf>
    <xf numFmtId="4" fontId="2" fillId="0" borderId="35" xfId="52" applyNumberFormat="1" applyFont="1" applyBorder="1">
      <alignment/>
      <protection/>
    </xf>
    <xf numFmtId="4" fontId="5" fillId="33" borderId="14" xfId="52" applyNumberFormat="1" applyFont="1" applyFill="1" applyBorder="1">
      <alignment/>
      <protection/>
    </xf>
    <xf numFmtId="4" fontId="6" fillId="36" borderId="22" xfId="52" applyNumberFormat="1" applyFont="1" applyFill="1" applyBorder="1">
      <alignment/>
      <protection/>
    </xf>
    <xf numFmtId="4" fontId="6" fillId="0" borderId="22" xfId="52" applyNumberFormat="1" applyFont="1" applyBorder="1">
      <alignment/>
      <protection/>
    </xf>
    <xf numFmtId="4" fontId="5" fillId="0" borderId="13" xfId="52" applyNumberFormat="1" applyFont="1" applyBorder="1">
      <alignment/>
      <protection/>
    </xf>
    <xf numFmtId="4" fontId="6" fillId="36" borderId="36" xfId="52" applyNumberFormat="1" applyFont="1" applyFill="1" applyBorder="1">
      <alignment/>
      <protection/>
    </xf>
    <xf numFmtId="4" fontId="2" fillId="0" borderId="13" xfId="52" applyNumberFormat="1" applyFont="1" applyFill="1" applyBorder="1" applyAlignment="1">
      <alignment wrapText="1"/>
      <protection/>
    </xf>
    <xf numFmtId="4" fontId="2" fillId="39" borderId="13" xfId="52" applyNumberFormat="1" applyFont="1" applyFill="1" applyBorder="1">
      <alignment/>
      <protection/>
    </xf>
    <xf numFmtId="4" fontId="5" fillId="0" borderId="13" xfId="52" applyNumberFormat="1" applyFont="1" applyFill="1" applyBorder="1">
      <alignment/>
      <protection/>
    </xf>
    <xf numFmtId="4" fontId="2" fillId="0" borderId="37" xfId="52" applyNumberFormat="1" applyFont="1" applyBorder="1">
      <alignment/>
      <protection/>
    </xf>
    <xf numFmtId="4" fontId="6" fillId="36" borderId="38" xfId="52" applyNumberFormat="1" applyFont="1" applyFill="1" applyBorder="1">
      <alignment/>
      <protection/>
    </xf>
    <xf numFmtId="4" fontId="6" fillId="0" borderId="38" xfId="52" applyNumberFormat="1" applyFont="1" applyBorder="1">
      <alignment/>
      <protection/>
    </xf>
    <xf numFmtId="4" fontId="2" fillId="0" borderId="12" xfId="52" applyNumberFormat="1" applyFont="1" applyBorder="1">
      <alignment/>
      <protection/>
    </xf>
    <xf numFmtId="0" fontId="6" fillId="37" borderId="22" xfId="52" applyFont="1" applyFill="1" applyBorder="1">
      <alignment/>
      <protection/>
    </xf>
    <xf numFmtId="0" fontId="7" fillId="37" borderId="22" xfId="52" applyFont="1" applyFill="1" applyBorder="1">
      <alignment/>
      <protection/>
    </xf>
    <xf numFmtId="0" fontId="5" fillId="0" borderId="18" xfId="52" applyFont="1" applyFill="1" applyBorder="1">
      <alignment/>
      <protection/>
    </xf>
    <xf numFmtId="0" fontId="2" fillId="0" borderId="39" xfId="52" applyFont="1" applyFill="1" applyBorder="1">
      <alignment/>
      <protection/>
    </xf>
    <xf numFmtId="4" fontId="2" fillId="0" borderId="40" xfId="52" applyNumberFormat="1" applyFont="1" applyBorder="1">
      <alignment/>
      <protection/>
    </xf>
    <xf numFmtId="4" fontId="5" fillId="33" borderId="31" xfId="52" applyNumberFormat="1" applyFont="1" applyFill="1" applyBorder="1">
      <alignment/>
      <protection/>
    </xf>
    <xf numFmtId="0" fontId="6" fillId="0" borderId="15" xfId="52" applyFont="1" applyBorder="1">
      <alignment/>
      <protection/>
    </xf>
    <xf numFmtId="0" fontId="6" fillId="36" borderId="15" xfId="52" applyFont="1" applyFill="1" applyBorder="1">
      <alignment/>
      <protection/>
    </xf>
    <xf numFmtId="0" fontId="6" fillId="33" borderId="15" xfId="52" applyFont="1" applyFill="1" applyBorder="1" applyAlignment="1">
      <alignment wrapText="1"/>
      <protection/>
    </xf>
    <xf numFmtId="49" fontId="2" fillId="0" borderId="13" xfId="52" applyNumberFormat="1" applyFont="1" applyFill="1" applyBorder="1" applyAlignment="1">
      <alignment horizontal="right" wrapText="1"/>
      <protection/>
    </xf>
    <xf numFmtId="49" fontId="7" fillId="0" borderId="13" xfId="52" applyNumberFormat="1" applyFont="1" applyFill="1" applyBorder="1" applyAlignment="1">
      <alignment horizontal="right"/>
      <protection/>
    </xf>
    <xf numFmtId="49" fontId="5" fillId="37" borderId="15" xfId="52" applyNumberFormat="1" applyFont="1" applyFill="1" applyBorder="1">
      <alignment/>
      <protection/>
    </xf>
    <xf numFmtId="49" fontId="5" fillId="33" borderId="21" xfId="52" applyNumberFormat="1" applyFont="1" applyFill="1" applyBorder="1">
      <alignment/>
      <protection/>
    </xf>
    <xf numFmtId="4" fontId="2" fillId="0" borderId="13" xfId="0" applyNumberFormat="1" applyFont="1" applyFill="1" applyBorder="1" applyAlignment="1">
      <alignment/>
    </xf>
    <xf numFmtId="4" fontId="2" fillId="0" borderId="41" xfId="52" applyNumberFormat="1" applyFont="1" applyFill="1" applyBorder="1">
      <alignment/>
      <protection/>
    </xf>
    <xf numFmtId="4" fontId="2" fillId="0" borderId="41" xfId="52" applyNumberFormat="1" applyFont="1" applyBorder="1">
      <alignment/>
      <protection/>
    </xf>
    <xf numFmtId="4" fontId="2" fillId="0" borderId="42" xfId="52" applyNumberFormat="1" applyFont="1" applyBorder="1">
      <alignment/>
      <protection/>
    </xf>
    <xf numFmtId="4" fontId="5" fillId="33" borderId="19" xfId="52" applyNumberFormat="1" applyFont="1" applyFill="1" applyBorder="1">
      <alignment/>
      <protection/>
    </xf>
    <xf numFmtId="4" fontId="2" fillId="39" borderId="13" xfId="54" applyNumberFormat="1" applyFont="1" applyFill="1" applyBorder="1">
      <alignment/>
      <protection/>
    </xf>
    <xf numFmtId="4" fontId="2" fillId="0" borderId="43" xfId="52" applyNumberFormat="1" applyFont="1" applyFill="1" applyBorder="1">
      <alignment/>
      <protection/>
    </xf>
    <xf numFmtId="4" fontId="6" fillId="41" borderId="30" xfId="52" applyNumberFormat="1" applyFont="1" applyFill="1" applyBorder="1">
      <alignment/>
      <protection/>
    </xf>
    <xf numFmtId="4" fontId="2" fillId="0" borderId="21" xfId="52" applyNumberFormat="1" applyFont="1" applyBorder="1">
      <alignment/>
      <protection/>
    </xf>
    <xf numFmtId="4" fontId="6" fillId="41" borderId="15" xfId="52" applyNumberFormat="1" applyFont="1" applyFill="1" applyBorder="1">
      <alignment/>
      <protection/>
    </xf>
    <xf numFmtId="4" fontId="6" fillId="0" borderId="22" xfId="52" applyNumberFormat="1" applyFont="1" applyBorder="1" applyAlignment="1">
      <alignment horizontal="center"/>
      <protection/>
    </xf>
    <xf numFmtId="4" fontId="6" fillId="40" borderId="22" xfId="52" applyNumberFormat="1" applyFont="1" applyFill="1" applyBorder="1">
      <alignment/>
      <protection/>
    </xf>
    <xf numFmtId="4" fontId="2" fillId="0" borderId="33" xfId="52" applyNumberFormat="1" applyFont="1" applyFill="1" applyBorder="1">
      <alignment/>
      <protection/>
    </xf>
    <xf numFmtId="4" fontId="2" fillId="0" borderId="11" xfId="52" applyNumberFormat="1" applyFont="1" applyBorder="1">
      <alignment/>
      <protection/>
    </xf>
    <xf numFmtId="4" fontId="2" fillId="0" borderId="14" xfId="52" applyNumberFormat="1" applyFont="1" applyBorder="1">
      <alignment/>
      <protection/>
    </xf>
    <xf numFmtId="4" fontId="6" fillId="41" borderId="22" xfId="52" applyNumberFormat="1" applyFont="1" applyFill="1" applyBorder="1">
      <alignment/>
      <protection/>
    </xf>
    <xf numFmtId="4" fontId="6" fillId="0" borderId="30" xfId="52" applyNumberFormat="1" applyFont="1" applyBorder="1" applyAlignment="1">
      <alignment horizontal="center"/>
      <protection/>
    </xf>
    <xf numFmtId="4" fontId="6" fillId="0" borderId="15" xfId="52" applyNumberFormat="1" applyFont="1" applyBorder="1" applyAlignment="1">
      <alignment horizontal="center"/>
      <protection/>
    </xf>
    <xf numFmtId="4" fontId="2" fillId="0" borderId="21" xfId="52" applyNumberFormat="1" applyFont="1" applyFill="1" applyBorder="1">
      <alignment/>
      <protection/>
    </xf>
    <xf numFmtId="4" fontId="6" fillId="40" borderId="28" xfId="52" applyNumberFormat="1" applyFont="1" applyFill="1" applyBorder="1">
      <alignment/>
      <protection/>
    </xf>
    <xf numFmtId="4" fontId="6" fillId="0" borderId="38" xfId="52" applyNumberFormat="1" applyFont="1" applyBorder="1" applyAlignment="1">
      <alignment horizontal="center"/>
      <protection/>
    </xf>
    <xf numFmtId="4" fontId="6" fillId="40" borderId="38" xfId="52" applyNumberFormat="1" applyFont="1" applyFill="1" applyBorder="1">
      <alignment/>
      <protection/>
    </xf>
    <xf numFmtId="4" fontId="2" fillId="0" borderId="0" xfId="52" applyNumberFormat="1" applyFont="1" applyFill="1" applyBorder="1">
      <alignment/>
      <protection/>
    </xf>
    <xf numFmtId="4" fontId="6" fillId="41" borderId="38" xfId="52" applyNumberFormat="1" applyFont="1" applyFill="1" applyBorder="1">
      <alignment/>
      <protection/>
    </xf>
    <xf numFmtId="4" fontId="16" fillId="34" borderId="17" xfId="54" applyNumberFormat="1" applyFont="1" applyFill="1" applyBorder="1">
      <alignment/>
      <protection/>
    </xf>
    <xf numFmtId="4" fontId="30" fillId="0" borderId="0" xfId="54" applyNumberFormat="1" applyFont="1">
      <alignment/>
      <protection/>
    </xf>
    <xf numFmtId="49" fontId="2" fillId="0" borderId="13" xfId="52" applyNumberFormat="1" applyFont="1" applyFill="1" applyBorder="1" applyAlignment="1">
      <alignment horizontal="left"/>
      <protection/>
    </xf>
    <xf numFmtId="49" fontId="2" fillId="0" borderId="13" xfId="52" applyNumberFormat="1" applyFont="1" applyFill="1" applyBorder="1" applyAlignment="1">
      <alignment horizontal="left" wrapText="1"/>
      <protection/>
    </xf>
    <xf numFmtId="4" fontId="27" fillId="0" borderId="0" xfId="54" applyNumberFormat="1" applyFont="1" applyFill="1">
      <alignment/>
      <protection/>
    </xf>
    <xf numFmtId="4" fontId="27" fillId="0" borderId="0" xfId="54" applyNumberFormat="1" applyFont="1">
      <alignment/>
      <protection/>
    </xf>
    <xf numFmtId="4" fontId="0" fillId="0" borderId="0" xfId="0" applyNumberFormat="1" applyFont="1" applyAlignment="1">
      <alignment/>
    </xf>
    <xf numFmtId="4" fontId="6" fillId="0" borderId="0" xfId="52" applyNumberFormat="1" applyFont="1">
      <alignment/>
      <protection/>
    </xf>
    <xf numFmtId="4" fontId="5" fillId="41" borderId="15" xfId="52" applyNumberFormat="1" applyFont="1" applyFill="1" applyBorder="1">
      <alignment/>
      <protection/>
    </xf>
    <xf numFmtId="4" fontId="2" fillId="0" borderId="0" xfId="52" applyNumberFormat="1" applyFont="1">
      <alignment/>
      <protection/>
    </xf>
    <xf numFmtId="4" fontId="6" fillId="0" borderId="0" xfId="52" applyNumberFormat="1" applyFont="1">
      <alignment/>
      <protection/>
    </xf>
    <xf numFmtId="4" fontId="21" fillId="0" borderId="0" xfId="52" applyNumberFormat="1" applyFont="1">
      <alignment/>
      <protection/>
    </xf>
    <xf numFmtId="4" fontId="6" fillId="34" borderId="15" xfId="54" applyNumberFormat="1" applyFont="1" applyFill="1" applyBorder="1" applyAlignment="1">
      <alignment horizontal="center"/>
      <protection/>
    </xf>
    <xf numFmtId="4" fontId="7" fillId="34" borderId="15" xfId="56" applyNumberFormat="1" applyFont="1" applyFill="1" applyBorder="1" applyAlignment="1">
      <alignment wrapText="1"/>
      <protection/>
    </xf>
    <xf numFmtId="4" fontId="8" fillId="0" borderId="19" xfId="54" applyNumberFormat="1" applyFont="1" applyBorder="1">
      <alignment/>
      <protection/>
    </xf>
    <xf numFmtId="4" fontId="8" fillId="0" borderId="19" xfId="54" applyNumberFormat="1" applyFont="1" applyBorder="1">
      <alignment/>
      <protection/>
    </xf>
    <xf numFmtId="4" fontId="28" fillId="0" borderId="0" xfId="54" applyNumberFormat="1" applyFont="1">
      <alignment/>
      <protection/>
    </xf>
    <xf numFmtId="4" fontId="29" fillId="0" borderId="0" xfId="54" applyNumberFormat="1" applyFont="1">
      <alignment/>
      <protection/>
    </xf>
    <xf numFmtId="4" fontId="2" fillId="0" borderId="0" xfId="54" applyNumberFormat="1" applyFill="1">
      <alignment/>
      <protection/>
    </xf>
    <xf numFmtId="4" fontId="9" fillId="0" borderId="0" xfId="54" applyNumberFormat="1" applyFont="1">
      <alignment/>
      <protection/>
    </xf>
    <xf numFmtId="4" fontId="2" fillId="34" borderId="0" xfId="54" applyNumberFormat="1" applyFill="1">
      <alignment/>
      <protection/>
    </xf>
    <xf numFmtId="4" fontId="6" fillId="34" borderId="0" xfId="54" applyNumberFormat="1" applyFont="1" applyFill="1">
      <alignment/>
      <protection/>
    </xf>
    <xf numFmtId="4" fontId="10" fillId="34" borderId="38" xfId="54" applyNumberFormat="1" applyFont="1" applyFill="1" applyBorder="1" applyAlignment="1">
      <alignment horizontal="center"/>
      <protection/>
    </xf>
    <xf numFmtId="4" fontId="16" fillId="34" borderId="41" xfId="54" applyNumberFormat="1" applyFont="1" applyFill="1" applyBorder="1">
      <alignment/>
      <protection/>
    </xf>
    <xf numFmtId="4" fontId="16" fillId="38" borderId="41" xfId="54" applyNumberFormat="1" applyFont="1" applyFill="1" applyBorder="1">
      <alignment/>
      <protection/>
    </xf>
    <xf numFmtId="4" fontId="2" fillId="0" borderId="0" xfId="52" applyNumberFormat="1" applyFont="1" applyFill="1" applyBorder="1">
      <alignment/>
      <protection/>
    </xf>
    <xf numFmtId="4" fontId="2" fillId="36" borderId="37" xfId="54" applyNumberFormat="1" applyFill="1" applyBorder="1">
      <alignment/>
      <protection/>
    </xf>
    <xf numFmtId="4" fontId="15" fillId="34" borderId="20" xfId="54" applyNumberFormat="1" applyFont="1" applyFill="1" applyBorder="1">
      <alignment/>
      <protection/>
    </xf>
    <xf numFmtId="4" fontId="15" fillId="36" borderId="32" xfId="54" applyNumberFormat="1" applyFont="1" applyFill="1" applyBorder="1">
      <alignment/>
      <protection/>
    </xf>
    <xf numFmtId="4" fontId="20" fillId="39" borderId="0" xfId="52" applyNumberFormat="1" applyFont="1" applyFill="1">
      <alignment/>
      <protection/>
    </xf>
    <xf numFmtId="49" fontId="2" fillId="39" borderId="13" xfId="52" applyNumberFormat="1" applyFont="1" applyFill="1" applyBorder="1" applyAlignment="1">
      <alignment horizontal="left"/>
      <protection/>
    </xf>
    <xf numFmtId="49" fontId="5" fillId="0" borderId="13" xfId="52" applyNumberFormat="1" applyFont="1" applyFill="1" applyBorder="1" applyAlignment="1">
      <alignment horizontal="left"/>
      <protection/>
    </xf>
    <xf numFmtId="49" fontId="2" fillId="39" borderId="13" xfId="52" applyNumberFormat="1" applyFont="1" applyFill="1" applyBorder="1" applyAlignment="1">
      <alignment horizontal="left" wrapText="1"/>
      <protection/>
    </xf>
    <xf numFmtId="49" fontId="2" fillId="39" borderId="23" xfId="52" applyNumberFormat="1" applyFont="1" applyFill="1" applyBorder="1" applyAlignment="1">
      <alignment horizontal="left"/>
      <protection/>
    </xf>
    <xf numFmtId="4" fontId="16" fillId="34" borderId="20" xfId="54" applyNumberFormat="1" applyFont="1" applyFill="1" applyBorder="1">
      <alignment/>
      <protection/>
    </xf>
    <xf numFmtId="4" fontId="2" fillId="0" borderId="43" xfId="52" applyNumberFormat="1" applyFont="1" applyFill="1" applyBorder="1">
      <alignment/>
      <protection/>
    </xf>
    <xf numFmtId="4" fontId="16" fillId="35" borderId="20" xfId="54" applyNumberFormat="1" applyFont="1" applyFill="1" applyBorder="1">
      <alignment/>
      <protection/>
    </xf>
    <xf numFmtId="4" fontId="2" fillId="36" borderId="32" xfId="54" applyNumberFormat="1" applyFill="1" applyBorder="1">
      <alignment/>
      <protection/>
    </xf>
    <xf numFmtId="4" fontId="12" fillId="34" borderId="33" xfId="54" applyNumberFormat="1" applyFont="1" applyFill="1" applyBorder="1" applyAlignment="1">
      <alignment horizontal="left" vertical="center" wrapText="1"/>
      <protection/>
    </xf>
    <xf numFmtId="4" fontId="12" fillId="36" borderId="17" xfId="54" applyNumberFormat="1" applyFont="1" applyFill="1" applyBorder="1">
      <alignment/>
      <protection/>
    </xf>
    <xf numFmtId="4" fontId="37" fillId="38" borderId="13" xfId="54" applyNumberFormat="1" applyFont="1" applyFill="1" applyBorder="1" applyAlignment="1">
      <alignment horizontal="left" vertical="center" wrapText="1"/>
      <protection/>
    </xf>
    <xf numFmtId="4" fontId="37" fillId="0" borderId="13" xfId="54" applyNumberFormat="1" applyFont="1" applyBorder="1" applyAlignment="1">
      <alignment horizontal="left" vertical="center" wrapText="1"/>
      <protection/>
    </xf>
    <xf numFmtId="4" fontId="10" fillId="34" borderId="22" xfId="54" applyNumberFormat="1" applyFont="1" applyFill="1" applyBorder="1" applyAlignment="1">
      <alignment horizontal="center"/>
      <protection/>
    </xf>
    <xf numFmtId="4" fontId="16" fillId="39" borderId="18" xfId="54" applyNumberFormat="1" applyFont="1" applyFill="1" applyBorder="1">
      <alignment/>
      <protection/>
    </xf>
    <xf numFmtId="4" fontId="5" fillId="39" borderId="0" xfId="54" applyNumberFormat="1" applyFont="1" applyFill="1">
      <alignment/>
      <protection/>
    </xf>
    <xf numFmtId="0" fontId="5" fillId="39" borderId="0" xfId="54" applyFont="1" applyFill="1">
      <alignment/>
      <protection/>
    </xf>
    <xf numFmtId="4" fontId="12" fillId="38" borderId="22" xfId="54" applyNumberFormat="1" applyFont="1" applyFill="1" applyBorder="1" applyAlignment="1">
      <alignment horizontal="left" vertical="center" wrapText="1"/>
      <protection/>
    </xf>
    <xf numFmtId="4" fontId="12" fillId="42" borderId="22" xfId="54" applyNumberFormat="1" applyFont="1" applyFill="1" applyBorder="1" applyAlignment="1">
      <alignment horizontal="left" vertical="center" wrapText="1"/>
      <protection/>
    </xf>
    <xf numFmtId="4" fontId="2" fillId="36" borderId="26" xfId="54" applyNumberFormat="1" applyFill="1" applyBorder="1">
      <alignment/>
      <protection/>
    </xf>
    <xf numFmtId="3" fontId="38" fillId="0" borderId="18" xfId="56" applyNumberFormat="1" applyFont="1" applyBorder="1" applyAlignment="1">
      <alignment horizontal="right" vertical="center" wrapText="1"/>
      <protection/>
    </xf>
    <xf numFmtId="4" fontId="41" fillId="0" borderId="11" xfId="54" applyNumberFormat="1" applyFont="1" applyBorder="1" applyAlignment="1">
      <alignment horizontal="center" vertical="center" wrapText="1"/>
      <protection/>
    </xf>
    <xf numFmtId="4" fontId="41" fillId="0" borderId="12" xfId="54" applyNumberFormat="1" applyFont="1" applyBorder="1" applyAlignment="1">
      <alignment horizontal="center" vertical="center" wrapText="1"/>
      <protection/>
    </xf>
    <xf numFmtId="4" fontId="2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3" fontId="0" fillId="0" borderId="44" xfId="56" applyNumberFormat="1" applyFont="1" applyBorder="1" applyAlignment="1">
      <alignment horizontal="left" vertical="center" wrapText="1"/>
      <protection/>
    </xf>
    <xf numFmtId="4" fontId="18" fillId="0" borderId="36" xfId="54" applyNumberFormat="1" applyFont="1" applyBorder="1" applyAlignment="1">
      <alignment horizontal="left" vertical="center" wrapText="1"/>
      <protection/>
    </xf>
    <xf numFmtId="4" fontId="16" fillId="34" borderId="11" xfId="54" applyNumberFormat="1" applyFont="1" applyFill="1" applyBorder="1">
      <alignment/>
      <protection/>
    </xf>
    <xf numFmtId="4" fontId="16" fillId="35" borderId="12" xfId="54" applyNumberFormat="1" applyFont="1" applyFill="1" applyBorder="1">
      <alignment/>
      <protection/>
    </xf>
    <xf numFmtId="4" fontId="16" fillId="34" borderId="12" xfId="54" applyNumberFormat="1" applyFont="1" applyFill="1" applyBorder="1">
      <alignment/>
      <protection/>
    </xf>
    <xf numFmtId="4" fontId="2" fillId="36" borderId="35" xfId="54" applyNumberFormat="1" applyFill="1" applyBorder="1">
      <alignment/>
      <protection/>
    </xf>
    <xf numFmtId="4" fontId="2" fillId="36" borderId="14" xfId="54" applyNumberFormat="1" applyFill="1" applyBorder="1">
      <alignment/>
      <protection/>
    </xf>
    <xf numFmtId="4" fontId="37" fillId="0" borderId="16" xfId="54" applyNumberFormat="1" applyFont="1" applyBorder="1" applyAlignment="1">
      <alignment horizontal="left" vertical="center" wrapText="1"/>
      <protection/>
    </xf>
    <xf numFmtId="4" fontId="16" fillId="34" borderId="45" xfId="54" applyNumberFormat="1" applyFont="1" applyFill="1" applyBorder="1">
      <alignment/>
      <protection/>
    </xf>
    <xf numFmtId="4" fontId="16" fillId="34" borderId="46" xfId="54" applyNumberFormat="1" applyFont="1" applyFill="1" applyBorder="1">
      <alignment/>
      <protection/>
    </xf>
    <xf numFmtId="4" fontId="15" fillId="34" borderId="45" xfId="54" applyNumberFormat="1" applyFont="1" applyFill="1" applyBorder="1">
      <alignment/>
      <protection/>
    </xf>
    <xf numFmtId="3" fontId="38" fillId="0" borderId="11" xfId="56" applyNumberFormat="1" applyFont="1" applyBorder="1" applyAlignment="1">
      <alignment horizontal="right" vertical="center" wrapText="1"/>
      <protection/>
    </xf>
    <xf numFmtId="3" fontId="38" fillId="0" borderId="12" xfId="56" applyNumberFormat="1" applyFont="1" applyBorder="1" applyAlignment="1">
      <alignment horizontal="right" vertical="center" wrapText="1"/>
      <protection/>
    </xf>
    <xf numFmtId="49" fontId="2" fillId="0" borderId="20" xfId="52" applyNumberFormat="1" applyFont="1" applyFill="1" applyBorder="1" applyAlignment="1">
      <alignment horizontal="left"/>
      <protection/>
    </xf>
    <xf numFmtId="4" fontId="2" fillId="0" borderId="18" xfId="52" applyNumberFormat="1" applyFont="1" applyFill="1" applyBorder="1">
      <alignment/>
      <protection/>
    </xf>
    <xf numFmtId="4" fontId="2" fillId="0" borderId="45" xfId="52" applyNumberFormat="1" applyFont="1" applyFill="1" applyBorder="1">
      <alignment/>
      <protection/>
    </xf>
    <xf numFmtId="4" fontId="2" fillId="0" borderId="46" xfId="52" applyNumberFormat="1" applyFont="1" applyFill="1" applyBorder="1">
      <alignment/>
      <protection/>
    </xf>
    <xf numFmtId="4" fontId="6" fillId="0" borderId="10" xfId="52" applyNumberFormat="1" applyFont="1" applyFill="1" applyBorder="1">
      <alignment/>
      <protection/>
    </xf>
    <xf numFmtId="4" fontId="6" fillId="33" borderId="30" xfId="52" applyNumberFormat="1" applyFont="1" applyFill="1" applyBorder="1">
      <alignment/>
      <protection/>
    </xf>
    <xf numFmtId="4" fontId="6" fillId="33" borderId="38" xfId="52" applyNumberFormat="1" applyFont="1" applyFill="1" applyBorder="1">
      <alignment/>
      <protection/>
    </xf>
    <xf numFmtId="4" fontId="6" fillId="33" borderId="24" xfId="52" applyNumberFormat="1" applyFont="1" applyFill="1" applyBorder="1">
      <alignment/>
      <protection/>
    </xf>
    <xf numFmtId="0" fontId="0" fillId="0" borderId="18" xfId="52" applyFont="1" applyFill="1" applyBorder="1" applyAlignment="1">
      <alignment horizontal="left" wrapText="1"/>
      <protection/>
    </xf>
    <xf numFmtId="3" fontId="0" fillId="39" borderId="18" xfId="56" applyNumberFormat="1" applyFont="1" applyFill="1" applyBorder="1" applyAlignment="1">
      <alignment horizontal="left" vertical="center" wrapText="1"/>
      <protection/>
    </xf>
    <xf numFmtId="0" fontId="0" fillId="0" borderId="18" xfId="52" applyFont="1" applyFill="1" applyBorder="1" applyAlignment="1">
      <alignment horizontal="left"/>
      <protection/>
    </xf>
    <xf numFmtId="49" fontId="2" fillId="0" borderId="20" xfId="52" applyNumberFormat="1" applyFont="1" applyFill="1" applyBorder="1" applyAlignment="1">
      <alignment horizontal="left" wrapText="1"/>
      <protection/>
    </xf>
    <xf numFmtId="49" fontId="2" fillId="0" borderId="20" xfId="52" applyNumberFormat="1" applyFont="1" applyFill="1" applyBorder="1" applyAlignment="1">
      <alignment horizontal="right"/>
      <protection/>
    </xf>
    <xf numFmtId="0" fontId="6" fillId="0" borderId="45" xfId="52" applyFont="1" applyFill="1" applyBorder="1">
      <alignment/>
      <protection/>
    </xf>
    <xf numFmtId="49" fontId="2" fillId="0" borderId="45" xfId="52" applyNumberFormat="1" applyFont="1" applyFill="1" applyBorder="1" applyAlignment="1">
      <alignment horizontal="right"/>
      <protection/>
    </xf>
    <xf numFmtId="4" fontId="18" fillId="0" borderId="29" xfId="54" applyNumberFormat="1" applyFont="1" applyBorder="1" applyAlignment="1">
      <alignment horizontal="left" vertical="center" wrapText="1"/>
      <protection/>
    </xf>
    <xf numFmtId="0" fontId="2" fillId="0" borderId="16" xfId="52" applyFont="1" applyFill="1" applyBorder="1" applyAlignment="1">
      <alignment wrapText="1"/>
      <protection/>
    </xf>
    <xf numFmtId="0" fontId="7" fillId="37" borderId="13" xfId="52" applyFont="1" applyFill="1" applyBorder="1">
      <alignment/>
      <protection/>
    </xf>
    <xf numFmtId="0" fontId="2" fillId="0" borderId="16" xfId="52" applyFont="1" applyFill="1" applyBorder="1">
      <alignment/>
      <protection/>
    </xf>
    <xf numFmtId="0" fontId="2" fillId="0" borderId="17" xfId="52" applyFont="1" applyFill="1" applyBorder="1">
      <alignment/>
      <protection/>
    </xf>
    <xf numFmtId="0" fontId="6" fillId="0" borderId="36" xfId="52" applyFont="1" applyFill="1" applyBorder="1">
      <alignment/>
      <protection/>
    </xf>
    <xf numFmtId="4" fontId="2" fillId="0" borderId="36" xfId="52" applyNumberFormat="1" applyFont="1" applyFill="1" applyBorder="1">
      <alignment/>
      <protection/>
    </xf>
    <xf numFmtId="4" fontId="13" fillId="0" borderId="0" xfId="54" applyNumberFormat="1" applyFont="1">
      <alignment/>
      <protection/>
    </xf>
    <xf numFmtId="4" fontId="5" fillId="0" borderId="0" xfId="54" applyNumberFormat="1" applyFont="1">
      <alignment/>
      <protection/>
    </xf>
    <xf numFmtId="4" fontId="13" fillId="39" borderId="0" xfId="54" applyNumberFormat="1" applyFont="1" applyFill="1">
      <alignment/>
      <protection/>
    </xf>
    <xf numFmtId="4" fontId="2" fillId="0" borderId="0" xfId="54" applyNumberFormat="1" applyFont="1" applyFill="1">
      <alignment/>
      <protection/>
    </xf>
    <xf numFmtId="49" fontId="2" fillId="0" borderId="13" xfId="52" applyNumberFormat="1" applyFont="1" applyFill="1" applyBorder="1">
      <alignment/>
      <protection/>
    </xf>
    <xf numFmtId="49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right"/>
    </xf>
    <xf numFmtId="4" fontId="6" fillId="38" borderId="36" xfId="52" applyNumberFormat="1" applyFont="1" applyFill="1" applyBorder="1">
      <alignment/>
      <protection/>
    </xf>
    <xf numFmtId="4" fontId="82" fillId="0" borderId="13" xfId="52" applyNumberFormat="1" applyFont="1" applyFill="1" applyBorder="1">
      <alignment/>
      <protection/>
    </xf>
    <xf numFmtId="4" fontId="6" fillId="0" borderId="16" xfId="52" applyNumberFormat="1" applyFont="1" applyFill="1" applyBorder="1">
      <alignment/>
      <protection/>
    </xf>
    <xf numFmtId="4" fontId="2" fillId="34" borderId="16" xfId="52" applyNumberFormat="1" applyFont="1" applyFill="1" applyBorder="1">
      <alignment/>
      <protection/>
    </xf>
    <xf numFmtId="4" fontId="6" fillId="0" borderId="16" xfId="52" applyNumberFormat="1" applyFont="1" applyFill="1" applyBorder="1">
      <alignment/>
      <protection/>
    </xf>
    <xf numFmtId="4" fontId="83" fillId="39" borderId="13" xfId="52" applyNumberFormat="1" applyFont="1" applyFill="1" applyBorder="1">
      <alignment/>
      <protection/>
    </xf>
    <xf numFmtId="4" fontId="84" fillId="39" borderId="13" xfId="52" applyNumberFormat="1" applyFont="1" applyFill="1" applyBorder="1">
      <alignment/>
      <protection/>
    </xf>
    <xf numFmtId="4" fontId="6" fillId="0" borderId="16" xfId="52" applyNumberFormat="1" applyFont="1" applyFill="1" applyBorder="1" applyAlignment="1">
      <alignment wrapText="1"/>
      <protection/>
    </xf>
    <xf numFmtId="4" fontId="6" fillId="34" borderId="16" xfId="52" applyNumberFormat="1" applyFont="1" applyFill="1" applyBorder="1" applyAlignment="1">
      <alignment wrapText="1"/>
      <protection/>
    </xf>
    <xf numFmtId="4" fontId="2" fillId="0" borderId="16" xfId="52" applyNumberFormat="1" applyFont="1" applyFill="1" applyBorder="1" applyAlignment="1">
      <alignment wrapText="1"/>
      <protection/>
    </xf>
    <xf numFmtId="4" fontId="6" fillId="34" borderId="16" xfId="52" applyNumberFormat="1" applyFont="1" applyFill="1" applyBorder="1">
      <alignment/>
      <protection/>
    </xf>
    <xf numFmtId="4" fontId="7" fillId="0" borderId="13" xfId="52" applyNumberFormat="1" applyFont="1" applyFill="1" applyBorder="1">
      <alignment/>
      <protection/>
    </xf>
    <xf numFmtId="4" fontId="6" fillId="39" borderId="13" xfId="52" applyNumberFormat="1" applyFont="1" applyFill="1" applyBorder="1">
      <alignment/>
      <protection/>
    </xf>
    <xf numFmtId="4" fontId="2" fillId="39" borderId="13" xfId="52" applyNumberFormat="1" applyFont="1" applyFill="1" applyBorder="1">
      <alignment/>
      <protection/>
    </xf>
    <xf numFmtId="4" fontId="6" fillId="39" borderId="23" xfId="52" applyNumberFormat="1" applyFont="1" applyFill="1" applyBorder="1">
      <alignment/>
      <protection/>
    </xf>
    <xf numFmtId="4" fontId="2" fillId="0" borderId="13" xfId="52" applyNumberFormat="1" applyFont="1" applyFill="1" applyBorder="1">
      <alignment/>
      <protection/>
    </xf>
    <xf numFmtId="4" fontId="2" fillId="0" borderId="13" xfId="0" applyNumberFormat="1" applyFont="1" applyBorder="1" applyAlignment="1">
      <alignment/>
    </xf>
    <xf numFmtId="4" fontId="22" fillId="0" borderId="13" xfId="52" applyNumberFormat="1" applyFont="1" applyFill="1" applyBorder="1">
      <alignment/>
      <protection/>
    </xf>
    <xf numFmtId="4" fontId="7" fillId="0" borderId="23" xfId="52" applyNumberFormat="1" applyFont="1" applyFill="1" applyBorder="1">
      <alignment/>
      <protection/>
    </xf>
    <xf numFmtId="4" fontId="83" fillId="0" borderId="13" xfId="52" applyNumberFormat="1" applyFont="1" applyBorder="1">
      <alignment/>
      <protection/>
    </xf>
    <xf numFmtId="4" fontId="20" fillId="0" borderId="13" xfId="52" applyNumberFormat="1" applyFont="1" applyFill="1" applyBorder="1">
      <alignment/>
      <protection/>
    </xf>
    <xf numFmtId="4" fontId="7" fillId="0" borderId="17" xfId="52" applyNumberFormat="1" applyFont="1" applyFill="1" applyBorder="1">
      <alignment/>
      <protection/>
    </xf>
    <xf numFmtId="4" fontId="12" fillId="34" borderId="14" xfId="54" applyNumberFormat="1" applyFont="1" applyFill="1" applyBorder="1" applyAlignment="1">
      <alignment horizontal="right"/>
      <protection/>
    </xf>
    <xf numFmtId="4" fontId="12" fillId="34" borderId="21" xfId="54" applyNumberFormat="1" applyFont="1" applyFill="1" applyBorder="1" applyAlignment="1">
      <alignment horizontal="right"/>
      <protection/>
    </xf>
    <xf numFmtId="4" fontId="12" fillId="34" borderId="19" xfId="54" applyNumberFormat="1" applyFont="1" applyFill="1" applyBorder="1" applyAlignment="1">
      <alignment horizontal="right"/>
      <protection/>
    </xf>
    <xf numFmtId="4" fontId="12" fillId="34" borderId="15" xfId="54" applyNumberFormat="1" applyFont="1" applyFill="1" applyBorder="1">
      <alignment/>
      <protection/>
    </xf>
    <xf numFmtId="4" fontId="12" fillId="34" borderId="38" xfId="54" applyNumberFormat="1" applyFont="1" applyFill="1" applyBorder="1">
      <alignment/>
      <protection/>
    </xf>
    <xf numFmtId="4" fontId="16" fillId="36" borderId="15" xfId="54" applyNumberFormat="1" applyFont="1" applyFill="1" applyBorder="1">
      <alignment/>
      <protection/>
    </xf>
    <xf numFmtId="4" fontId="16" fillId="36" borderId="38" xfId="54" applyNumberFormat="1" applyFont="1" applyFill="1" applyBorder="1">
      <alignment/>
      <protection/>
    </xf>
    <xf numFmtId="4" fontId="12" fillId="43" borderId="15" xfId="54" applyNumberFormat="1" applyFont="1" applyFill="1" applyBorder="1">
      <alignment/>
      <protection/>
    </xf>
    <xf numFmtId="4" fontId="12" fillId="43" borderId="38" xfId="54" applyNumberFormat="1" applyFont="1" applyFill="1" applyBorder="1">
      <alignment/>
      <protection/>
    </xf>
    <xf numFmtId="4" fontId="15" fillId="33" borderId="29" xfId="54" applyNumberFormat="1" applyFont="1" applyFill="1" applyBorder="1" applyAlignment="1">
      <alignment horizontal="right" vertical="center" wrapText="1"/>
      <protection/>
    </xf>
    <xf numFmtId="4" fontId="15" fillId="33" borderId="47" xfId="54" applyNumberFormat="1" applyFont="1" applyFill="1" applyBorder="1" applyAlignment="1">
      <alignment horizontal="right" vertical="center" wrapText="1"/>
      <protection/>
    </xf>
    <xf numFmtId="4" fontId="15" fillId="37" borderId="15" xfId="56" applyNumberFormat="1" applyFont="1" applyFill="1" applyBorder="1">
      <alignment/>
      <protection/>
    </xf>
    <xf numFmtId="4" fontId="15" fillId="37" borderId="15" xfId="54" applyNumberFormat="1" applyFont="1" applyFill="1" applyBorder="1">
      <alignment/>
      <protection/>
    </xf>
    <xf numFmtId="4" fontId="33" fillId="37" borderId="15" xfId="56" applyNumberFormat="1" applyFont="1" applyFill="1" applyBorder="1">
      <alignment/>
      <protection/>
    </xf>
    <xf numFmtId="4" fontId="16" fillId="0" borderId="16" xfId="56" applyNumberFormat="1" applyFont="1" applyFill="1" applyBorder="1">
      <alignment/>
      <protection/>
    </xf>
    <xf numFmtId="4" fontId="16" fillId="0" borderId="46" xfId="56" applyNumberFormat="1" applyFont="1" applyFill="1" applyBorder="1">
      <alignment/>
      <protection/>
    </xf>
    <xf numFmtId="4" fontId="16" fillId="39" borderId="16" xfId="56" applyNumberFormat="1" applyFont="1" applyFill="1" applyBorder="1">
      <alignment/>
      <protection/>
    </xf>
    <xf numFmtId="4" fontId="5" fillId="0" borderId="13" xfId="56" applyNumberFormat="1" applyFont="1" applyBorder="1">
      <alignment/>
      <protection/>
    </xf>
    <xf numFmtId="4" fontId="15" fillId="38" borderId="15" xfId="56" applyNumberFormat="1" applyFont="1" applyFill="1" applyBorder="1">
      <alignment/>
      <protection/>
    </xf>
    <xf numFmtId="4" fontId="16" fillId="0" borderId="36" xfId="54" applyNumberFormat="1" applyFont="1" applyFill="1" applyBorder="1">
      <alignment/>
      <protection/>
    </xf>
    <xf numFmtId="4" fontId="5" fillId="0" borderId="16" xfId="56" applyNumberFormat="1" applyFont="1" applyBorder="1">
      <alignment/>
      <protection/>
    </xf>
    <xf numFmtId="4" fontId="16" fillId="0" borderId="13" xfId="56" applyNumberFormat="1" applyFont="1" applyFill="1" applyBorder="1">
      <alignment/>
      <protection/>
    </xf>
    <xf numFmtId="4" fontId="16" fillId="0" borderId="41" xfId="56" applyNumberFormat="1" applyFont="1" applyFill="1" applyBorder="1">
      <alignment/>
      <protection/>
    </xf>
    <xf numFmtId="4" fontId="16" fillId="39" borderId="13" xfId="54" applyNumberFormat="1" applyFont="1" applyFill="1" applyBorder="1">
      <alignment/>
      <protection/>
    </xf>
    <xf numFmtId="4" fontId="5" fillId="39" borderId="13" xfId="56" applyNumberFormat="1" applyFont="1" applyFill="1" applyBorder="1">
      <alignment/>
      <protection/>
    </xf>
    <xf numFmtId="4" fontId="16" fillId="0" borderId="13" xfId="54" applyNumberFormat="1" applyFont="1" applyFill="1" applyBorder="1">
      <alignment/>
      <protection/>
    </xf>
    <xf numFmtId="4" fontId="16" fillId="0" borderId="23" xfId="56" applyNumberFormat="1" applyFont="1" applyFill="1" applyBorder="1">
      <alignment/>
      <protection/>
    </xf>
    <xf numFmtId="4" fontId="16" fillId="0" borderId="42" xfId="56" applyNumberFormat="1" applyFont="1" applyFill="1" applyBorder="1">
      <alignment/>
      <protection/>
    </xf>
    <xf numFmtId="4" fontId="16" fillId="0" borderId="23" xfId="54" applyNumberFormat="1" applyFont="1" applyFill="1" applyBorder="1">
      <alignment/>
      <protection/>
    </xf>
    <xf numFmtId="4" fontId="33" fillId="40" borderId="15" xfId="56" applyNumberFormat="1" applyFont="1" applyFill="1" applyBorder="1">
      <alignment/>
      <protection/>
    </xf>
    <xf numFmtId="4" fontId="16" fillId="0" borderId="46" xfId="54" applyNumberFormat="1" applyFont="1" applyFill="1" applyBorder="1">
      <alignment/>
      <protection/>
    </xf>
    <xf numFmtId="4" fontId="16" fillId="35" borderId="16" xfId="54" applyNumberFormat="1" applyFont="1" applyFill="1" applyBorder="1">
      <alignment/>
      <protection/>
    </xf>
    <xf numFmtId="4" fontId="16" fillId="35" borderId="46" xfId="54" applyNumberFormat="1" applyFont="1" applyFill="1" applyBorder="1">
      <alignment/>
      <protection/>
    </xf>
    <xf numFmtId="4" fontId="16" fillId="39" borderId="16" xfId="54" applyNumberFormat="1" applyFont="1" applyFill="1" applyBorder="1">
      <alignment/>
      <protection/>
    </xf>
    <xf numFmtId="4" fontId="16" fillId="0" borderId="42" xfId="54" applyNumberFormat="1" applyFont="1" applyFill="1" applyBorder="1">
      <alignment/>
      <protection/>
    </xf>
    <xf numFmtId="4" fontId="14" fillId="34" borderId="10" xfId="54" applyNumberFormat="1" applyFont="1" applyFill="1" applyBorder="1">
      <alignment/>
      <protection/>
    </xf>
    <xf numFmtId="4" fontId="15" fillId="33" borderId="15" xfId="54" applyNumberFormat="1" applyFont="1" applyFill="1" applyBorder="1">
      <alignment/>
      <protection/>
    </xf>
    <xf numFmtId="4" fontId="15" fillId="33" borderId="38" xfId="54" applyNumberFormat="1" applyFont="1" applyFill="1" applyBorder="1">
      <alignment/>
      <protection/>
    </xf>
    <xf numFmtId="4" fontId="16" fillId="44" borderId="13" xfId="56" applyNumberFormat="1" applyFont="1" applyFill="1" applyBorder="1">
      <alignment/>
      <protection/>
    </xf>
    <xf numFmtId="4" fontId="5" fillId="0" borderId="41" xfId="56" applyNumberFormat="1" applyFont="1" applyBorder="1">
      <alignment/>
      <protection/>
    </xf>
    <xf numFmtId="4" fontId="2" fillId="0" borderId="13" xfId="56" applyNumberFormat="1" applyFont="1" applyBorder="1">
      <alignment/>
      <protection/>
    </xf>
    <xf numFmtId="4" fontId="2" fillId="39" borderId="16" xfId="56" applyNumberFormat="1" applyFont="1" applyFill="1" applyBorder="1">
      <alignment/>
      <protection/>
    </xf>
    <xf numFmtId="4" fontId="2" fillId="39" borderId="46" xfId="56" applyNumberFormat="1" applyFont="1" applyFill="1" applyBorder="1">
      <alignment/>
      <protection/>
    </xf>
    <xf numFmtId="4" fontId="15" fillId="34" borderId="13" xfId="54" applyNumberFormat="1" applyFont="1" applyFill="1" applyBorder="1">
      <alignment/>
      <protection/>
    </xf>
    <xf numFmtId="4" fontId="15" fillId="0" borderId="41" xfId="54" applyNumberFormat="1" applyFont="1" applyFill="1" applyBorder="1">
      <alignment/>
      <protection/>
    </xf>
    <xf numFmtId="4" fontId="15" fillId="0" borderId="13" xfId="54" applyNumberFormat="1" applyFont="1" applyFill="1" applyBorder="1">
      <alignment/>
      <protection/>
    </xf>
    <xf numFmtId="4" fontId="15" fillId="0" borderId="16" xfId="54" applyNumberFormat="1" applyFont="1" applyFill="1" applyBorder="1">
      <alignment/>
      <protection/>
    </xf>
    <xf numFmtId="4" fontId="15" fillId="0" borderId="23" xfId="54" applyNumberFormat="1" applyFont="1" applyFill="1" applyBorder="1">
      <alignment/>
      <protection/>
    </xf>
    <xf numFmtId="4" fontId="18" fillId="0" borderId="16" xfId="54" applyNumberFormat="1" applyFont="1" applyFill="1" applyBorder="1">
      <alignment/>
      <protection/>
    </xf>
    <xf numFmtId="4" fontId="18" fillId="0" borderId="46" xfId="54" applyNumberFormat="1" applyFont="1" applyFill="1" applyBorder="1">
      <alignment/>
      <protection/>
    </xf>
    <xf numFmtId="4" fontId="18" fillId="0" borderId="10" xfId="54" applyNumberFormat="1" applyFont="1" applyFill="1" applyBorder="1">
      <alignment/>
      <protection/>
    </xf>
    <xf numFmtId="4" fontId="15" fillId="33" borderId="15" xfId="54" applyNumberFormat="1" applyFont="1" applyFill="1" applyBorder="1" applyAlignment="1">
      <alignment horizontal="right" vertical="center" wrapText="1"/>
      <protection/>
    </xf>
    <xf numFmtId="4" fontId="15" fillId="33" borderId="38" xfId="54" applyNumberFormat="1" applyFont="1" applyFill="1" applyBorder="1" applyAlignment="1">
      <alignment horizontal="right" vertical="center" wrapText="1"/>
      <protection/>
    </xf>
    <xf numFmtId="4" fontId="16" fillId="0" borderId="36" xfId="55" applyNumberFormat="1" applyFont="1" applyFill="1" applyBorder="1">
      <alignment/>
      <protection/>
    </xf>
    <xf numFmtId="4" fontId="17" fillId="0" borderId="36" xfId="56" applyNumberFormat="1" applyFont="1" applyFill="1" applyBorder="1">
      <alignment/>
      <protection/>
    </xf>
    <xf numFmtId="4" fontId="16" fillId="0" borderId="13" xfId="55" applyNumberFormat="1" applyFont="1" applyFill="1" applyBorder="1">
      <alignment/>
      <protection/>
    </xf>
    <xf numFmtId="4" fontId="19" fillId="0" borderId="16" xfId="56" applyNumberFormat="1" applyFont="1" applyBorder="1">
      <alignment/>
      <protection/>
    </xf>
    <xf numFmtId="4" fontId="16" fillId="0" borderId="16" xfId="55" applyNumberFormat="1" applyFont="1" applyFill="1" applyBorder="1">
      <alignment/>
      <protection/>
    </xf>
    <xf numFmtId="4" fontId="16" fillId="25" borderId="13" xfId="54" applyNumberFormat="1" applyFont="1" applyFill="1" applyBorder="1">
      <alignment/>
      <protection/>
    </xf>
    <xf numFmtId="4" fontId="16" fillId="0" borderId="41" xfId="54" applyNumberFormat="1" applyFont="1" applyFill="1" applyBorder="1">
      <alignment/>
      <protection/>
    </xf>
    <xf numFmtId="4" fontId="16" fillId="10" borderId="15" xfId="54" applyNumberFormat="1" applyFont="1" applyFill="1" applyBorder="1">
      <alignment/>
      <protection/>
    </xf>
    <xf numFmtId="4" fontId="16" fillId="10" borderId="38" xfId="54" applyNumberFormat="1" applyFont="1" applyFill="1" applyBorder="1">
      <alignment/>
      <protection/>
    </xf>
    <xf numFmtId="4" fontId="16" fillId="10" borderId="15" xfId="54" applyNumberFormat="1" applyFont="1" applyFill="1" applyBorder="1">
      <alignment/>
      <protection/>
    </xf>
    <xf numFmtId="4" fontId="16" fillId="10" borderId="10" xfId="54" applyNumberFormat="1" applyFont="1" applyFill="1" applyBorder="1">
      <alignment/>
      <protection/>
    </xf>
    <xf numFmtId="4" fontId="16" fillId="10" borderId="0" xfId="54" applyNumberFormat="1" applyFont="1" applyFill="1" applyBorder="1">
      <alignment/>
      <protection/>
    </xf>
    <xf numFmtId="4" fontId="16" fillId="10" borderId="10" xfId="54" applyNumberFormat="1" applyFont="1" applyFill="1" applyBorder="1">
      <alignment/>
      <protection/>
    </xf>
    <xf numFmtId="4" fontId="6" fillId="10" borderId="13" xfId="52" applyNumberFormat="1" applyFont="1" applyFill="1" applyBorder="1">
      <alignment/>
      <protection/>
    </xf>
    <xf numFmtId="4" fontId="16" fillId="34" borderId="10" xfId="54" applyNumberFormat="1" applyFont="1" applyFill="1" applyBorder="1">
      <alignment/>
      <protection/>
    </xf>
    <xf numFmtId="4" fontId="16" fillId="34" borderId="0" xfId="54" applyNumberFormat="1" applyFont="1" applyFill="1" applyBorder="1">
      <alignment/>
      <protection/>
    </xf>
    <xf numFmtId="4" fontId="16" fillId="34" borderId="10" xfId="54" applyNumberFormat="1" applyFont="1" applyFill="1" applyBorder="1">
      <alignment/>
      <protection/>
    </xf>
    <xf numFmtId="4" fontId="12" fillId="45" borderId="15" xfId="54" applyNumberFormat="1" applyFont="1" applyFill="1" applyBorder="1">
      <alignment/>
      <protection/>
    </xf>
    <xf numFmtId="4" fontId="12" fillId="45" borderId="38" xfId="54" applyNumberFormat="1" applyFont="1" applyFill="1" applyBorder="1">
      <alignment/>
      <protection/>
    </xf>
    <xf numFmtId="4" fontId="12" fillId="45" borderId="29" xfId="54" applyNumberFormat="1" applyFont="1" applyFill="1" applyBorder="1">
      <alignment/>
      <protection/>
    </xf>
    <xf numFmtId="4" fontId="12" fillId="45" borderId="47" xfId="54" applyNumberFormat="1" applyFont="1" applyFill="1" applyBorder="1">
      <alignment/>
      <protection/>
    </xf>
    <xf numFmtId="4" fontId="16" fillId="0" borderId="48" xfId="54" applyNumberFormat="1" applyFont="1" applyFill="1" applyBorder="1">
      <alignment/>
      <protection/>
    </xf>
    <xf numFmtId="4" fontId="16" fillId="0" borderId="36" xfId="54" applyNumberFormat="1" applyFont="1" applyBorder="1">
      <alignment/>
      <protection/>
    </xf>
    <xf numFmtId="4" fontId="16" fillId="0" borderId="13" xfId="54" applyNumberFormat="1" applyFont="1" applyBorder="1">
      <alignment/>
      <protection/>
    </xf>
    <xf numFmtId="4" fontId="16" fillId="0" borderId="23" xfId="54" applyNumberFormat="1" applyFont="1" applyBorder="1">
      <alignment/>
      <protection/>
    </xf>
    <xf numFmtId="4" fontId="16" fillId="0" borderId="17" xfId="54" applyNumberFormat="1" applyFont="1" applyFill="1" applyBorder="1">
      <alignment/>
      <protection/>
    </xf>
    <xf numFmtId="4" fontId="16" fillId="0" borderId="37" xfId="54" applyNumberFormat="1" applyFont="1" applyFill="1" applyBorder="1">
      <alignment/>
      <protection/>
    </xf>
    <xf numFmtId="4" fontId="16" fillId="0" borderId="17" xfId="54" applyNumberFormat="1" applyFont="1" applyBorder="1">
      <alignment/>
      <protection/>
    </xf>
    <xf numFmtId="4" fontId="9" fillId="0" borderId="15" xfId="54" applyNumberFormat="1" applyFont="1" applyBorder="1">
      <alignment/>
      <protection/>
    </xf>
    <xf numFmtId="4" fontId="6" fillId="34" borderId="24" xfId="54" applyNumberFormat="1" applyFont="1" applyFill="1" applyBorder="1">
      <alignment/>
      <protection/>
    </xf>
    <xf numFmtId="4" fontId="6" fillId="34" borderId="15" xfId="54" applyNumberFormat="1" applyFont="1" applyFill="1" applyBorder="1">
      <alignment/>
      <protection/>
    </xf>
    <xf numFmtId="4" fontId="34" fillId="37" borderId="15" xfId="54" applyNumberFormat="1" applyFont="1" applyFill="1" applyBorder="1">
      <alignment/>
      <protection/>
    </xf>
    <xf numFmtId="4" fontId="16" fillId="39" borderId="46" xfId="56" applyNumberFormat="1" applyFont="1" applyFill="1" applyBorder="1">
      <alignment/>
      <protection/>
    </xf>
    <xf numFmtId="4" fontId="34" fillId="38" borderId="15" xfId="54" applyNumberFormat="1" applyFont="1" applyFill="1" applyBorder="1">
      <alignment/>
      <protection/>
    </xf>
    <xf numFmtId="4" fontId="34" fillId="40" borderId="15" xfId="54" applyNumberFormat="1" applyFont="1" applyFill="1" applyBorder="1">
      <alignment/>
      <protection/>
    </xf>
    <xf numFmtId="4" fontId="34" fillId="0" borderId="13" xfId="54" applyNumberFormat="1" applyFont="1" applyFill="1" applyBorder="1">
      <alignment/>
      <protection/>
    </xf>
    <xf numFmtId="4" fontId="15" fillId="0" borderId="13" xfId="54" applyNumberFormat="1" applyFont="1" applyFill="1" applyBorder="1" applyAlignment="1">
      <alignment horizontal="right" vertical="center" wrapText="1"/>
      <protection/>
    </xf>
    <xf numFmtId="4" fontId="15" fillId="10" borderId="15" xfId="54" applyNumberFormat="1" applyFont="1" applyFill="1" applyBorder="1">
      <alignment/>
      <protection/>
    </xf>
    <xf numFmtId="4" fontId="15" fillId="10" borderId="10" xfId="54" applyNumberFormat="1" applyFont="1" applyFill="1" applyBorder="1">
      <alignment/>
      <protection/>
    </xf>
    <xf numFmtId="0" fontId="5" fillId="0" borderId="18" xfId="53" applyFont="1" applyFill="1" applyBorder="1">
      <alignment/>
      <protection/>
    </xf>
    <xf numFmtId="49" fontId="2" fillId="0" borderId="13" xfId="0" applyNumberFormat="1" applyFont="1" applyBorder="1" applyAlignment="1">
      <alignment horizontal="left"/>
    </xf>
    <xf numFmtId="3" fontId="0" fillId="0" borderId="16" xfId="56" applyNumberFormat="1" applyFont="1" applyFill="1" applyBorder="1" applyAlignment="1">
      <alignment vertical="center"/>
      <protection/>
    </xf>
    <xf numFmtId="4" fontId="0" fillId="46" borderId="18" xfId="56" applyNumberFormat="1" applyFont="1" applyFill="1" applyBorder="1" applyAlignment="1">
      <alignment horizontal="left" vertical="center" wrapText="1"/>
      <protection/>
    </xf>
    <xf numFmtId="3" fontId="0" fillId="46" borderId="16" xfId="56" applyNumberFormat="1" applyFont="1" applyFill="1" applyBorder="1" applyAlignment="1">
      <alignment vertical="center"/>
      <protection/>
    </xf>
    <xf numFmtId="3" fontId="42" fillId="46" borderId="16" xfId="56" applyNumberFormat="1" applyFont="1" applyFill="1" applyBorder="1" applyAlignment="1">
      <alignment vertical="center"/>
      <protection/>
    </xf>
    <xf numFmtId="4" fontId="0" fillId="19" borderId="18" xfId="56" applyNumberFormat="1" applyFont="1" applyFill="1" applyBorder="1" applyAlignment="1">
      <alignment horizontal="left" vertical="center" wrapText="1"/>
      <protection/>
    </xf>
    <xf numFmtId="3" fontId="42" fillId="19" borderId="16" xfId="56" applyNumberFormat="1" applyFont="1" applyFill="1" applyBorder="1" applyAlignment="1">
      <alignment vertical="center"/>
      <protection/>
    </xf>
    <xf numFmtId="4" fontId="10" fillId="39" borderId="22" xfId="54" applyNumberFormat="1" applyFont="1" applyFill="1" applyBorder="1" applyAlignment="1">
      <alignment horizontal="center"/>
      <protection/>
    </xf>
    <xf numFmtId="4" fontId="10" fillId="39" borderId="38" xfId="54" applyNumberFormat="1" applyFont="1" applyFill="1" applyBorder="1" applyAlignment="1">
      <alignment horizontal="center"/>
      <protection/>
    </xf>
    <xf numFmtId="4" fontId="42" fillId="37" borderId="15" xfId="56" applyNumberFormat="1" applyFont="1" applyFill="1" applyBorder="1" applyAlignment="1">
      <alignment horizontal="right"/>
      <protection/>
    </xf>
    <xf numFmtId="4" fontId="42" fillId="37" borderId="38" xfId="56" applyNumberFormat="1" applyFont="1" applyFill="1" applyBorder="1" applyAlignment="1">
      <alignment horizontal="right"/>
      <protection/>
    </xf>
    <xf numFmtId="4" fontId="0" fillId="0" borderId="18" xfId="56" applyNumberFormat="1" applyFont="1" applyBorder="1" applyAlignment="1">
      <alignment horizontal="right" vertical="center" wrapText="1"/>
      <protection/>
    </xf>
    <xf numFmtId="4" fontId="0" fillId="0" borderId="18" xfId="56" applyNumberFormat="1" applyFont="1" applyBorder="1" applyAlignment="1">
      <alignment vertical="center" wrapText="1"/>
      <protection/>
    </xf>
    <xf numFmtId="4" fontId="0" fillId="0" borderId="11" xfId="56" applyNumberFormat="1" applyFont="1" applyBorder="1" applyAlignment="1">
      <alignment vertical="center" wrapText="1"/>
      <protection/>
    </xf>
    <xf numFmtId="4" fontId="0" fillId="0" borderId="12" xfId="56" applyNumberFormat="1" applyFont="1" applyBorder="1" applyAlignment="1">
      <alignment vertical="center" wrapText="1"/>
      <protection/>
    </xf>
    <xf numFmtId="4" fontId="0" fillId="0" borderId="35" xfId="56" applyNumberFormat="1" applyFont="1" applyBorder="1" applyAlignment="1">
      <alignment vertical="center" wrapText="1"/>
      <protection/>
    </xf>
    <xf numFmtId="3" fontId="0" fillId="0" borderId="13" xfId="56" applyNumberFormat="1" applyFont="1" applyFill="1" applyBorder="1" applyAlignment="1">
      <alignment vertical="center"/>
      <protection/>
    </xf>
    <xf numFmtId="3" fontId="0" fillId="0" borderId="23" xfId="56" applyNumberFormat="1" applyFont="1" applyFill="1" applyBorder="1" applyAlignment="1">
      <alignment vertical="center"/>
      <protection/>
    </xf>
    <xf numFmtId="3" fontId="0" fillId="0" borderId="17" xfId="56" applyNumberFormat="1" applyFont="1" applyFill="1" applyBorder="1" applyAlignment="1">
      <alignment vertical="center"/>
      <protection/>
    </xf>
    <xf numFmtId="3" fontId="0" fillId="0" borderId="36" xfId="56" applyNumberFormat="1" applyFont="1" applyFill="1" applyBorder="1" applyAlignment="1">
      <alignment horizontal="right" vertical="center"/>
      <protection/>
    </xf>
    <xf numFmtId="3" fontId="0" fillId="19" borderId="16" xfId="56" applyNumberFormat="1" applyFont="1" applyFill="1" applyBorder="1" applyAlignment="1">
      <alignment horizontal="right" vertical="center"/>
      <protection/>
    </xf>
    <xf numFmtId="3" fontId="0" fillId="46" borderId="16" xfId="56" applyNumberFormat="1" applyFont="1" applyFill="1" applyBorder="1" applyAlignment="1">
      <alignment horizontal="right" vertical="center"/>
      <protection/>
    </xf>
    <xf numFmtId="3" fontId="0" fillId="47" borderId="16" xfId="56" applyNumberFormat="1" applyFont="1" applyFill="1" applyBorder="1" applyAlignment="1">
      <alignment horizontal="right" vertical="center"/>
      <protection/>
    </xf>
    <xf numFmtId="3" fontId="0" fillId="48" borderId="16" xfId="56" applyNumberFormat="1" applyFont="1" applyFill="1" applyBorder="1" applyAlignment="1">
      <alignment horizontal="right" vertical="center"/>
      <protection/>
    </xf>
    <xf numFmtId="3" fontId="0" fillId="49" borderId="16" xfId="56" applyNumberFormat="1" applyFont="1" applyFill="1" applyBorder="1" applyAlignment="1">
      <alignment horizontal="right" vertical="center"/>
      <protection/>
    </xf>
    <xf numFmtId="3" fontId="0" fillId="0" borderId="48" xfId="56" applyNumberFormat="1" applyFont="1" applyFill="1" applyBorder="1" applyAlignment="1">
      <alignment horizontal="right" vertical="center"/>
      <protection/>
    </xf>
    <xf numFmtId="3" fontId="0" fillId="19" borderId="41" xfId="56" applyNumberFormat="1" applyFont="1" applyFill="1" applyBorder="1" applyAlignment="1">
      <alignment horizontal="right" vertical="center"/>
      <protection/>
    </xf>
    <xf numFmtId="3" fontId="0" fillId="46" borderId="41" xfId="56" applyNumberFormat="1" applyFont="1" applyFill="1" applyBorder="1" applyAlignment="1">
      <alignment horizontal="right" vertical="center"/>
      <protection/>
    </xf>
    <xf numFmtId="3" fontId="0" fillId="50" borderId="41" xfId="56" applyNumberFormat="1" applyFont="1" applyFill="1" applyBorder="1" applyAlignment="1">
      <alignment horizontal="right" vertical="center"/>
      <protection/>
    </xf>
    <xf numFmtId="3" fontId="0" fillId="47" borderId="41" xfId="56" applyNumberFormat="1" applyFont="1" applyFill="1" applyBorder="1" applyAlignment="1">
      <alignment horizontal="right" vertical="center"/>
      <protection/>
    </xf>
    <xf numFmtId="3" fontId="0" fillId="48" borderId="41" xfId="56" applyNumberFormat="1" applyFont="1" applyFill="1" applyBorder="1" applyAlignment="1">
      <alignment horizontal="right" vertical="center"/>
      <protection/>
    </xf>
    <xf numFmtId="3" fontId="0" fillId="49" borderId="41" xfId="56" applyNumberFormat="1" applyFont="1" applyFill="1" applyBorder="1" applyAlignment="1">
      <alignment horizontal="right" vertical="center"/>
      <protection/>
    </xf>
    <xf numFmtId="3" fontId="0" fillId="19" borderId="23" xfId="56" applyNumberFormat="1" applyFont="1" applyFill="1" applyBorder="1" applyAlignment="1">
      <alignment horizontal="right" vertical="center"/>
      <protection/>
    </xf>
    <xf numFmtId="3" fontId="0" fillId="19" borderId="46" xfId="56" applyNumberFormat="1" applyFont="1" applyFill="1" applyBorder="1" applyAlignment="1">
      <alignment horizontal="right" vertical="center"/>
      <protection/>
    </xf>
    <xf numFmtId="3" fontId="0" fillId="46" borderId="23" xfId="56" applyNumberFormat="1" applyFont="1" applyFill="1" applyBorder="1" applyAlignment="1">
      <alignment horizontal="right" vertical="center"/>
      <protection/>
    </xf>
    <xf numFmtId="3" fontId="0" fillId="46" borderId="46" xfId="56" applyNumberFormat="1" applyFont="1" applyFill="1" applyBorder="1" applyAlignment="1">
      <alignment horizontal="right" vertical="center"/>
      <protection/>
    </xf>
    <xf numFmtId="3" fontId="0" fillId="19" borderId="13" xfId="56" applyNumberFormat="1" applyFont="1" applyFill="1" applyBorder="1" applyAlignment="1">
      <alignment horizontal="right" vertical="center"/>
      <protection/>
    </xf>
    <xf numFmtId="3" fontId="0" fillId="50" borderId="13" xfId="56" applyNumberFormat="1" applyFont="1" applyFill="1" applyBorder="1" applyAlignment="1">
      <alignment horizontal="right" vertical="center"/>
      <protection/>
    </xf>
    <xf numFmtId="3" fontId="0" fillId="47" borderId="13" xfId="56" applyNumberFormat="1" applyFont="1" applyFill="1" applyBorder="1" applyAlignment="1">
      <alignment horizontal="right" vertical="center"/>
      <protection/>
    </xf>
    <xf numFmtId="3" fontId="0" fillId="47" borderId="46" xfId="56" applyNumberFormat="1" applyFont="1" applyFill="1" applyBorder="1" applyAlignment="1">
      <alignment horizontal="right" vertical="center"/>
      <protection/>
    </xf>
    <xf numFmtId="3" fontId="0" fillId="48" borderId="13" xfId="56" applyNumberFormat="1" applyFont="1" applyFill="1" applyBorder="1" applyAlignment="1">
      <alignment horizontal="right" vertical="center"/>
      <protection/>
    </xf>
    <xf numFmtId="3" fontId="0" fillId="48" borderId="46" xfId="56" applyNumberFormat="1" applyFont="1" applyFill="1" applyBorder="1" applyAlignment="1">
      <alignment horizontal="right" vertical="center"/>
      <protection/>
    </xf>
    <xf numFmtId="3" fontId="0" fillId="49" borderId="13" xfId="56" applyNumberFormat="1" applyFont="1" applyFill="1" applyBorder="1" applyAlignment="1">
      <alignment horizontal="right" vertical="center"/>
      <protection/>
    </xf>
    <xf numFmtId="3" fontId="0" fillId="49" borderId="46" xfId="56" applyNumberFormat="1" applyFont="1" applyFill="1" applyBorder="1" applyAlignment="1">
      <alignment horizontal="right" vertical="center"/>
      <protection/>
    </xf>
    <xf numFmtId="3" fontId="42" fillId="0" borderId="36" xfId="56" applyNumberFormat="1" applyFont="1" applyFill="1" applyBorder="1" applyAlignment="1">
      <alignment horizontal="right" vertical="center"/>
      <protection/>
    </xf>
    <xf numFmtId="3" fontId="42" fillId="19" borderId="16" xfId="56" applyNumberFormat="1" applyFont="1" applyFill="1" applyBorder="1" applyAlignment="1">
      <alignment horizontal="right" vertical="center"/>
      <protection/>
    </xf>
    <xf numFmtId="3" fontId="42" fillId="46" borderId="16" xfId="56" applyNumberFormat="1" applyFont="1" applyFill="1" applyBorder="1" applyAlignment="1">
      <alignment horizontal="right" vertical="center"/>
      <protection/>
    </xf>
    <xf numFmtId="3" fontId="42" fillId="48" borderId="16" xfId="56" applyNumberFormat="1" applyFont="1" applyFill="1" applyBorder="1" applyAlignment="1">
      <alignment horizontal="right" vertical="center"/>
      <protection/>
    </xf>
    <xf numFmtId="3" fontId="42" fillId="49" borderId="16" xfId="56" applyNumberFormat="1" applyFont="1" applyFill="1" applyBorder="1" applyAlignment="1">
      <alignment horizontal="right" vertical="center"/>
      <protection/>
    </xf>
    <xf numFmtId="4" fontId="0" fillId="34" borderId="49" xfId="56" applyNumberFormat="1" applyFont="1" applyFill="1" applyBorder="1" applyAlignment="1">
      <alignment horizontal="right" vertical="center" wrapText="1"/>
      <protection/>
    </xf>
    <xf numFmtId="4" fontId="0" fillId="19" borderId="18" xfId="56" applyNumberFormat="1" applyFont="1" applyFill="1" applyBorder="1" applyAlignment="1">
      <alignment horizontal="right" vertical="center" wrapText="1"/>
      <protection/>
    </xf>
    <xf numFmtId="4" fontId="0" fillId="46" borderId="18" xfId="56" applyNumberFormat="1" applyFont="1" applyFill="1" applyBorder="1" applyAlignment="1">
      <alignment horizontal="right" vertical="center" wrapText="1"/>
      <protection/>
    </xf>
    <xf numFmtId="4" fontId="0" fillId="47" borderId="18" xfId="56" applyNumberFormat="1" applyFont="1" applyFill="1" applyBorder="1" applyAlignment="1">
      <alignment horizontal="right" vertical="center" wrapText="1"/>
      <protection/>
    </xf>
    <xf numFmtId="4" fontId="0" fillId="48" borderId="33" xfId="56" applyNumberFormat="1" applyFont="1" applyFill="1" applyBorder="1" applyAlignment="1">
      <alignment horizontal="right" vertical="center" wrapText="1"/>
      <protection/>
    </xf>
    <xf numFmtId="4" fontId="0" fillId="49" borderId="49" xfId="56" applyNumberFormat="1" applyFont="1" applyFill="1" applyBorder="1" applyAlignment="1">
      <alignment horizontal="right" vertical="center" wrapText="1"/>
      <protection/>
    </xf>
    <xf numFmtId="4" fontId="0" fillId="0" borderId="18" xfId="56" applyNumberFormat="1" applyFont="1" applyBorder="1" applyAlignment="1">
      <alignment horizontal="right" vertical="center"/>
      <protection/>
    </xf>
    <xf numFmtId="4" fontId="0" fillId="39" borderId="18" xfId="56" applyNumberFormat="1" applyFont="1" applyFill="1" applyBorder="1" applyAlignment="1">
      <alignment horizontal="right" vertical="center" wrapText="1"/>
      <protection/>
    </xf>
    <xf numFmtId="4" fontId="0" fillId="39" borderId="18" xfId="56" applyNumberFormat="1" applyFont="1" applyFill="1" applyBorder="1" applyAlignment="1">
      <alignment horizontal="right" vertical="center"/>
      <protection/>
    </xf>
    <xf numFmtId="3" fontId="0" fillId="0" borderId="36" xfId="56" applyNumberFormat="1" applyFont="1" applyFill="1" applyBorder="1" applyAlignment="1">
      <alignment vertical="center"/>
      <protection/>
    </xf>
    <xf numFmtId="4" fontId="42" fillId="48" borderId="22" xfId="56" applyNumberFormat="1" applyFont="1" applyFill="1" applyBorder="1" applyAlignment="1">
      <alignment horizontal="left" vertical="center" wrapText="1"/>
      <protection/>
    </xf>
    <xf numFmtId="4" fontId="0" fillId="37" borderId="18" xfId="56" applyNumberFormat="1" applyFont="1" applyFill="1" applyBorder="1" applyAlignment="1">
      <alignment horizontal="left" vertical="center" wrapText="1"/>
      <protection/>
    </xf>
    <xf numFmtId="4" fontId="0" fillId="51" borderId="11" xfId="56" applyNumberFormat="1" applyFont="1" applyFill="1" applyBorder="1" applyAlignment="1">
      <alignment horizontal="left" vertical="center" wrapText="1"/>
      <protection/>
    </xf>
    <xf numFmtId="4" fontId="0" fillId="52" borderId="11" xfId="56" applyNumberFormat="1" applyFont="1" applyFill="1" applyBorder="1" applyAlignment="1">
      <alignment horizontal="left" vertical="center" wrapText="1"/>
      <protection/>
    </xf>
    <xf numFmtId="4" fontId="0" fillId="53" borderId="11" xfId="56" applyNumberFormat="1" applyFont="1" applyFill="1" applyBorder="1" applyAlignment="1">
      <alignment horizontal="left" vertical="center" wrapText="1"/>
      <protection/>
    </xf>
    <xf numFmtId="4" fontId="0" fillId="53" borderId="18" xfId="56" applyNumberFormat="1" applyFont="1" applyFill="1" applyBorder="1" applyAlignment="1">
      <alignment horizontal="left" vertical="center" wrapText="1"/>
      <protection/>
    </xf>
    <xf numFmtId="3" fontId="42" fillId="48" borderId="15" xfId="56" applyNumberFormat="1" applyFont="1" applyFill="1" applyBorder="1" applyAlignment="1">
      <alignment vertical="center"/>
      <protection/>
    </xf>
    <xf numFmtId="3" fontId="42" fillId="9" borderId="15" xfId="56" applyNumberFormat="1" applyFont="1" applyFill="1" applyBorder="1" applyAlignment="1">
      <alignment horizontal="right" vertical="center" wrapText="1"/>
      <protection/>
    </xf>
    <xf numFmtId="3" fontId="0" fillId="37" borderId="13" xfId="56" applyNumberFormat="1" applyFont="1" applyFill="1" applyBorder="1" applyAlignment="1">
      <alignment vertical="center"/>
      <protection/>
    </xf>
    <xf numFmtId="3" fontId="0" fillId="51" borderId="13" xfId="56" applyNumberFormat="1" applyFont="1" applyFill="1" applyBorder="1" applyAlignment="1">
      <alignment vertical="center"/>
      <protection/>
    </xf>
    <xf numFmtId="3" fontId="0" fillId="52" borderId="13" xfId="56" applyNumberFormat="1" applyFont="1" applyFill="1" applyBorder="1" applyAlignment="1">
      <alignment vertical="center"/>
      <protection/>
    </xf>
    <xf numFmtId="3" fontId="0" fillId="53" borderId="13" xfId="56" applyNumberFormat="1" applyFont="1" applyFill="1" applyBorder="1" applyAlignment="1">
      <alignment vertical="center"/>
      <protection/>
    </xf>
    <xf numFmtId="4" fontId="12" fillId="48" borderId="16" xfId="54" applyNumberFormat="1" applyFont="1" applyFill="1" applyBorder="1" applyAlignment="1">
      <alignment horizontal="right" vertical="center" wrapText="1"/>
      <protection/>
    </xf>
    <xf numFmtId="4" fontId="42" fillId="44" borderId="22" xfId="56" applyNumberFormat="1" applyFont="1" applyFill="1" applyBorder="1" applyAlignment="1">
      <alignment horizontal="left" vertical="center" wrapText="1"/>
      <protection/>
    </xf>
    <xf numFmtId="4" fontId="16" fillId="54" borderId="13" xfId="54" applyNumberFormat="1" applyFont="1" applyFill="1" applyBorder="1">
      <alignment/>
      <protection/>
    </xf>
    <xf numFmtId="4" fontId="16" fillId="52" borderId="13" xfId="54" applyNumberFormat="1" applyFont="1" applyFill="1" applyBorder="1">
      <alignment/>
      <protection/>
    </xf>
    <xf numFmtId="4" fontId="16" fillId="55" borderId="13" xfId="54" applyNumberFormat="1" applyFont="1" applyFill="1" applyBorder="1">
      <alignment/>
      <protection/>
    </xf>
    <xf numFmtId="4" fontId="15" fillId="55" borderId="13" xfId="54" applyNumberFormat="1" applyFont="1" applyFill="1" applyBorder="1">
      <alignment/>
      <protection/>
    </xf>
    <xf numFmtId="4" fontId="15" fillId="55" borderId="16" xfId="54" applyNumberFormat="1" applyFont="1" applyFill="1" applyBorder="1" applyAlignment="1">
      <alignment horizontal="right" vertical="center" wrapText="1"/>
      <protection/>
    </xf>
    <xf numFmtId="4" fontId="6" fillId="0" borderId="0" xfId="54" applyNumberFormat="1" applyFont="1" applyBorder="1" applyAlignment="1">
      <alignment horizontal="right"/>
      <protection/>
    </xf>
    <xf numFmtId="4" fontId="6" fillId="0" borderId="19" xfId="54" applyNumberFormat="1" applyFont="1" applyBorder="1" applyAlignment="1">
      <alignment horizontal="center"/>
      <protection/>
    </xf>
    <xf numFmtId="4" fontId="6" fillId="16" borderId="15" xfId="54" applyNumberFormat="1" applyFont="1" applyFill="1" applyBorder="1" applyAlignment="1">
      <alignment horizontal="center"/>
      <protection/>
    </xf>
    <xf numFmtId="4" fontId="11" fillId="39" borderId="16" xfId="54" applyNumberFormat="1" applyFont="1" applyFill="1" applyBorder="1" applyAlignment="1">
      <alignment horizontal="right"/>
      <protection/>
    </xf>
    <xf numFmtId="4" fontId="11" fillId="39" borderId="13" xfId="54" applyNumberFormat="1" applyFont="1" applyFill="1" applyBorder="1" applyAlignment="1">
      <alignment horizontal="right"/>
      <protection/>
    </xf>
    <xf numFmtId="4" fontId="11" fillId="34" borderId="23" xfId="54" applyNumberFormat="1" applyFont="1" applyFill="1" applyBorder="1" applyAlignment="1">
      <alignment horizontal="right"/>
      <protection/>
    </xf>
    <xf numFmtId="4" fontId="7" fillId="0" borderId="16" xfId="56" applyNumberFormat="1" applyFont="1" applyBorder="1">
      <alignment/>
      <protection/>
    </xf>
    <xf numFmtId="4" fontId="7" fillId="0" borderId="13" xfId="56" applyNumberFormat="1" applyFont="1" applyBorder="1">
      <alignment/>
      <protection/>
    </xf>
    <xf numFmtId="4" fontId="10" fillId="35" borderId="16" xfId="54" applyNumberFormat="1" applyFont="1" applyFill="1" applyBorder="1" applyAlignment="1">
      <alignment horizontal="right"/>
      <protection/>
    </xf>
    <xf numFmtId="4" fontId="34" fillId="34" borderId="13" xfId="54" applyNumberFormat="1" applyFont="1" applyFill="1" applyBorder="1">
      <alignment/>
      <protection/>
    </xf>
    <xf numFmtId="4" fontId="34" fillId="34" borderId="23" xfId="54" applyNumberFormat="1" applyFont="1" applyFill="1" applyBorder="1">
      <alignment/>
      <protection/>
    </xf>
    <xf numFmtId="4" fontId="34" fillId="0" borderId="16" xfId="54" applyNumberFormat="1" applyFont="1" applyFill="1" applyBorder="1">
      <alignment/>
      <protection/>
    </xf>
    <xf numFmtId="4" fontId="15" fillId="0" borderId="36" xfId="54" applyNumberFormat="1" applyFont="1" applyFill="1" applyBorder="1" applyAlignment="1">
      <alignment horizontal="right"/>
      <protection/>
    </xf>
    <xf numFmtId="4" fontId="15" fillId="0" borderId="13" xfId="54" applyNumberFormat="1" applyFont="1" applyFill="1" applyBorder="1" applyAlignment="1">
      <alignment horizontal="right"/>
      <protection/>
    </xf>
    <xf numFmtId="4" fontId="15" fillId="44" borderId="13" xfId="54" applyNumberFormat="1" applyFont="1" applyFill="1" applyBorder="1">
      <alignment/>
      <protection/>
    </xf>
    <xf numFmtId="4" fontId="15" fillId="25" borderId="13" xfId="54" applyNumberFormat="1" applyFont="1" applyFill="1" applyBorder="1">
      <alignment/>
      <protection/>
    </xf>
    <xf numFmtId="4" fontId="15" fillId="54" borderId="13" xfId="54" applyNumberFormat="1" applyFont="1" applyFill="1" applyBorder="1">
      <alignment/>
      <protection/>
    </xf>
    <xf numFmtId="4" fontId="15" fillId="52" borderId="13" xfId="54" applyNumberFormat="1" applyFont="1" applyFill="1" applyBorder="1">
      <alignment/>
      <protection/>
    </xf>
    <xf numFmtId="4" fontId="15" fillId="34" borderId="10" xfId="54" applyNumberFormat="1" applyFont="1" applyFill="1" applyBorder="1">
      <alignment/>
      <protection/>
    </xf>
    <xf numFmtId="4" fontId="15" fillId="0" borderId="17" xfId="54" applyNumberFormat="1" applyFont="1" applyFill="1" applyBorder="1">
      <alignment/>
      <protection/>
    </xf>
    <xf numFmtId="4" fontId="15" fillId="35" borderId="23" xfId="54" applyNumberFormat="1" applyFont="1" applyFill="1" applyBorder="1">
      <alignment/>
      <protection/>
    </xf>
    <xf numFmtId="4" fontId="15" fillId="34" borderId="23" xfId="54" applyNumberFormat="1" applyFont="1" applyFill="1" applyBorder="1">
      <alignment/>
      <protection/>
    </xf>
    <xf numFmtId="4" fontId="15" fillId="36" borderId="17" xfId="54" applyNumberFormat="1" applyFont="1" applyFill="1" applyBorder="1">
      <alignment/>
      <protection/>
    </xf>
    <xf numFmtId="4" fontId="12" fillId="39" borderId="21" xfId="54" applyNumberFormat="1" applyFont="1" applyFill="1" applyBorder="1" applyAlignment="1">
      <alignment horizontal="right"/>
      <protection/>
    </xf>
    <xf numFmtId="4" fontId="15" fillId="0" borderId="15" xfId="56" applyNumberFormat="1" applyFont="1" applyFill="1" applyBorder="1">
      <alignment/>
      <protection/>
    </xf>
    <xf numFmtId="4" fontId="15" fillId="0" borderId="38" xfId="56" applyNumberFormat="1" applyFont="1" applyFill="1" applyBorder="1">
      <alignment/>
      <protection/>
    </xf>
    <xf numFmtId="4" fontId="0" fillId="46" borderId="33" xfId="56" applyNumberFormat="1" applyFont="1" applyFill="1" applyBorder="1" applyAlignment="1">
      <alignment horizontal="left" vertical="center" wrapText="1"/>
      <protection/>
    </xf>
    <xf numFmtId="3" fontId="0" fillId="46" borderId="10" xfId="56" applyNumberFormat="1" applyFont="1" applyFill="1" applyBorder="1" applyAlignment="1">
      <alignment vertical="center"/>
      <protection/>
    </xf>
    <xf numFmtId="3" fontId="42" fillId="46" borderId="10" xfId="56" applyNumberFormat="1" applyFont="1" applyFill="1" applyBorder="1" applyAlignment="1">
      <alignment vertical="center"/>
      <protection/>
    </xf>
    <xf numFmtId="4" fontId="0" fillId="38" borderId="15" xfId="56" applyNumberFormat="1" applyFont="1" applyFill="1" applyBorder="1" applyAlignment="1">
      <alignment horizontal="right"/>
      <protection/>
    </xf>
    <xf numFmtId="4" fontId="0" fillId="38" borderId="38" xfId="56" applyNumberFormat="1" applyFont="1" applyFill="1" applyBorder="1" applyAlignment="1">
      <alignment horizontal="right"/>
      <protection/>
    </xf>
    <xf numFmtId="4" fontId="5" fillId="0" borderId="23" xfId="56" applyNumberFormat="1" applyFont="1" applyBorder="1">
      <alignment/>
      <protection/>
    </xf>
    <xf numFmtId="4" fontId="42" fillId="40" borderId="15" xfId="56" applyNumberFormat="1" applyFont="1" applyFill="1" applyBorder="1" applyAlignment="1">
      <alignment horizontal="right"/>
      <protection/>
    </xf>
    <xf numFmtId="4" fontId="42" fillId="40" borderId="38" xfId="56" applyNumberFormat="1" applyFont="1" applyFill="1" applyBorder="1" applyAlignment="1">
      <alignment horizontal="right"/>
      <protection/>
    </xf>
    <xf numFmtId="3" fontId="12" fillId="34" borderId="22" xfId="56" applyNumberFormat="1" applyFont="1" applyFill="1" applyBorder="1" applyAlignment="1">
      <alignment horizontal="center" vertical="center" wrapText="1"/>
      <protection/>
    </xf>
    <xf numFmtId="4" fontId="16" fillId="0" borderId="15" xfId="54" applyNumberFormat="1" applyFont="1" applyFill="1" applyBorder="1">
      <alignment/>
      <protection/>
    </xf>
    <xf numFmtId="4" fontId="33" fillId="0" borderId="15" xfId="56" applyNumberFormat="1" applyFont="1" applyFill="1" applyBorder="1">
      <alignment/>
      <protection/>
    </xf>
    <xf numFmtId="4" fontId="15" fillId="0" borderId="15" xfId="54" applyNumberFormat="1" applyFont="1" applyFill="1" applyBorder="1">
      <alignment/>
      <protection/>
    </xf>
    <xf numFmtId="4" fontId="33" fillId="40" borderId="38" xfId="56" applyNumberFormat="1" applyFont="1" applyFill="1" applyBorder="1">
      <alignment/>
      <protection/>
    </xf>
    <xf numFmtId="4" fontId="17" fillId="0" borderId="13" xfId="56" applyNumberFormat="1" applyFont="1" applyFill="1" applyBorder="1">
      <alignment/>
      <protection/>
    </xf>
    <xf numFmtId="4" fontId="17" fillId="0" borderId="16" xfId="56" applyNumberFormat="1" applyFont="1" applyFill="1" applyBorder="1">
      <alignment/>
      <protection/>
    </xf>
    <xf numFmtId="4" fontId="2" fillId="0" borderId="10" xfId="56" applyNumberFormat="1" applyFont="1" applyBorder="1">
      <alignment/>
      <protection/>
    </xf>
    <xf numFmtId="4" fontId="11" fillId="39" borderId="15" xfId="54" applyNumberFormat="1" applyFont="1" applyFill="1" applyBorder="1" applyAlignment="1">
      <alignment horizontal="center" wrapText="1"/>
      <protection/>
    </xf>
    <xf numFmtId="3" fontId="0" fillId="0" borderId="36" xfId="56" applyNumberFormat="1" applyFont="1" applyBorder="1" applyAlignment="1">
      <alignment horizontal="right" vertical="center"/>
      <protection/>
    </xf>
    <xf numFmtId="4" fontId="12" fillId="34" borderId="22" xfId="54" applyNumberFormat="1" applyFont="1" applyFill="1" applyBorder="1" applyAlignment="1">
      <alignment horizontal="left" vertical="center" wrapText="1"/>
      <protection/>
    </xf>
    <xf numFmtId="4" fontId="37" fillId="0" borderId="33" xfId="54" applyNumberFormat="1" applyFont="1" applyBorder="1" applyAlignment="1">
      <alignment horizontal="left" vertical="center" wrapText="1"/>
      <protection/>
    </xf>
    <xf numFmtId="4" fontId="12" fillId="43" borderId="22" xfId="54" applyNumberFormat="1" applyFont="1" applyFill="1" applyBorder="1" applyAlignment="1">
      <alignment horizontal="left" vertical="center" wrapText="1"/>
      <protection/>
    </xf>
    <xf numFmtId="4" fontId="12" fillId="33" borderId="50" xfId="54" applyNumberFormat="1" applyFont="1" applyFill="1" applyBorder="1" applyAlignment="1">
      <alignment horizontal="left" vertical="center" wrapText="1"/>
      <protection/>
    </xf>
    <xf numFmtId="4" fontId="12" fillId="37" borderId="22" xfId="54" applyNumberFormat="1" applyFont="1" applyFill="1" applyBorder="1" applyAlignment="1">
      <alignment horizontal="left" vertical="center" wrapText="1"/>
      <protection/>
    </xf>
    <xf numFmtId="4" fontId="38" fillId="0" borderId="18" xfId="54" applyNumberFormat="1" applyFont="1" applyBorder="1" applyAlignment="1">
      <alignment horizontal="right" vertical="center" wrapText="1"/>
      <protection/>
    </xf>
    <xf numFmtId="4" fontId="37" fillId="38" borderId="11" xfId="54" applyNumberFormat="1" applyFont="1" applyFill="1" applyBorder="1" applyAlignment="1">
      <alignment horizontal="left" vertical="center" wrapText="1"/>
      <protection/>
    </xf>
    <xf numFmtId="4" fontId="37" fillId="0" borderId="11" xfId="54" applyNumberFormat="1" applyFont="1" applyBorder="1" applyAlignment="1">
      <alignment horizontal="left" vertical="center" wrapText="1"/>
      <protection/>
    </xf>
    <xf numFmtId="4" fontId="37" fillId="0" borderId="12" xfId="54" applyNumberFormat="1" applyFont="1" applyBorder="1" applyAlignment="1">
      <alignment horizontal="left" vertical="center" wrapText="1"/>
      <protection/>
    </xf>
    <xf numFmtId="4" fontId="39" fillId="0" borderId="11" xfId="54" applyNumberFormat="1" applyFont="1" applyBorder="1" applyAlignment="1">
      <alignment horizontal="right" vertical="center" wrapText="1"/>
      <protection/>
    </xf>
    <xf numFmtId="4" fontId="40" fillId="0" borderId="12" xfId="54" applyNumberFormat="1" applyFont="1" applyBorder="1" applyAlignment="1">
      <alignment horizontal="right" vertical="center" wrapText="1"/>
      <protection/>
    </xf>
    <xf numFmtId="4" fontId="12" fillId="33" borderId="22" xfId="54" applyNumberFormat="1" applyFont="1" applyFill="1" applyBorder="1" applyAlignment="1">
      <alignment horizontal="left" vertical="center" wrapText="1"/>
      <protection/>
    </xf>
    <xf numFmtId="4" fontId="12" fillId="33" borderId="22" xfId="54" applyNumberFormat="1" applyFont="1" applyFill="1" applyBorder="1" applyAlignment="1">
      <alignment horizontal="left" vertical="center" wrapText="1"/>
      <protection/>
    </xf>
    <xf numFmtId="4" fontId="12" fillId="0" borderId="14" xfId="54" applyNumberFormat="1" applyFont="1" applyFill="1" applyBorder="1" applyAlignment="1">
      <alignment horizontal="left" vertical="center" wrapText="1"/>
      <protection/>
    </xf>
    <xf numFmtId="3" fontId="37" fillId="0" borderId="49" xfId="56" applyNumberFormat="1" applyFont="1" applyFill="1" applyBorder="1" applyAlignment="1">
      <alignment horizontal="left" vertical="center" wrapText="1"/>
      <protection/>
    </xf>
    <xf numFmtId="3" fontId="37" fillId="0" borderId="11" xfId="56" applyNumberFormat="1" applyFont="1" applyFill="1" applyBorder="1" applyAlignment="1">
      <alignment horizontal="left" vertical="center" wrapText="1"/>
      <protection/>
    </xf>
    <xf numFmtId="4" fontId="12" fillId="10" borderId="22" xfId="54" applyNumberFormat="1" applyFont="1" applyFill="1" applyBorder="1">
      <alignment/>
      <protection/>
    </xf>
    <xf numFmtId="4" fontId="12" fillId="10" borderId="33" xfId="54" applyNumberFormat="1" applyFont="1" applyFill="1" applyBorder="1" applyAlignment="1">
      <alignment horizontal="left" vertical="center" wrapText="1"/>
      <protection/>
    </xf>
    <xf numFmtId="4" fontId="12" fillId="10" borderId="22" xfId="54" applyNumberFormat="1" applyFont="1" applyFill="1" applyBorder="1" applyAlignment="1">
      <alignment horizontal="left" vertical="center" wrapText="1"/>
      <protection/>
    </xf>
    <xf numFmtId="4" fontId="12" fillId="45" borderId="22" xfId="54" applyNumberFormat="1" applyFont="1" applyFill="1" applyBorder="1" applyAlignment="1">
      <alignment horizontal="left" vertical="center" wrapText="1"/>
      <protection/>
    </xf>
    <xf numFmtId="4" fontId="37" fillId="0" borderId="11" xfId="54" applyNumberFormat="1" applyFont="1" applyBorder="1" applyAlignment="1">
      <alignment horizontal="left" vertical="center" wrapText="1"/>
      <protection/>
    </xf>
    <xf numFmtId="4" fontId="37" fillId="0" borderId="35" xfId="54" applyNumberFormat="1" applyFont="1" applyBorder="1" applyAlignment="1">
      <alignment horizontal="left" vertical="center" wrapText="1"/>
      <protection/>
    </xf>
    <xf numFmtId="3" fontId="42" fillId="19" borderId="46" xfId="56" applyNumberFormat="1" applyFont="1" applyFill="1" applyBorder="1" applyAlignment="1">
      <alignment vertical="center"/>
      <protection/>
    </xf>
    <xf numFmtId="3" fontId="0" fillId="46" borderId="46" xfId="56" applyNumberFormat="1" applyFont="1" applyFill="1" applyBorder="1" applyAlignment="1">
      <alignment vertical="center"/>
      <protection/>
    </xf>
    <xf numFmtId="3" fontId="0" fillId="46" borderId="0" xfId="56" applyNumberFormat="1" applyFont="1" applyFill="1" applyBorder="1" applyAlignment="1">
      <alignment vertical="center"/>
      <protection/>
    </xf>
    <xf numFmtId="3" fontId="0" fillId="0" borderId="46" xfId="56" applyNumberFormat="1" applyFont="1" applyFill="1" applyBorder="1" applyAlignment="1">
      <alignment vertical="center"/>
      <protection/>
    </xf>
    <xf numFmtId="3" fontId="0" fillId="0" borderId="41" xfId="56" applyNumberFormat="1" applyFont="1" applyFill="1" applyBorder="1" applyAlignment="1">
      <alignment vertical="center"/>
      <protection/>
    </xf>
    <xf numFmtId="3" fontId="0" fillId="0" borderId="42" xfId="56" applyNumberFormat="1" applyFont="1" applyFill="1" applyBorder="1" applyAlignment="1">
      <alignment vertical="center"/>
      <protection/>
    </xf>
    <xf numFmtId="3" fontId="0" fillId="0" borderId="37" xfId="56" applyNumberFormat="1" applyFont="1" applyFill="1" applyBorder="1" applyAlignment="1">
      <alignment vertical="center"/>
      <protection/>
    </xf>
    <xf numFmtId="4" fontId="16" fillId="39" borderId="41" xfId="54" applyNumberFormat="1" applyFont="1" applyFill="1" applyBorder="1">
      <alignment/>
      <protection/>
    </xf>
    <xf numFmtId="4" fontId="16" fillId="34" borderId="42" xfId="54" applyNumberFormat="1" applyFont="1" applyFill="1" applyBorder="1">
      <alignment/>
      <protection/>
    </xf>
    <xf numFmtId="4" fontId="15" fillId="34" borderId="41" xfId="54" applyNumberFormat="1" applyFont="1" applyFill="1" applyBorder="1">
      <alignment/>
      <protection/>
    </xf>
    <xf numFmtId="3" fontId="0" fillId="0" borderId="48" xfId="56" applyNumberFormat="1" applyFont="1" applyFill="1" applyBorder="1" applyAlignment="1">
      <alignment vertical="center"/>
      <protection/>
    </xf>
    <xf numFmtId="3" fontId="42" fillId="48" borderId="38" xfId="56" applyNumberFormat="1" applyFont="1" applyFill="1" applyBorder="1" applyAlignment="1">
      <alignment vertical="center"/>
      <protection/>
    </xf>
    <xf numFmtId="3" fontId="42" fillId="9" borderId="38" xfId="56" applyNumberFormat="1" applyFont="1" applyFill="1" applyBorder="1" applyAlignment="1">
      <alignment horizontal="right" vertical="center" wrapText="1"/>
      <protection/>
    </xf>
    <xf numFmtId="3" fontId="0" fillId="37" borderId="41" xfId="56" applyNumberFormat="1" applyFont="1" applyFill="1" applyBorder="1" applyAlignment="1">
      <alignment vertical="center"/>
      <protection/>
    </xf>
    <xf numFmtId="3" fontId="0" fillId="51" borderId="41" xfId="56" applyNumberFormat="1" applyFont="1" applyFill="1" applyBorder="1" applyAlignment="1">
      <alignment vertical="center"/>
      <protection/>
    </xf>
    <xf numFmtId="3" fontId="0" fillId="52" borderId="41" xfId="56" applyNumberFormat="1" applyFont="1" applyFill="1" applyBorder="1" applyAlignment="1">
      <alignment vertical="center"/>
      <protection/>
    </xf>
    <xf numFmtId="3" fontId="0" fillId="53" borderId="41" xfId="56" applyNumberFormat="1" applyFont="1" applyFill="1" applyBorder="1" applyAlignment="1">
      <alignment vertical="center"/>
      <protection/>
    </xf>
    <xf numFmtId="4" fontId="10" fillId="39" borderId="38" xfId="54" applyNumberFormat="1" applyFont="1" applyFill="1" applyBorder="1" applyAlignment="1">
      <alignment horizontal="center" wrapText="1"/>
      <protection/>
    </xf>
    <xf numFmtId="4" fontId="15" fillId="36" borderId="38" xfId="54" applyNumberFormat="1" applyFont="1" applyFill="1" applyBorder="1">
      <alignment/>
      <protection/>
    </xf>
    <xf numFmtId="4" fontId="33" fillId="37" borderId="38" xfId="56" applyNumberFormat="1" applyFont="1" applyFill="1" applyBorder="1">
      <alignment/>
      <protection/>
    </xf>
    <xf numFmtId="4" fontId="11" fillId="34" borderId="46" xfId="56" applyNumberFormat="1" applyFont="1" applyFill="1" applyBorder="1" applyAlignment="1">
      <alignment horizontal="right"/>
      <protection/>
    </xf>
    <xf numFmtId="3" fontId="42" fillId="46" borderId="46" xfId="56" applyNumberFormat="1" applyFont="1" applyFill="1" applyBorder="1" applyAlignment="1">
      <alignment vertical="center"/>
      <protection/>
    </xf>
    <xf numFmtId="3" fontId="42" fillId="46" borderId="0" xfId="56" applyNumberFormat="1" applyFont="1" applyFill="1" applyBorder="1" applyAlignment="1">
      <alignment vertical="center"/>
      <protection/>
    </xf>
    <xf numFmtId="4" fontId="33" fillId="38" borderId="38" xfId="56" applyNumberFormat="1" applyFont="1" applyFill="1" applyBorder="1">
      <alignment/>
      <protection/>
    </xf>
    <xf numFmtId="4" fontId="11" fillId="39" borderId="41" xfId="56" applyNumberFormat="1" applyFont="1" applyFill="1" applyBorder="1" applyAlignment="1">
      <alignment horizontal="right"/>
      <protection/>
    </xf>
    <xf numFmtId="4" fontId="11" fillId="34" borderId="42" xfId="56" applyNumberFormat="1" applyFont="1" applyFill="1" applyBorder="1" applyAlignment="1">
      <alignment horizontal="right"/>
      <protection/>
    </xf>
    <xf numFmtId="4" fontId="11" fillId="0" borderId="46" xfId="56" applyNumberFormat="1" applyFont="1" applyFill="1" applyBorder="1" applyAlignment="1">
      <alignment horizontal="right"/>
      <protection/>
    </xf>
    <xf numFmtId="4" fontId="11" fillId="0" borderId="46" xfId="54" applyNumberFormat="1" applyFont="1" applyFill="1" applyBorder="1" applyAlignment="1">
      <alignment horizontal="right"/>
      <protection/>
    </xf>
    <xf numFmtId="4" fontId="11" fillId="35" borderId="46" xfId="54" applyNumberFormat="1" applyFont="1" applyFill="1" applyBorder="1" applyAlignment="1">
      <alignment horizontal="right"/>
      <protection/>
    </xf>
    <xf numFmtId="4" fontId="11" fillId="0" borderId="0" xfId="54" applyNumberFormat="1" applyFont="1" applyFill="1" applyBorder="1" applyAlignment="1">
      <alignment horizontal="right"/>
      <protection/>
    </xf>
    <xf numFmtId="4" fontId="15" fillId="0" borderId="38" xfId="56" applyNumberFormat="1" applyFont="1" applyFill="1" applyBorder="1">
      <alignment/>
      <protection/>
    </xf>
    <xf numFmtId="4" fontId="15" fillId="0" borderId="41" xfId="56" applyNumberFormat="1" applyFont="1" applyFill="1" applyBorder="1">
      <alignment/>
      <protection/>
    </xf>
    <xf numFmtId="4" fontId="15" fillId="33" borderId="38" xfId="54" applyNumberFormat="1" applyFont="1" applyFill="1" applyBorder="1">
      <alignment/>
      <protection/>
    </xf>
    <xf numFmtId="4" fontId="15" fillId="0" borderId="0" xfId="54" applyNumberFormat="1" applyFont="1" applyFill="1" applyBorder="1">
      <alignment/>
      <protection/>
    </xf>
    <xf numFmtId="4" fontId="15" fillId="33" borderId="38" xfId="54" applyNumberFormat="1" applyFont="1" applyFill="1" applyBorder="1" applyAlignment="1">
      <alignment vertical="center"/>
      <protection/>
    </xf>
    <xf numFmtId="4" fontId="33" fillId="0" borderId="48" xfId="56" applyNumberFormat="1" applyFont="1" applyFill="1" applyBorder="1">
      <alignment/>
      <protection/>
    </xf>
    <xf numFmtId="4" fontId="33" fillId="0" borderId="41" xfId="56" applyNumberFormat="1" applyFont="1" applyFill="1" applyBorder="1">
      <alignment/>
      <protection/>
    </xf>
    <xf numFmtId="3" fontId="0" fillId="37" borderId="46" xfId="56" applyNumberFormat="1" applyFont="1" applyFill="1" applyBorder="1" applyAlignment="1">
      <alignment vertical="center"/>
      <protection/>
    </xf>
    <xf numFmtId="3" fontId="0" fillId="54" borderId="46" xfId="56" applyNumberFormat="1" applyFont="1" applyFill="1" applyBorder="1" applyAlignment="1">
      <alignment vertical="center"/>
      <protection/>
    </xf>
    <xf numFmtId="3" fontId="0" fillId="52" borderId="46" xfId="56" applyNumberFormat="1" applyFont="1" applyFill="1" applyBorder="1" applyAlignment="1">
      <alignment vertical="center"/>
      <protection/>
    </xf>
    <xf numFmtId="4" fontId="15" fillId="10" borderId="38" xfId="54" applyNumberFormat="1" applyFont="1" applyFill="1" applyBorder="1">
      <alignment/>
      <protection/>
    </xf>
    <xf numFmtId="4" fontId="15" fillId="34" borderId="0" xfId="54" applyNumberFormat="1" applyFont="1" applyFill="1" applyBorder="1">
      <alignment/>
      <protection/>
    </xf>
    <xf numFmtId="4" fontId="15" fillId="34" borderId="37" xfId="54" applyNumberFormat="1" applyFont="1" applyFill="1" applyBorder="1">
      <alignment/>
      <protection/>
    </xf>
    <xf numFmtId="4" fontId="15" fillId="37" borderId="38" xfId="54" applyNumberFormat="1" applyFont="1" applyFill="1" applyBorder="1">
      <alignment/>
      <protection/>
    </xf>
    <xf numFmtId="4" fontId="16" fillId="39" borderId="46" xfId="54" applyNumberFormat="1" applyFont="1" applyFill="1" applyBorder="1">
      <alignment/>
      <protection/>
    </xf>
    <xf numFmtId="4" fontId="15" fillId="38" borderId="38" xfId="54" applyNumberFormat="1" applyFont="1" applyFill="1" applyBorder="1">
      <alignment/>
      <protection/>
    </xf>
    <xf numFmtId="4" fontId="16" fillId="0" borderId="38" xfId="54" applyNumberFormat="1" applyFont="1" applyFill="1" applyBorder="1">
      <alignment/>
      <protection/>
    </xf>
    <xf numFmtId="4" fontId="15" fillId="0" borderId="42" xfId="54" applyNumberFormat="1" applyFont="1" applyFill="1" applyBorder="1">
      <alignment/>
      <protection/>
    </xf>
    <xf numFmtId="4" fontId="16" fillId="0" borderId="48" xfId="55" applyNumberFormat="1" applyFont="1" applyFill="1" applyBorder="1">
      <alignment/>
      <protection/>
    </xf>
    <xf numFmtId="4" fontId="16" fillId="0" borderId="41" xfId="55" applyNumberFormat="1" applyFont="1" applyFill="1" applyBorder="1">
      <alignment/>
      <protection/>
    </xf>
    <xf numFmtId="4" fontId="16" fillId="0" borderId="46" xfId="55" applyNumberFormat="1" applyFont="1" applyFill="1" applyBorder="1">
      <alignment/>
      <protection/>
    </xf>
    <xf numFmtId="4" fontId="16" fillId="44" borderId="41" xfId="56" applyNumberFormat="1" applyFont="1" applyFill="1" applyBorder="1">
      <alignment/>
      <protection/>
    </xf>
    <xf numFmtId="4" fontId="16" fillId="25" borderId="41" xfId="54" applyNumberFormat="1" applyFont="1" applyFill="1" applyBorder="1">
      <alignment/>
      <protection/>
    </xf>
    <xf numFmtId="4" fontId="16" fillId="54" borderId="41" xfId="54" applyNumberFormat="1" applyFont="1" applyFill="1" applyBorder="1">
      <alignment/>
      <protection/>
    </xf>
    <xf numFmtId="4" fontId="16" fillId="52" borderId="41" xfId="54" applyNumberFormat="1" applyFont="1" applyFill="1" applyBorder="1">
      <alignment/>
      <protection/>
    </xf>
    <xf numFmtId="4" fontId="16" fillId="55" borderId="41" xfId="54" applyNumberFormat="1" applyFont="1" applyFill="1" applyBorder="1">
      <alignment/>
      <protection/>
    </xf>
    <xf numFmtId="4" fontId="15" fillId="55" borderId="41" xfId="54" applyNumberFormat="1" applyFont="1" applyFill="1" applyBorder="1">
      <alignment/>
      <protection/>
    </xf>
    <xf numFmtId="4" fontId="16" fillId="10" borderId="38" xfId="54" applyNumberFormat="1" applyFont="1" applyFill="1" applyBorder="1">
      <alignment/>
      <protection/>
    </xf>
    <xf numFmtId="4" fontId="16" fillId="10" borderId="0" xfId="54" applyNumberFormat="1" applyFont="1" applyFill="1" applyBorder="1">
      <alignment/>
      <protection/>
    </xf>
    <xf numFmtId="4" fontId="16" fillId="0" borderId="48" xfId="54" applyNumberFormat="1" applyFont="1" applyBorder="1">
      <alignment/>
      <protection/>
    </xf>
    <xf numFmtId="4" fontId="16" fillId="0" borderId="41" xfId="54" applyNumberFormat="1" applyFont="1" applyBorder="1">
      <alignment/>
      <protection/>
    </xf>
    <xf numFmtId="4" fontId="16" fillId="0" borderId="37" xfId="54" applyNumberFormat="1" applyFont="1" applyBorder="1">
      <alignment/>
      <protection/>
    </xf>
    <xf numFmtId="4" fontId="16" fillId="39" borderId="13" xfId="56" applyNumberFormat="1" applyFont="1" applyFill="1" applyBorder="1">
      <alignment/>
      <protection/>
    </xf>
    <xf numFmtId="4" fontId="15" fillId="40" borderId="15" xfId="56" applyNumberFormat="1" applyFont="1" applyFill="1" applyBorder="1">
      <alignment/>
      <protection/>
    </xf>
    <xf numFmtId="3" fontId="0" fillId="54" borderId="13" xfId="56" applyNumberFormat="1" applyFont="1" applyFill="1" applyBorder="1" applyAlignment="1">
      <alignment vertical="center"/>
      <protection/>
    </xf>
    <xf numFmtId="3" fontId="0" fillId="55" borderId="13" xfId="56" applyNumberFormat="1" applyFont="1" applyFill="1" applyBorder="1" applyAlignment="1">
      <alignment vertical="center"/>
      <protection/>
    </xf>
    <xf numFmtId="3" fontId="0" fillId="39" borderId="13" xfId="56" applyNumberFormat="1" applyFont="1" applyFill="1" applyBorder="1" applyAlignment="1">
      <alignment vertical="center"/>
      <protection/>
    </xf>
    <xf numFmtId="4" fontId="6" fillId="34" borderId="24" xfId="56" applyNumberFormat="1" applyFont="1" applyFill="1" applyBorder="1" applyAlignment="1">
      <alignment wrapText="1"/>
      <protection/>
    </xf>
    <xf numFmtId="4" fontId="12" fillId="34" borderId="24" xfId="54" applyNumberFormat="1" applyFont="1" applyFill="1" applyBorder="1" applyAlignment="1">
      <alignment horizontal="right"/>
      <protection/>
    </xf>
    <xf numFmtId="4" fontId="15" fillId="37" borderId="38" xfId="54" applyNumberFormat="1" applyFont="1" applyFill="1" applyBorder="1">
      <alignment/>
      <protection/>
    </xf>
    <xf numFmtId="4" fontId="15" fillId="38" borderId="38" xfId="54" applyNumberFormat="1" applyFont="1" applyFill="1" applyBorder="1">
      <alignment/>
      <protection/>
    </xf>
    <xf numFmtId="4" fontId="13" fillId="0" borderId="41" xfId="54" applyNumberFormat="1" applyFont="1" applyFill="1" applyBorder="1">
      <alignment/>
      <protection/>
    </xf>
    <xf numFmtId="4" fontId="13" fillId="34" borderId="42" xfId="54" applyNumberFormat="1" applyFont="1" applyFill="1" applyBorder="1">
      <alignment/>
      <protection/>
    </xf>
    <xf numFmtId="4" fontId="33" fillId="39" borderId="38" xfId="54" applyNumberFormat="1" applyFont="1" applyFill="1" applyBorder="1">
      <alignment/>
      <protection/>
    </xf>
    <xf numFmtId="4" fontId="30" fillId="0" borderId="41" xfId="54" applyNumberFormat="1" applyFont="1" applyFill="1" applyBorder="1">
      <alignment/>
      <protection/>
    </xf>
    <xf numFmtId="4" fontId="30" fillId="0" borderId="42" xfId="54" applyNumberFormat="1" applyFont="1" applyFill="1" applyBorder="1">
      <alignment/>
      <protection/>
    </xf>
    <xf numFmtId="4" fontId="2" fillId="0" borderId="46" xfId="54" applyNumberFormat="1" applyFill="1" applyBorder="1">
      <alignment/>
      <protection/>
    </xf>
    <xf numFmtId="4" fontId="16" fillId="0" borderId="48" xfId="54" applyNumberFormat="1" applyFont="1" applyFill="1" applyBorder="1">
      <alignment/>
      <protection/>
    </xf>
    <xf numFmtId="4" fontId="85" fillId="0" borderId="46" xfId="54" applyNumberFormat="1" applyFont="1" applyFill="1" applyBorder="1">
      <alignment/>
      <protection/>
    </xf>
    <xf numFmtId="4" fontId="13" fillId="25" borderId="41" xfId="54" applyNumberFormat="1" applyFont="1" applyFill="1" applyBorder="1">
      <alignment/>
      <protection/>
    </xf>
    <xf numFmtId="4" fontId="13" fillId="54" borderId="41" xfId="54" applyNumberFormat="1" applyFont="1" applyFill="1" applyBorder="1">
      <alignment/>
      <protection/>
    </xf>
    <xf numFmtId="4" fontId="13" fillId="52" borderId="41" xfId="54" applyNumberFormat="1" applyFont="1" applyFill="1" applyBorder="1">
      <alignment/>
      <protection/>
    </xf>
    <xf numFmtId="4" fontId="13" fillId="55" borderId="41" xfId="54" applyNumberFormat="1" applyFont="1" applyFill="1" applyBorder="1">
      <alignment/>
      <protection/>
    </xf>
    <xf numFmtId="4" fontId="13" fillId="10" borderId="38" xfId="54" applyNumberFormat="1" applyFont="1" applyFill="1" applyBorder="1">
      <alignment/>
      <protection/>
    </xf>
    <xf numFmtId="4" fontId="13" fillId="34" borderId="0" xfId="54" applyNumberFormat="1" applyFont="1" applyFill="1" applyBorder="1">
      <alignment/>
      <protection/>
    </xf>
    <xf numFmtId="4" fontId="11" fillId="34" borderId="15" xfId="56" applyNumberFormat="1" applyFont="1" applyFill="1" applyBorder="1" applyAlignment="1">
      <alignment horizontal="center" wrapText="1"/>
      <protection/>
    </xf>
    <xf numFmtId="4" fontId="19" fillId="0" borderId="13" xfId="56" applyNumberFormat="1" applyFont="1" applyBorder="1">
      <alignment/>
      <protection/>
    </xf>
    <xf numFmtId="4" fontId="5" fillId="0" borderId="13" xfId="54" applyNumberFormat="1" applyFont="1" applyBorder="1">
      <alignment/>
      <protection/>
    </xf>
    <xf numFmtId="4" fontId="17" fillId="0" borderId="13" xfId="54" applyNumberFormat="1" applyFont="1" applyFill="1" applyBorder="1">
      <alignment/>
      <protection/>
    </xf>
    <xf numFmtId="4" fontId="17" fillId="34" borderId="13" xfId="54" applyNumberFormat="1" applyFont="1" applyFill="1" applyBorder="1">
      <alignment/>
      <protection/>
    </xf>
    <xf numFmtId="4" fontId="17" fillId="0" borderId="13" xfId="54" applyNumberFormat="1" applyFont="1" applyFill="1" applyBorder="1">
      <alignment/>
      <protection/>
    </xf>
    <xf numFmtId="4" fontId="13" fillId="34" borderId="23" xfId="54" applyNumberFormat="1" applyFont="1" applyFill="1" applyBorder="1">
      <alignment/>
      <protection/>
    </xf>
    <xf numFmtId="4" fontId="33" fillId="39" borderId="15" xfId="54" applyNumberFormat="1" applyFont="1" applyFill="1" applyBorder="1">
      <alignment/>
      <protection/>
    </xf>
    <xf numFmtId="4" fontId="5" fillId="39" borderId="16" xfId="55" applyNumberFormat="1" applyFont="1" applyFill="1" applyBorder="1">
      <alignment/>
      <protection/>
    </xf>
    <xf numFmtId="4" fontId="19" fillId="0" borderId="13" xfId="54" applyNumberFormat="1" applyFont="1" applyBorder="1">
      <alignment/>
      <protection/>
    </xf>
    <xf numFmtId="4" fontId="30" fillId="0" borderId="13" xfId="54" applyNumberFormat="1" applyFont="1" applyFill="1" applyBorder="1">
      <alignment/>
      <protection/>
    </xf>
    <xf numFmtId="4" fontId="30" fillId="0" borderId="23" xfId="54" applyNumberFormat="1" applyFont="1" applyFill="1" applyBorder="1">
      <alignment/>
      <protection/>
    </xf>
    <xf numFmtId="4" fontId="30" fillId="33" borderId="15" xfId="54" applyNumberFormat="1" applyFont="1" applyFill="1" applyBorder="1">
      <alignment/>
      <protection/>
    </xf>
    <xf numFmtId="4" fontId="2" fillId="0" borderId="16" xfId="54" applyNumberFormat="1" applyFill="1" applyBorder="1">
      <alignment/>
      <protection/>
    </xf>
    <xf numFmtId="4" fontId="17" fillId="0" borderId="36" xfId="54" applyNumberFormat="1" applyFont="1" applyFill="1" applyBorder="1">
      <alignment/>
      <protection/>
    </xf>
    <xf numFmtId="4" fontId="33" fillId="34" borderId="13" xfId="54" applyNumberFormat="1" applyFont="1" applyFill="1" applyBorder="1">
      <alignment/>
      <protection/>
    </xf>
    <xf numFmtId="4" fontId="33" fillId="39" borderId="16" xfId="54" applyNumberFormat="1" applyFont="1" applyFill="1" applyBorder="1">
      <alignment/>
      <protection/>
    </xf>
    <xf numFmtId="4" fontId="17" fillId="25" borderId="13" xfId="54" applyNumberFormat="1" applyFont="1" applyFill="1" applyBorder="1">
      <alignment/>
      <protection/>
    </xf>
    <xf numFmtId="4" fontId="17" fillId="54" borderId="13" xfId="54" applyNumberFormat="1" applyFont="1" applyFill="1" applyBorder="1">
      <alignment/>
      <protection/>
    </xf>
    <xf numFmtId="4" fontId="17" fillId="52" borderId="13" xfId="54" applyNumberFormat="1" applyFont="1" applyFill="1" applyBorder="1">
      <alignment/>
      <protection/>
    </xf>
    <xf numFmtId="4" fontId="17" fillId="55" borderId="13" xfId="54" applyNumberFormat="1" applyFont="1" applyFill="1" applyBorder="1">
      <alignment/>
      <protection/>
    </xf>
    <xf numFmtId="4" fontId="33" fillId="55" borderId="13" xfId="54" applyNumberFormat="1" applyFont="1" applyFill="1" applyBorder="1">
      <alignment/>
      <protection/>
    </xf>
    <xf numFmtId="4" fontId="13" fillId="10" borderId="15" xfId="54" applyNumberFormat="1" applyFont="1" applyFill="1" applyBorder="1">
      <alignment/>
      <protection/>
    </xf>
    <xf numFmtId="4" fontId="13" fillId="10" borderId="15" xfId="54" applyNumberFormat="1" applyFont="1" applyFill="1" applyBorder="1">
      <alignment/>
      <protection/>
    </xf>
    <xf numFmtId="4" fontId="13" fillId="34" borderId="10" xfId="54" applyNumberFormat="1" applyFont="1" applyFill="1" applyBorder="1">
      <alignment/>
      <protection/>
    </xf>
    <xf numFmtId="4" fontId="0" fillId="34" borderId="11" xfId="56" applyNumberFormat="1" applyFont="1" applyFill="1" applyBorder="1" applyAlignment="1">
      <alignment horizontal="left" vertical="center" wrapText="1"/>
      <protection/>
    </xf>
    <xf numFmtId="4" fontId="0" fillId="0" borderId="11" xfId="56" applyNumberFormat="1" applyFont="1" applyBorder="1" applyAlignment="1">
      <alignment horizontal="left" vertical="center" wrapText="1"/>
      <protection/>
    </xf>
    <xf numFmtId="4" fontId="2" fillId="0" borderId="13" xfId="52" applyNumberFormat="1" applyFont="1" applyBorder="1">
      <alignment/>
      <protection/>
    </xf>
    <xf numFmtId="4" fontId="0" fillId="0" borderId="18" xfId="56" applyNumberFormat="1" applyFont="1" applyBorder="1" applyAlignment="1">
      <alignment horizontal="left" vertical="center" wrapText="1"/>
      <protection/>
    </xf>
    <xf numFmtId="4" fontId="16" fillId="34" borderId="21" xfId="54" applyNumberFormat="1" applyFont="1" applyFill="1" applyBorder="1">
      <alignment/>
      <protection/>
    </xf>
    <xf numFmtId="4" fontId="34" fillId="34" borderId="10" xfId="54" applyNumberFormat="1" applyFont="1" applyFill="1" applyBorder="1">
      <alignment/>
      <protection/>
    </xf>
    <xf numFmtId="4" fontId="0" fillId="39" borderId="18" xfId="56" applyNumberFormat="1" applyFont="1" applyFill="1" applyBorder="1" applyAlignment="1">
      <alignment horizontal="left" vertical="center"/>
      <protection/>
    </xf>
    <xf numFmtId="0" fontId="5" fillId="0" borderId="33" xfId="53" applyFont="1" applyFill="1" applyBorder="1">
      <alignment/>
      <protection/>
    </xf>
    <xf numFmtId="0" fontId="2" fillId="0" borderId="18" xfId="53" applyFont="1" applyFill="1" applyBorder="1" applyAlignment="1">
      <alignment wrapText="1"/>
      <protection/>
    </xf>
    <xf numFmtId="49" fontId="2" fillId="0" borderId="13" xfId="53" applyNumberFormat="1" applyFont="1" applyFill="1" applyBorder="1">
      <alignment/>
      <protection/>
    </xf>
    <xf numFmtId="4" fontId="2" fillId="0" borderId="13" xfId="53" applyNumberFormat="1" applyFont="1" applyFill="1" applyBorder="1" applyAlignment="1">
      <alignment wrapText="1"/>
      <protection/>
    </xf>
    <xf numFmtId="49" fontId="2" fillId="39" borderId="13" xfId="53" applyNumberFormat="1" applyFont="1" applyFill="1" applyBorder="1" applyAlignment="1">
      <alignment horizontal="left"/>
      <protection/>
    </xf>
    <xf numFmtId="4" fontId="2" fillId="0" borderId="13" xfId="53" applyNumberFormat="1" applyFont="1" applyFill="1" applyBorder="1">
      <alignment/>
      <protection/>
    </xf>
    <xf numFmtId="0" fontId="2" fillId="0" borderId="26" xfId="52" applyFont="1" applyFill="1" applyBorder="1" applyAlignment="1">
      <alignment horizontal="left"/>
      <protection/>
    </xf>
    <xf numFmtId="0" fontId="2" fillId="0" borderId="11" xfId="53" applyFont="1" applyFill="1" applyBorder="1" applyAlignment="1">
      <alignment wrapText="1"/>
      <protection/>
    </xf>
    <xf numFmtId="4" fontId="83" fillId="0" borderId="13" xfId="52" applyNumberFormat="1" applyFont="1" applyFill="1" applyBorder="1">
      <alignment/>
      <protection/>
    </xf>
    <xf numFmtId="4" fontId="83" fillId="0" borderId="13" xfId="52" applyNumberFormat="1" applyFont="1" applyFill="1" applyBorder="1" applyAlignment="1">
      <alignment wrapText="1"/>
      <protection/>
    </xf>
    <xf numFmtId="4" fontId="84" fillId="0" borderId="16" xfId="52" applyNumberFormat="1" applyFont="1" applyFill="1" applyBorder="1">
      <alignment/>
      <protection/>
    </xf>
    <xf numFmtId="4" fontId="84" fillId="0" borderId="16" xfId="52" applyNumberFormat="1" applyFont="1" applyFill="1" applyBorder="1" applyAlignment="1">
      <alignment wrapText="1"/>
      <protection/>
    </xf>
    <xf numFmtId="49" fontId="2" fillId="39" borderId="13" xfId="52" applyNumberFormat="1" applyFont="1" applyFill="1" applyBorder="1">
      <alignment/>
      <protection/>
    </xf>
    <xf numFmtId="4" fontId="83" fillId="39" borderId="16" xfId="52" applyNumberFormat="1" applyFont="1" applyFill="1" applyBorder="1">
      <alignment/>
      <protection/>
    </xf>
    <xf numFmtId="4" fontId="6" fillId="39" borderId="16" xfId="52" applyNumberFormat="1" applyFont="1" applyFill="1" applyBorder="1">
      <alignment/>
      <protection/>
    </xf>
    <xf numFmtId="4" fontId="22" fillId="0" borderId="16" xfId="52" applyNumberFormat="1" applyFont="1" applyFill="1" applyBorder="1" applyAlignment="1">
      <alignment wrapText="1"/>
      <protection/>
    </xf>
    <xf numFmtId="4" fontId="2" fillId="0" borderId="16" xfId="52" applyNumberFormat="1" applyFont="1" applyFill="1" applyBorder="1" applyAlignment="1">
      <alignment wrapText="1"/>
      <protection/>
    </xf>
    <xf numFmtId="4" fontId="2" fillId="0" borderId="17" xfId="52" applyNumberFormat="1" applyFont="1" applyBorder="1">
      <alignment/>
      <protection/>
    </xf>
    <xf numFmtId="4" fontId="2" fillId="0" borderId="16" xfId="52" applyNumberFormat="1" applyFont="1" applyFill="1" applyBorder="1">
      <alignment/>
      <protection/>
    </xf>
    <xf numFmtId="4" fontId="2" fillId="0" borderId="11" xfId="52" applyNumberFormat="1" applyFont="1" applyFill="1" applyBorder="1">
      <alignment/>
      <protection/>
    </xf>
    <xf numFmtId="4" fontId="2" fillId="0" borderId="11" xfId="53" applyNumberFormat="1" applyFont="1" applyFill="1" applyBorder="1">
      <alignment/>
      <protection/>
    </xf>
    <xf numFmtId="4" fontId="6" fillId="39" borderId="11" xfId="52" applyNumberFormat="1" applyFont="1" applyFill="1" applyBorder="1">
      <alignment/>
      <protection/>
    </xf>
    <xf numFmtId="4" fontId="6" fillId="0" borderId="11" xfId="52" applyNumberFormat="1" applyFont="1" applyFill="1" applyBorder="1">
      <alignment/>
      <protection/>
    </xf>
    <xf numFmtId="4" fontId="7" fillId="0" borderId="11" xfId="52" applyNumberFormat="1" applyFont="1" applyFill="1" applyBorder="1">
      <alignment/>
      <protection/>
    </xf>
    <xf numFmtId="4" fontId="20" fillId="0" borderId="11" xfId="52" applyNumberFormat="1" applyFont="1" applyFill="1" applyBorder="1">
      <alignment/>
      <protection/>
    </xf>
    <xf numFmtId="4" fontId="2" fillId="0" borderId="20" xfId="53" applyNumberFormat="1" applyFont="1" applyFill="1" applyBorder="1">
      <alignment/>
      <protection/>
    </xf>
    <xf numFmtId="4" fontId="2" fillId="39" borderId="20" xfId="52" applyNumberFormat="1" applyFont="1" applyFill="1" applyBorder="1">
      <alignment/>
      <protection/>
    </xf>
    <xf numFmtId="4" fontId="5" fillId="0" borderId="20" xfId="52" applyNumberFormat="1" applyFont="1" applyFill="1" applyBorder="1">
      <alignment/>
      <protection/>
    </xf>
    <xf numFmtId="4" fontId="83" fillId="0" borderId="20" xfId="52" applyNumberFormat="1" applyFont="1" applyBorder="1">
      <alignment/>
      <protection/>
    </xf>
    <xf numFmtId="4" fontId="5" fillId="0" borderId="23" xfId="52" applyNumberFormat="1" applyFont="1" applyFill="1" applyBorder="1">
      <alignment/>
      <protection/>
    </xf>
    <xf numFmtId="4" fontId="2" fillId="0" borderId="36" xfId="53" applyNumberFormat="1" applyFont="1" applyFill="1" applyBorder="1">
      <alignment/>
      <protection/>
    </xf>
    <xf numFmtId="4" fontId="0" fillId="0" borderId="13" xfId="0" applyNumberFormat="1" applyFont="1" applyBorder="1" applyAlignment="1">
      <alignment/>
    </xf>
    <xf numFmtId="4" fontId="2" fillId="39" borderId="16" xfId="52" applyNumberFormat="1" applyFont="1" applyFill="1" applyBorder="1">
      <alignment/>
      <protection/>
    </xf>
    <xf numFmtId="4" fontId="6" fillId="0" borderId="13" xfId="52" applyNumberFormat="1" applyFont="1" applyFill="1" applyBorder="1">
      <alignment/>
      <protection/>
    </xf>
    <xf numFmtId="4" fontId="12" fillId="34" borderId="22" xfId="54" applyNumberFormat="1" applyFont="1" applyFill="1" applyBorder="1">
      <alignment/>
      <protection/>
    </xf>
    <xf numFmtId="4" fontId="16" fillId="36" borderId="22" xfId="54" applyNumberFormat="1" applyFont="1" applyFill="1" applyBorder="1">
      <alignment/>
      <protection/>
    </xf>
    <xf numFmtId="4" fontId="12" fillId="43" borderId="22" xfId="54" applyNumberFormat="1" applyFont="1" applyFill="1" applyBorder="1">
      <alignment/>
      <protection/>
    </xf>
    <xf numFmtId="4" fontId="15" fillId="33" borderId="50" xfId="54" applyNumberFormat="1" applyFont="1" applyFill="1" applyBorder="1" applyAlignment="1">
      <alignment horizontal="right" vertical="center" wrapText="1"/>
      <protection/>
    </xf>
    <xf numFmtId="4" fontId="42" fillId="37" borderId="22" xfId="56" applyNumberFormat="1" applyFont="1" applyFill="1" applyBorder="1" applyAlignment="1">
      <alignment horizontal="right"/>
      <protection/>
    </xf>
    <xf numFmtId="3" fontId="42" fillId="19" borderId="18" xfId="56" applyNumberFormat="1" applyFont="1" applyFill="1" applyBorder="1" applyAlignment="1">
      <alignment vertical="center"/>
      <protection/>
    </xf>
    <xf numFmtId="4" fontId="16" fillId="0" borderId="18" xfId="56" applyNumberFormat="1" applyFont="1" applyFill="1" applyBorder="1">
      <alignment/>
      <protection/>
    </xf>
    <xf numFmtId="3" fontId="0" fillId="46" borderId="18" xfId="56" applyNumberFormat="1" applyFont="1" applyFill="1" applyBorder="1" applyAlignment="1">
      <alignment vertical="center"/>
      <protection/>
    </xf>
    <xf numFmtId="3" fontId="0" fillId="46" borderId="33" xfId="56" applyNumberFormat="1" applyFont="1" applyFill="1" applyBorder="1" applyAlignment="1">
      <alignment vertical="center"/>
      <protection/>
    </xf>
    <xf numFmtId="4" fontId="0" fillId="38" borderId="22" xfId="56" applyNumberFormat="1" applyFont="1" applyFill="1" applyBorder="1" applyAlignment="1">
      <alignment horizontal="right"/>
      <protection/>
    </xf>
    <xf numFmtId="4" fontId="16" fillId="0" borderId="11" xfId="56" applyNumberFormat="1" applyFont="1" applyFill="1" applyBorder="1">
      <alignment/>
      <protection/>
    </xf>
    <xf numFmtId="4" fontId="16" fillId="0" borderId="12" xfId="56" applyNumberFormat="1" applyFont="1" applyFill="1" applyBorder="1">
      <alignment/>
      <protection/>
    </xf>
    <xf numFmtId="4" fontId="42" fillId="40" borderId="22" xfId="56" applyNumberFormat="1" applyFont="1" applyFill="1" applyBorder="1" applyAlignment="1">
      <alignment horizontal="right"/>
      <protection/>
    </xf>
    <xf numFmtId="3" fontId="0" fillId="0" borderId="18" xfId="56" applyNumberFormat="1" applyFont="1" applyFill="1" applyBorder="1" applyAlignment="1">
      <alignment vertical="center"/>
      <protection/>
    </xf>
    <xf numFmtId="3" fontId="0" fillId="0" borderId="11" xfId="56" applyNumberFormat="1" applyFont="1" applyFill="1" applyBorder="1" applyAlignment="1">
      <alignment vertical="center"/>
      <protection/>
    </xf>
    <xf numFmtId="3" fontId="0" fillId="0" borderId="12" xfId="56" applyNumberFormat="1" applyFont="1" applyFill="1" applyBorder="1" applyAlignment="1">
      <alignment vertical="center"/>
      <protection/>
    </xf>
    <xf numFmtId="3" fontId="0" fillId="0" borderId="35" xfId="56" applyNumberFormat="1" applyFont="1" applyFill="1" applyBorder="1" applyAlignment="1">
      <alignment vertical="center"/>
      <protection/>
    </xf>
    <xf numFmtId="4" fontId="16" fillId="0" borderId="18" xfId="54" applyNumberFormat="1" applyFont="1" applyFill="1" applyBorder="1">
      <alignment/>
      <protection/>
    </xf>
    <xf numFmtId="4" fontId="16" fillId="35" borderId="18" xfId="54" applyNumberFormat="1" applyFont="1" applyFill="1" applyBorder="1">
      <alignment/>
      <protection/>
    </xf>
    <xf numFmtId="4" fontId="16" fillId="0" borderId="12" xfId="54" applyNumberFormat="1" applyFont="1" applyFill="1" applyBorder="1">
      <alignment/>
      <protection/>
    </xf>
    <xf numFmtId="4" fontId="16" fillId="34" borderId="35" xfId="54" applyNumberFormat="1" applyFont="1" applyFill="1" applyBorder="1">
      <alignment/>
      <protection/>
    </xf>
    <xf numFmtId="4" fontId="16" fillId="34" borderId="14" xfId="54" applyNumberFormat="1" applyFont="1" applyFill="1" applyBorder="1">
      <alignment/>
      <protection/>
    </xf>
    <xf numFmtId="4" fontId="15" fillId="33" borderId="22" xfId="54" applyNumberFormat="1" applyFont="1" applyFill="1" applyBorder="1">
      <alignment/>
      <protection/>
    </xf>
    <xf numFmtId="4" fontId="15" fillId="0" borderId="22" xfId="56" applyNumberFormat="1" applyFont="1" applyFill="1" applyBorder="1">
      <alignment/>
      <protection/>
    </xf>
    <xf numFmtId="3" fontId="0" fillId="0" borderId="49" xfId="56" applyNumberFormat="1" applyFont="1" applyFill="1" applyBorder="1" applyAlignment="1">
      <alignment horizontal="right" vertical="center"/>
      <protection/>
    </xf>
    <xf numFmtId="3" fontId="0" fillId="19" borderId="18" xfId="56" applyNumberFormat="1" applyFont="1" applyFill="1" applyBorder="1" applyAlignment="1">
      <alignment horizontal="right" vertical="center"/>
      <protection/>
    </xf>
    <xf numFmtId="3" fontId="0" fillId="46" borderId="18" xfId="56" applyNumberFormat="1" applyFont="1" applyFill="1" applyBorder="1" applyAlignment="1">
      <alignment horizontal="right" vertical="center"/>
      <protection/>
    </xf>
    <xf numFmtId="3" fontId="0" fillId="47" borderId="18" xfId="56" applyNumberFormat="1" applyFont="1" applyFill="1" applyBorder="1" applyAlignment="1">
      <alignment horizontal="right" vertical="center"/>
      <protection/>
    </xf>
    <xf numFmtId="3" fontId="0" fillId="48" borderId="18" xfId="56" applyNumberFormat="1" applyFont="1" applyFill="1" applyBorder="1" applyAlignment="1">
      <alignment horizontal="right" vertical="center"/>
      <protection/>
    </xf>
    <xf numFmtId="3" fontId="0" fillId="49" borderId="18" xfId="56" applyNumberFormat="1" applyFont="1" applyFill="1" applyBorder="1" applyAlignment="1">
      <alignment horizontal="right" vertical="center"/>
      <protection/>
    </xf>
    <xf numFmtId="4" fontId="5" fillId="0" borderId="11" xfId="56" applyNumberFormat="1" applyFont="1" applyBorder="1">
      <alignment/>
      <protection/>
    </xf>
    <xf numFmtId="4" fontId="2" fillId="39" borderId="18" xfId="56" applyNumberFormat="1" applyFont="1" applyFill="1" applyBorder="1">
      <alignment/>
      <protection/>
    </xf>
    <xf numFmtId="4" fontId="15" fillId="0" borderId="11" xfId="54" applyNumberFormat="1" applyFont="1" applyFill="1" applyBorder="1">
      <alignment/>
      <protection/>
    </xf>
    <xf numFmtId="4" fontId="18" fillId="0" borderId="18" xfId="54" applyNumberFormat="1" applyFont="1" applyFill="1" applyBorder="1">
      <alignment/>
      <protection/>
    </xf>
    <xf numFmtId="4" fontId="15" fillId="33" borderId="22" xfId="54" applyNumberFormat="1" applyFont="1" applyFill="1" applyBorder="1" applyAlignment="1">
      <alignment horizontal="right" vertical="center" wrapText="1"/>
      <protection/>
    </xf>
    <xf numFmtId="3" fontId="0" fillId="0" borderId="49" xfId="56" applyNumberFormat="1" applyFont="1" applyFill="1" applyBorder="1" applyAlignment="1">
      <alignment vertical="center"/>
      <protection/>
    </xf>
    <xf numFmtId="3" fontId="42" fillId="9" borderId="22" xfId="56" applyNumberFormat="1" applyFont="1" applyFill="1" applyBorder="1" applyAlignment="1">
      <alignment horizontal="right" vertical="center" wrapText="1"/>
      <protection/>
    </xf>
    <xf numFmtId="3" fontId="0" fillId="37" borderId="11" xfId="56" applyNumberFormat="1" applyFont="1" applyFill="1" applyBorder="1" applyAlignment="1">
      <alignment vertical="center"/>
      <protection/>
    </xf>
    <xf numFmtId="3" fontId="0" fillId="51" borderId="11" xfId="56" applyNumberFormat="1" applyFont="1" applyFill="1" applyBorder="1" applyAlignment="1">
      <alignment vertical="center"/>
      <protection/>
    </xf>
    <xf numFmtId="3" fontId="0" fillId="52" borderId="11" xfId="56" applyNumberFormat="1" applyFont="1" applyFill="1" applyBorder="1" applyAlignment="1">
      <alignment vertical="center"/>
      <protection/>
    </xf>
    <xf numFmtId="3" fontId="0" fillId="53" borderId="11" xfId="56" applyNumberFormat="1" applyFont="1" applyFill="1" applyBorder="1" applyAlignment="1">
      <alignment vertical="center"/>
      <protection/>
    </xf>
    <xf numFmtId="4" fontId="16" fillId="10" borderId="22" xfId="54" applyNumberFormat="1" applyFont="1" applyFill="1" applyBorder="1">
      <alignment/>
      <protection/>
    </xf>
    <xf numFmtId="4" fontId="16" fillId="10" borderId="33" xfId="54" applyNumberFormat="1" applyFont="1" applyFill="1" applyBorder="1">
      <alignment/>
      <protection/>
    </xf>
    <xf numFmtId="4" fontId="16" fillId="34" borderId="33" xfId="54" applyNumberFormat="1" applyFont="1" applyFill="1" applyBorder="1">
      <alignment/>
      <protection/>
    </xf>
    <xf numFmtId="4" fontId="12" fillId="34" borderId="32" xfId="54" applyNumberFormat="1" applyFont="1" applyFill="1" applyBorder="1" applyAlignment="1">
      <alignment horizontal="right"/>
      <protection/>
    </xf>
    <xf numFmtId="4" fontId="10" fillId="34" borderId="24" xfId="54" applyNumberFormat="1" applyFont="1" applyFill="1" applyBorder="1" applyAlignment="1">
      <alignment horizontal="center"/>
      <protection/>
    </xf>
    <xf numFmtId="4" fontId="12" fillId="34" borderId="24" xfId="54" applyNumberFormat="1" applyFont="1" applyFill="1" applyBorder="1">
      <alignment/>
      <protection/>
    </xf>
    <xf numFmtId="4" fontId="16" fillId="36" borderId="24" xfId="54" applyNumberFormat="1" applyFont="1" applyFill="1" applyBorder="1">
      <alignment/>
      <protection/>
    </xf>
    <xf numFmtId="4" fontId="12" fillId="43" borderId="24" xfId="54" applyNumberFormat="1" applyFont="1" applyFill="1" applyBorder="1">
      <alignment/>
      <protection/>
    </xf>
    <xf numFmtId="4" fontId="15" fillId="33" borderId="51" xfId="54" applyNumberFormat="1" applyFont="1" applyFill="1" applyBorder="1" applyAlignment="1">
      <alignment horizontal="right" vertical="center" wrapText="1"/>
      <protection/>
    </xf>
    <xf numFmtId="4" fontId="42" fillId="37" borderId="24" xfId="56" applyNumberFormat="1" applyFont="1" applyFill="1" applyBorder="1" applyAlignment="1">
      <alignment horizontal="right"/>
      <protection/>
    </xf>
    <xf numFmtId="3" fontId="42" fillId="19" borderId="45" xfId="56" applyNumberFormat="1" applyFont="1" applyFill="1" applyBorder="1" applyAlignment="1">
      <alignment vertical="center"/>
      <protection/>
    </xf>
    <xf numFmtId="4" fontId="16" fillId="0" borderId="45" xfId="56" applyNumberFormat="1" applyFont="1" applyFill="1" applyBorder="1">
      <alignment/>
      <protection/>
    </xf>
    <xf numFmtId="3" fontId="0" fillId="46" borderId="45" xfId="56" applyNumberFormat="1" applyFont="1" applyFill="1" applyBorder="1" applyAlignment="1">
      <alignment vertical="center"/>
      <protection/>
    </xf>
    <xf numFmtId="3" fontId="0" fillId="46" borderId="43" xfId="56" applyNumberFormat="1" applyFont="1" applyFill="1" applyBorder="1" applyAlignment="1">
      <alignment vertical="center"/>
      <protection/>
    </xf>
    <xf numFmtId="4" fontId="0" fillId="38" borderId="24" xfId="56" applyNumberFormat="1" applyFont="1" applyFill="1" applyBorder="1" applyAlignment="1">
      <alignment horizontal="right"/>
      <protection/>
    </xf>
    <xf numFmtId="4" fontId="16" fillId="0" borderId="20" xfId="56" applyNumberFormat="1" applyFont="1" applyFill="1" applyBorder="1">
      <alignment/>
      <protection/>
    </xf>
    <xf numFmtId="4" fontId="16" fillId="0" borderId="40" xfId="56" applyNumberFormat="1" applyFont="1" applyFill="1" applyBorder="1">
      <alignment/>
      <protection/>
    </xf>
    <xf numFmtId="3" fontId="0" fillId="0" borderId="45" xfId="56" applyNumberFormat="1" applyFont="1" applyFill="1" applyBorder="1" applyAlignment="1">
      <alignment vertical="center"/>
      <protection/>
    </xf>
    <xf numFmtId="3" fontId="0" fillId="0" borderId="20" xfId="56" applyNumberFormat="1" applyFont="1" applyFill="1" applyBorder="1" applyAlignment="1">
      <alignment vertical="center"/>
      <protection/>
    </xf>
    <xf numFmtId="3" fontId="0" fillId="0" borderId="40" xfId="56" applyNumberFormat="1" applyFont="1" applyFill="1" applyBorder="1" applyAlignment="1">
      <alignment vertical="center"/>
      <protection/>
    </xf>
    <xf numFmtId="3" fontId="0" fillId="0" borderId="26" xfId="56" applyNumberFormat="1" applyFont="1" applyFill="1" applyBorder="1" applyAlignment="1">
      <alignment vertical="center"/>
      <protection/>
    </xf>
    <xf numFmtId="4" fontId="16" fillId="0" borderId="45" xfId="54" applyNumberFormat="1" applyFont="1" applyFill="1" applyBorder="1">
      <alignment/>
      <protection/>
    </xf>
    <xf numFmtId="4" fontId="16" fillId="35" borderId="45" xfId="54" applyNumberFormat="1" applyFont="1" applyFill="1" applyBorder="1">
      <alignment/>
      <protection/>
    </xf>
    <xf numFmtId="4" fontId="14" fillId="34" borderId="43" xfId="54" applyNumberFormat="1" applyFont="1" applyFill="1" applyBorder="1">
      <alignment/>
      <protection/>
    </xf>
    <xf numFmtId="4" fontId="15" fillId="33" borderId="24" xfId="54" applyNumberFormat="1" applyFont="1" applyFill="1" applyBorder="1">
      <alignment/>
      <protection/>
    </xf>
    <xf numFmtId="4" fontId="15" fillId="0" borderId="24" xfId="56" applyNumberFormat="1" applyFont="1" applyFill="1" applyBorder="1">
      <alignment/>
      <protection/>
    </xf>
    <xf numFmtId="3" fontId="0" fillId="0" borderId="52" xfId="56" applyNumberFormat="1" applyFont="1" applyFill="1" applyBorder="1" applyAlignment="1">
      <alignment horizontal="right" vertical="center"/>
      <protection/>
    </xf>
    <xf numFmtId="3" fontId="0" fillId="19" borderId="45" xfId="56" applyNumberFormat="1" applyFont="1" applyFill="1" applyBorder="1" applyAlignment="1">
      <alignment horizontal="right" vertical="center"/>
      <protection/>
    </xf>
    <xf numFmtId="3" fontId="0" fillId="46" borderId="45" xfId="56" applyNumberFormat="1" applyFont="1" applyFill="1" applyBorder="1" applyAlignment="1">
      <alignment horizontal="right" vertical="center"/>
      <protection/>
    </xf>
    <xf numFmtId="3" fontId="0" fillId="47" borderId="45" xfId="56" applyNumberFormat="1" applyFont="1" applyFill="1" applyBorder="1" applyAlignment="1">
      <alignment horizontal="right" vertical="center"/>
      <protection/>
    </xf>
    <xf numFmtId="3" fontId="0" fillId="48" borderId="45" xfId="56" applyNumberFormat="1" applyFont="1" applyFill="1" applyBorder="1" applyAlignment="1">
      <alignment horizontal="right" vertical="center"/>
      <protection/>
    </xf>
    <xf numFmtId="3" fontId="0" fillId="49" borderId="45" xfId="56" applyNumberFormat="1" applyFont="1" applyFill="1" applyBorder="1" applyAlignment="1">
      <alignment horizontal="right" vertical="center"/>
      <protection/>
    </xf>
    <xf numFmtId="4" fontId="5" fillId="0" borderId="20" xfId="56" applyNumberFormat="1" applyFont="1" applyBorder="1">
      <alignment/>
      <protection/>
    </xf>
    <xf numFmtId="4" fontId="2" fillId="39" borderId="45" xfId="56" applyNumberFormat="1" applyFont="1" applyFill="1" applyBorder="1">
      <alignment/>
      <protection/>
    </xf>
    <xf numFmtId="4" fontId="15" fillId="33" borderId="24" xfId="54" applyNumberFormat="1" applyFont="1" applyFill="1" applyBorder="1" applyAlignment="1">
      <alignment horizontal="right" vertical="center" wrapText="1"/>
      <protection/>
    </xf>
    <xf numFmtId="3" fontId="42" fillId="9" borderId="24" xfId="56" applyNumberFormat="1" applyFont="1" applyFill="1" applyBorder="1" applyAlignment="1">
      <alignment horizontal="right" vertical="center" wrapText="1"/>
      <protection/>
    </xf>
    <xf numFmtId="3" fontId="0" fillId="53" borderId="20" xfId="56" applyNumberFormat="1" applyFont="1" applyFill="1" applyBorder="1" applyAlignment="1">
      <alignment vertical="center"/>
      <protection/>
    </xf>
    <xf numFmtId="4" fontId="16" fillId="10" borderId="24" xfId="54" applyNumberFormat="1" applyFont="1" applyFill="1" applyBorder="1">
      <alignment/>
      <protection/>
    </xf>
    <xf numFmtId="4" fontId="16" fillId="10" borderId="43" xfId="54" applyNumberFormat="1" applyFont="1" applyFill="1" applyBorder="1">
      <alignment/>
      <protection/>
    </xf>
    <xf numFmtId="4" fontId="16" fillId="34" borderId="43" xfId="54" applyNumberFormat="1" applyFont="1" applyFill="1" applyBorder="1">
      <alignment/>
      <protection/>
    </xf>
    <xf numFmtId="4" fontId="12" fillId="45" borderId="24" xfId="54" applyNumberFormat="1" applyFont="1" applyFill="1" applyBorder="1">
      <alignment/>
      <protection/>
    </xf>
    <xf numFmtId="4" fontId="12" fillId="45" borderId="51" xfId="54" applyNumberFormat="1" applyFont="1" applyFill="1" applyBorder="1">
      <alignment/>
      <protection/>
    </xf>
    <xf numFmtId="4" fontId="16" fillId="0" borderId="20" xfId="54" applyNumberFormat="1" applyFont="1" applyFill="1" applyBorder="1">
      <alignment/>
      <protection/>
    </xf>
    <xf numFmtId="4" fontId="16" fillId="0" borderId="26" xfId="54" applyNumberFormat="1" applyFont="1" applyFill="1" applyBorder="1">
      <alignment/>
      <protection/>
    </xf>
    <xf numFmtId="4" fontId="16" fillId="0" borderId="10" xfId="56" applyNumberFormat="1" applyFont="1" applyFill="1" applyBorder="1">
      <alignment/>
      <protection/>
    </xf>
    <xf numFmtId="3" fontId="0" fillId="37" borderId="36" xfId="56" applyNumberFormat="1" applyFont="1" applyFill="1" applyBorder="1" applyAlignment="1">
      <alignment vertical="center"/>
      <protection/>
    </xf>
    <xf numFmtId="4" fontId="14" fillId="34" borderId="42" xfId="54" applyNumberFormat="1" applyFont="1" applyFill="1" applyBorder="1">
      <alignment/>
      <protection/>
    </xf>
    <xf numFmtId="4" fontId="14" fillId="34" borderId="0" xfId="54" applyNumberFormat="1" applyFont="1" applyFill="1" applyBorder="1">
      <alignment/>
      <protection/>
    </xf>
    <xf numFmtId="4" fontId="16" fillId="34" borderId="0" xfId="54" applyNumberFormat="1" applyFont="1" applyFill="1" applyBorder="1">
      <alignment/>
      <protection/>
    </xf>
    <xf numFmtId="4" fontId="10" fillId="39" borderId="24" xfId="56" applyNumberFormat="1" applyFont="1" applyFill="1" applyBorder="1" applyAlignment="1">
      <alignment horizontal="center"/>
      <protection/>
    </xf>
    <xf numFmtId="4" fontId="16" fillId="39" borderId="45" xfId="56" applyNumberFormat="1" applyFont="1" applyFill="1" applyBorder="1">
      <alignment/>
      <protection/>
    </xf>
    <xf numFmtId="4" fontId="15" fillId="40" borderId="24" xfId="56" applyNumberFormat="1" applyFont="1" applyFill="1" applyBorder="1">
      <alignment/>
      <protection/>
    </xf>
    <xf numFmtId="4" fontId="16" fillId="39" borderId="45" xfId="54" applyNumberFormat="1" applyFont="1" applyFill="1" applyBorder="1">
      <alignment/>
      <protection/>
    </xf>
    <xf numFmtId="3" fontId="0" fillId="50" borderId="45" xfId="56" applyNumberFormat="1" applyFont="1" applyFill="1" applyBorder="1" applyAlignment="1">
      <alignment horizontal="right" vertical="center"/>
      <protection/>
    </xf>
    <xf numFmtId="4" fontId="15" fillId="0" borderId="45" xfId="54" applyNumberFormat="1" applyFont="1" applyFill="1" applyBorder="1">
      <alignment/>
      <protection/>
    </xf>
    <xf numFmtId="4" fontId="18" fillId="0" borderId="43" xfId="54" applyNumberFormat="1" applyFont="1" applyFill="1" applyBorder="1">
      <alignment/>
      <protection/>
    </xf>
    <xf numFmtId="4" fontId="0" fillId="0" borderId="20" xfId="56" applyNumberFormat="1" applyFont="1" applyFill="1" applyBorder="1" applyAlignment="1">
      <alignment horizontal="right"/>
      <protection/>
    </xf>
    <xf numFmtId="3" fontId="0" fillId="37" borderId="45" xfId="56" applyNumberFormat="1" applyFont="1" applyFill="1" applyBorder="1" applyAlignment="1">
      <alignment vertical="center"/>
      <protection/>
    </xf>
    <xf numFmtId="3" fontId="0" fillId="51" borderId="45" xfId="56" applyNumberFormat="1" applyFont="1" applyFill="1" applyBorder="1" applyAlignment="1">
      <alignment vertical="center"/>
      <protection/>
    </xf>
    <xf numFmtId="3" fontId="0" fillId="52" borderId="45" xfId="56" applyNumberFormat="1" applyFont="1" applyFill="1" applyBorder="1" applyAlignment="1">
      <alignment vertical="center"/>
      <protection/>
    </xf>
    <xf numFmtId="4" fontId="16" fillId="39" borderId="11" xfId="54" applyNumberFormat="1" applyFont="1" applyFill="1" applyBorder="1">
      <alignment/>
      <protection/>
    </xf>
    <xf numFmtId="3" fontId="42" fillId="48" borderId="22" xfId="56" applyNumberFormat="1" applyFont="1" applyFill="1" applyBorder="1" applyAlignment="1">
      <alignment vertical="center"/>
      <protection/>
    </xf>
    <xf numFmtId="4" fontId="2" fillId="39" borderId="17" xfId="52" applyNumberFormat="1" applyFont="1" applyFill="1" applyBorder="1">
      <alignment/>
      <protection/>
    </xf>
    <xf numFmtId="0" fontId="6" fillId="39" borderId="0" xfId="52" applyFont="1" applyFill="1">
      <alignment/>
      <protection/>
    </xf>
    <xf numFmtId="0" fontId="2" fillId="39" borderId="0" xfId="0" applyFont="1" applyFill="1" applyAlignment="1">
      <alignment/>
    </xf>
    <xf numFmtId="4" fontId="0" fillId="39" borderId="0" xfId="0" applyNumberFormat="1" applyFill="1" applyAlignment="1">
      <alignment/>
    </xf>
    <xf numFmtId="4" fontId="35" fillId="39" borderId="0" xfId="0" applyNumberFormat="1" applyFont="1" applyFill="1" applyAlignment="1">
      <alignment/>
    </xf>
    <xf numFmtId="4" fontId="35" fillId="39" borderId="0" xfId="0" applyNumberFormat="1" applyFont="1" applyFill="1" applyAlignment="1">
      <alignment wrapText="1"/>
    </xf>
    <xf numFmtId="4" fontId="2" fillId="39" borderId="0" xfId="0" applyNumberFormat="1" applyFont="1" applyFill="1" applyAlignment="1">
      <alignment wrapText="1"/>
    </xf>
    <xf numFmtId="0" fontId="0" fillId="39" borderId="0" xfId="0" applyFill="1" applyAlignment="1">
      <alignment wrapText="1"/>
    </xf>
    <xf numFmtId="4" fontId="5" fillId="39" borderId="0" xfId="0" applyNumberFormat="1" applyFont="1" applyFill="1" applyAlignment="1">
      <alignment wrapText="1"/>
    </xf>
    <xf numFmtId="4" fontId="2" fillId="39" borderId="0" xfId="0" applyNumberFormat="1" applyFont="1" applyFill="1" applyBorder="1" applyAlignment="1">
      <alignment wrapText="1"/>
    </xf>
    <xf numFmtId="0" fontId="0" fillId="39" borderId="0" xfId="0" applyFill="1" applyBorder="1" applyAlignment="1">
      <alignment wrapText="1"/>
    </xf>
    <xf numFmtId="4" fontId="6" fillId="39" borderId="0" xfId="0" applyNumberFormat="1" applyFont="1" applyFill="1" applyAlignment="1">
      <alignment/>
    </xf>
    <xf numFmtId="4" fontId="12" fillId="39" borderId="0" xfId="54" applyNumberFormat="1" applyFont="1" applyFill="1" applyBorder="1" applyAlignment="1">
      <alignment horizontal="right"/>
      <protection/>
    </xf>
    <xf numFmtId="0" fontId="0" fillId="39" borderId="0" xfId="0" applyFont="1" applyFill="1" applyBorder="1" applyAlignment="1">
      <alignment wrapText="1"/>
    </xf>
    <xf numFmtId="0" fontId="0" fillId="39" borderId="0" xfId="0" applyFont="1" applyFill="1" applyAlignment="1">
      <alignment wrapText="1"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4" fontId="31" fillId="39" borderId="0" xfId="0" applyNumberFormat="1" applyFont="1" applyFill="1" applyAlignment="1">
      <alignment/>
    </xf>
    <xf numFmtId="4" fontId="31" fillId="39" borderId="0" xfId="0" applyNumberFormat="1" applyFont="1" applyFill="1" applyBorder="1" applyAlignment="1">
      <alignment/>
    </xf>
    <xf numFmtId="0" fontId="23" fillId="39" borderId="0" xfId="0" applyFont="1" applyFill="1" applyBorder="1" applyAlignment="1">
      <alignment/>
    </xf>
    <xf numFmtId="0" fontId="23" fillId="39" borderId="0" xfId="0" applyFont="1" applyFill="1" applyAlignment="1">
      <alignment/>
    </xf>
    <xf numFmtId="3" fontId="0" fillId="39" borderId="0" xfId="0" applyNumberFormat="1" applyFill="1" applyBorder="1" applyAlignment="1">
      <alignment/>
    </xf>
    <xf numFmtId="0" fontId="0" fillId="39" borderId="0" xfId="0" applyFont="1" applyFill="1" applyAlignment="1">
      <alignment/>
    </xf>
    <xf numFmtId="4" fontId="6" fillId="39" borderId="0" xfId="52" applyNumberFormat="1" applyFont="1" applyFill="1" applyBorder="1">
      <alignment/>
      <protection/>
    </xf>
    <xf numFmtId="4" fontId="25" fillId="39" borderId="0" xfId="0" applyNumberFormat="1" applyFont="1" applyFill="1" applyAlignment="1">
      <alignment/>
    </xf>
    <xf numFmtId="0" fontId="24" fillId="39" borderId="0" xfId="0" applyFont="1" applyFill="1" applyAlignment="1">
      <alignment/>
    </xf>
    <xf numFmtId="4" fontId="22" fillId="39" borderId="0" xfId="0" applyNumberFormat="1" applyFont="1" applyFill="1" applyAlignment="1">
      <alignment/>
    </xf>
    <xf numFmtId="0" fontId="26" fillId="39" borderId="0" xfId="0" applyFont="1" applyFill="1" applyAlignment="1">
      <alignment/>
    </xf>
    <xf numFmtId="0" fontId="22" fillId="39" borderId="0" xfId="0" applyFont="1" applyFill="1" applyAlignment="1">
      <alignment/>
    </xf>
    <xf numFmtId="4" fontId="36" fillId="39" borderId="0" xfId="0" applyNumberFormat="1" applyFont="1" applyFill="1" applyAlignment="1">
      <alignment/>
    </xf>
    <xf numFmtId="4" fontId="22" fillId="39" borderId="0" xfId="0" applyNumberFormat="1" applyFont="1" applyFill="1" applyBorder="1" applyAlignment="1">
      <alignment/>
    </xf>
    <xf numFmtId="4" fontId="22" fillId="39" borderId="0" xfId="52" applyNumberFormat="1" applyFont="1" applyFill="1" applyBorder="1">
      <alignment/>
      <protection/>
    </xf>
    <xf numFmtId="4" fontId="86" fillId="39" borderId="0" xfId="0" applyNumberFormat="1" applyFont="1" applyFill="1" applyAlignment="1">
      <alignment/>
    </xf>
    <xf numFmtId="4" fontId="0" fillId="39" borderId="0" xfId="0" applyNumberFormat="1" applyFont="1" applyFill="1" applyAlignment="1">
      <alignment/>
    </xf>
    <xf numFmtId="4" fontId="6" fillId="0" borderId="0" xfId="54" applyNumberFormat="1" applyFont="1" applyBorder="1" applyAlignment="1">
      <alignment horizontal="center"/>
      <protection/>
    </xf>
    <xf numFmtId="0" fontId="6" fillId="0" borderId="22" xfId="52" applyFont="1" applyFill="1" applyBorder="1" applyAlignment="1">
      <alignment horizontal="left" wrapText="1"/>
      <protection/>
    </xf>
    <xf numFmtId="0" fontId="6" fillId="0" borderId="24" xfId="52" applyFont="1" applyFill="1" applyBorder="1" applyAlignment="1">
      <alignment horizontal="left" wrapText="1"/>
      <protection/>
    </xf>
    <xf numFmtId="0" fontId="6" fillId="33" borderId="22" xfId="52" applyFont="1" applyFill="1" applyBorder="1" applyAlignment="1">
      <alignment horizontal="left" wrapText="1"/>
      <protection/>
    </xf>
    <xf numFmtId="0" fontId="6" fillId="33" borderId="24" xfId="52" applyFont="1" applyFill="1" applyBorder="1" applyAlignment="1">
      <alignment horizontal="left" wrapText="1"/>
      <protection/>
    </xf>
    <xf numFmtId="0" fontId="3" fillId="0" borderId="0" xfId="54" applyFont="1" applyBorder="1" applyAlignment="1">
      <alignment horizontal="center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250496_headcount" xfId="47"/>
    <cellStyle name="Normálna 2" xfId="48"/>
    <cellStyle name="normálne 2" xfId="49"/>
    <cellStyle name="normálne 2 2" xfId="50"/>
    <cellStyle name="normálne 3" xfId="51"/>
    <cellStyle name="normálne_Príloha è. 1 - AS STU r.2007" xfId="52"/>
    <cellStyle name="normálne_Príloha è. 1 - AS STU r.2007 2" xfId="53"/>
    <cellStyle name="normálne_Suhrn DOT 2005 dofinanc v maji + korekcia v dec05 2" xfId="54"/>
    <cellStyle name="normálne_Suhrn DOT 2005 dofinanc v maji + korekcia v dec05 3" xfId="55"/>
    <cellStyle name="normálne_Suhrn DOT 2005 dofinanc v maji + korekcia v dec05 3 2" xfId="56"/>
    <cellStyle name="percentá 2" xfId="57"/>
    <cellStyle name="percentá 2 2" xfId="58"/>
    <cellStyle name="Followed Hyperlink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2\SR\MODEL%202002SR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y\DATA.EXL\Roz99\V99-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My%20Documents\HZnov&#233;\Dotacia\DOT%202005\UPRAVY\Zv&#253;&#353;enie%20zn&#237;&#382;enia%20k%2031.12.05\Upravy%20TP%20jul20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VYR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8PIJ8PAZ\datab&#225;za_&#353;tudentov_2005_PM_V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5\SD%202005%20vypo&#269;ty\DOT%202005%20pre%20AS%2021%2003%2005\SD%202005%20pre%20%20KR%2021%2002%20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4\SR2004\STU%20S2FIIIT%20Kopie%20-%20Meder%20%20igr_doc_20040130_1a_r_2004_SR_V_9_opraveny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erly1\dokumenty_M1\r2002\r2002_DATABAZA_VS_a_metodika\r2002_rozpis_rozpo&#269;tu_pre_VS_SKK_VVZ_OK_V5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5\SD%202005%20vypo&#269;ty\DOT%202005%20pre%20AS%2021%2003%2005\SD%202005_SR_V_17_19012005%20%20%20HZ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4\SR2004\0STUmarec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3\RRDot\R2003_navrh%20rozpisu%20k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Dokumenty\Rok%202002\SR\MODEL%202002SR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2005\r_2004_SR_V_2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R2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Roz99\SR-99\Roz99\V99-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Prie9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y\DATA.EXL\RVS\Dokumenty\DATA.EXL\ROZ98\VYKVS9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4\SR2004\R2003_navrh%20rozpisu%20kv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2\SR\r2002_rozpis_rozpo&#269;tu_pre_VS_V5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Dokumenty\Rok%202002\SR\r2002_rozpis_rozpo&#269;tu_pre_VS_V5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3\RRDot\R2003_rozpis_dot&#225;cii_VVS_FIN_2003032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3\Rozpis%20%20z%20M&#352;\R2003_navrh%20rozpisu%20k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VYR9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nakova\My%20Documents\rozpo&#269;et\dot&#225;cia\dot&#225;cia_%202012\UD%20k%2031.3.2012\Upravy%20%20D%202012%20%20po%20AS_k_3_201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ro\Downloads\&#218;pravy%20dot&#225;cie\Upraven&#225;_dot&#225;cia_mesiace\&#218;pravy%20dot&#225;cie_9_2020_schv&#225;len&#225;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VY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VY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r2001_data_SO_ak0_verzia2_kvesto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5\SD%202005%20vypo&#269;ty\DOT%202005%20pre%20AS%2021%2003%2005\MZDY%20-%20pokusy%20s%20C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hena11\zd_adr_sfr\St&#244;l-BV\2004\SR_2004\Arch&#237;v\r2004_navrh_rozpoctu%20G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8PIJ8PAZ\r_2005_SR_V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az"/>
      <sheetName val="SR"/>
      <sheetName val="SRzaokr."/>
      <sheetName val="PríjmyI."/>
      <sheetName val="KV"/>
      <sheetName val=" VVZ MŠ"/>
      <sheetName val="PPš 610-SR"/>
      <sheetName val="fixy-2"/>
      <sheetName val="630-Vie"/>
      <sheetName val="Stravné"/>
      <sheetName val="MP-ŠJ"/>
      <sheetName val="SP"/>
      <sheetName val="Fak-odb"/>
      <sheetName val="STU odb"/>
      <sheetName val="STU-nep"/>
      <sheetName val="transf"/>
      <sheetName val="T1 - vyp_KEN"/>
      <sheetName val="Priem2001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YR99-E"/>
      <sheetName val="VYR99-Fei"/>
      <sheetName val="VYR99-FEI2"/>
      <sheetName val="Uči-neuč"/>
      <sheetName val="priem-12"/>
      <sheetName val="VYRM98D"/>
    </sheetNames>
    <sheetDataSet>
      <sheetData sheetId="0">
        <row r="2">
          <cell r="J2">
            <v>0.5</v>
          </cell>
        </row>
        <row r="45">
          <cell r="AK45">
            <v>13263.81745266041</v>
          </cell>
        </row>
        <row r="47">
          <cell r="AA47">
            <v>284425</v>
          </cell>
        </row>
        <row r="52">
          <cell r="AQ52">
            <v>476234761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prava- tarifné platy"/>
      <sheetName val="List2"/>
      <sheetName val="List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Legenda"/>
      <sheetName val="VYRM98D2"/>
      <sheetName val="VYRM98D"/>
      <sheetName val="VYRM98-10u"/>
      <sheetName val="VYRM97-12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 (2)"/>
      <sheetName val="Mp-Uči"/>
      <sheetName val="vyk95"/>
      <sheetName val="Stavy"/>
      <sheetName val="Mz01-96"/>
      <sheetName val="Mzdy95"/>
      <sheetName val="Mzdy96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oeficienty"/>
      <sheetName val="data"/>
      <sheetName val="sústava študijných odborov"/>
      <sheetName val="Poznámky"/>
    </sheetNames>
    <sheetDataSet>
      <sheetData sheetId="0">
        <row r="31">
          <cell r="D31">
            <v>1</v>
          </cell>
        </row>
        <row r="32">
          <cell r="D32">
            <v>0.3</v>
          </cell>
        </row>
        <row r="33">
          <cell r="D33">
            <v>1.5</v>
          </cell>
        </row>
        <row r="34">
          <cell r="D34">
            <v>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2-KPN"/>
      <sheetName val="T4-data_odbory"/>
      <sheetName val="T5-sumar_odbory"/>
      <sheetName val="T6-výkon"/>
      <sheetName val="List2"/>
      <sheetName val="List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1_rozpis STU 04 03"/>
      <sheetName val="T1-rozpisovy-list"/>
      <sheetName val="T2-KPN"/>
      <sheetName val="T3-vstupy"/>
      <sheetName val="T4-data_odbory"/>
      <sheetName val="T5-sumar_odbory"/>
      <sheetName val="T6-výkon"/>
      <sheetName val="T16-KKŠ"/>
      <sheetName val="T7-mzdyNIE"/>
      <sheetName val="T8-TaS"/>
      <sheetName val="T8-TaS  STU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7-Klinické"/>
    </sheetNames>
    <sheetDataSet>
      <sheetData sheetId="3">
        <row r="49">
          <cell r="C49">
            <v>2</v>
          </cell>
        </row>
        <row r="52">
          <cell r="C52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mzdy-TaS"/>
      <sheetName val="T15-sumár externe"/>
      <sheetName val="T16-rozpisovy-list"/>
      <sheetName val="T17-KKŠ"/>
      <sheetName val="T18-mená"/>
      <sheetName val="VVZ-hist-mzdy"/>
      <sheetName val="T3_vstupy"/>
    </sheetNames>
    <sheetDataSet>
      <sheetData sheetId="2">
        <row r="29">
          <cell r="C29">
            <v>2.27</v>
          </cell>
        </row>
        <row r="30">
          <cell r="C30">
            <v>1.89</v>
          </cell>
        </row>
        <row r="31">
          <cell r="C31">
            <v>1.5</v>
          </cell>
        </row>
        <row r="32">
          <cell r="C32">
            <v>1.13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17-Klinické "/>
    </sheetNames>
    <sheetDataSet>
      <sheetData sheetId="2">
        <row r="48">
          <cell r="C48">
            <v>2</v>
          </cell>
        </row>
        <row r="49">
          <cell r="C49">
            <v>1.66</v>
          </cell>
        </row>
        <row r="50">
          <cell r="C50">
            <v>1.33</v>
          </cell>
        </row>
        <row r="51">
          <cell r="C51">
            <v>1</v>
          </cell>
        </row>
        <row r="76">
          <cell r="C76">
            <v>358751</v>
          </cell>
        </row>
        <row r="79">
          <cell r="C79">
            <v>48356.64799999999</v>
          </cell>
        </row>
        <row r="82">
          <cell r="C82">
            <v>37000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6-KKŠ"/>
      <sheetName val="T17-Klinické"/>
    </sheetNames>
    <sheetDataSet>
      <sheetData sheetId="2">
        <row r="43">
          <cell r="C43">
            <v>3467843</v>
          </cell>
        </row>
        <row r="44">
          <cell r="C44">
            <v>0.95</v>
          </cell>
        </row>
        <row r="49">
          <cell r="C49">
            <v>246347</v>
          </cell>
        </row>
        <row r="60">
          <cell r="C60">
            <v>13500</v>
          </cell>
        </row>
        <row r="64">
          <cell r="C64">
            <v>723369.9360000007</v>
          </cell>
        </row>
        <row r="65">
          <cell r="C65">
            <v>0.5</v>
          </cell>
        </row>
        <row r="70">
          <cell r="C70">
            <v>300156</v>
          </cell>
        </row>
        <row r="100">
          <cell r="C100">
            <v>20</v>
          </cell>
        </row>
        <row r="105">
          <cell r="C105">
            <v>200</v>
          </cell>
        </row>
        <row r="106">
          <cell r="C106">
            <v>200</v>
          </cell>
        </row>
        <row r="108">
          <cell r="C108">
            <v>1</v>
          </cell>
        </row>
        <row r="109">
          <cell r="C109">
            <v>2</v>
          </cell>
        </row>
        <row r="110">
          <cell r="C110">
            <v>2.5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2">
        <row r="64">
          <cell r="C64">
            <v>31500</v>
          </cell>
        </row>
        <row r="66">
          <cell r="C66">
            <v>13500</v>
          </cell>
        </row>
        <row r="69">
          <cell r="C69">
            <v>875741.6000000001</v>
          </cell>
        </row>
        <row r="70">
          <cell r="C70">
            <v>1.1</v>
          </cell>
        </row>
        <row r="75">
          <cell r="C75">
            <v>58186.30000000014</v>
          </cell>
        </row>
        <row r="105">
          <cell r="C105">
            <v>17</v>
          </cell>
        </row>
        <row r="114">
          <cell r="C114">
            <v>200</v>
          </cell>
        </row>
        <row r="115">
          <cell r="C115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kaz"/>
      <sheetName val="SR"/>
      <sheetName val="SRzaokr."/>
      <sheetName val="PríjmyI."/>
      <sheetName val="KV"/>
      <sheetName val=" VVZ MŠ"/>
      <sheetName val="PPš 610-SR"/>
      <sheetName val="fixy-2"/>
      <sheetName val="630-Vie"/>
      <sheetName val="Stravné"/>
      <sheetName val="MP-ŠJ"/>
      <sheetName val="SP"/>
      <sheetName val="Fak-odb"/>
      <sheetName val="STU odb"/>
      <sheetName val="STU-nep"/>
      <sheetName val="transf"/>
      <sheetName val="T1 - vyp_KEN"/>
      <sheetName val="Priem2001"/>
      <sheetName val="#REF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7-mzdy (2)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6-KKŠ"/>
      <sheetName val="T17-Klinické"/>
      <sheetName val="T0-podklad-merge"/>
    </sheetNames>
    <sheetDataSet>
      <sheetData sheetId="1">
        <row r="27">
          <cell r="I27">
            <v>0.24152542372881355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kaz20"/>
      <sheetName val="Príjmy20"/>
      <sheetName val="kv20"/>
      <sheetName val="priplatky20"/>
      <sheetName val="Mzdy-20"/>
      <sheetName val="fondy 20"/>
      <sheetName val="fixy-ucel20"/>
      <sheetName val="Var-20"/>
      <sheetName val="630 § 01"/>
      <sheetName val="§ 01 Štip.dokt.20"/>
      <sheetName val="§18štip99"/>
      <sheetName val="RRP-20"/>
      <sheetName val="RRP-20 -Z"/>
      <sheetName val="RRP-20 -f"/>
      <sheetName val="VYK20"/>
      <sheetName val="Vys-99"/>
      <sheetName val="VVZvstupyTP"/>
      <sheetName val="nepd20vstup  "/>
      <sheetName val="Zložka"/>
      <sheetName val="zaMP99"/>
      <sheetName val="VVZvstupy"/>
      <sheetName val="mp0199"/>
      <sheetName val="MPnpd98-32"/>
      <sheetName val="Príjmy99-K"/>
      <sheetName val="čerpanie-98"/>
      <sheetName val="P-3"/>
    </sheetNames>
    <sheetDataSet>
      <sheetData sheetId="3">
        <row r="7">
          <cell r="B7">
            <v>400</v>
          </cell>
          <cell r="C7">
            <v>800</v>
          </cell>
          <cell r="K7">
            <v>100</v>
          </cell>
          <cell r="L7">
            <v>200</v>
          </cell>
        </row>
      </sheetData>
      <sheetData sheetId="21">
        <row r="33">
          <cell r="P33">
            <v>0.30080900097311114</v>
          </cell>
        </row>
      </sheetData>
      <sheetData sheetId="25">
        <row r="3">
          <cell r="N3">
            <v>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YR99-E"/>
      <sheetName val="VYR99-Fei"/>
      <sheetName val="VYR99-FEI2"/>
      <sheetName val="Uči-neuč"/>
      <sheetName val="priem-12"/>
      <sheetName val="VYRM98D"/>
    </sheetNames>
    <sheetDataSet>
      <sheetData sheetId="4">
        <row r="62">
          <cell r="P62">
            <v>53108</v>
          </cell>
        </row>
        <row r="64">
          <cell r="S64">
            <v>4840.250156467858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Pr-7"/>
      <sheetName val="Pr-8"/>
      <sheetName val="Pr-9"/>
      <sheetName val="Pr-10"/>
      <sheetName val="Pr-11"/>
      <sheetName val="Pr-12"/>
      <sheetName val="Pr-12 (2)"/>
    </sheetNames>
    <sheetDataSet>
      <sheetData sheetId="0">
        <row r="62">
          <cell r="P62">
            <v>53108</v>
          </cell>
        </row>
        <row r="64">
          <cell r="S64">
            <v>4840.250156467858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VYKVS98"/>
      <sheetName val="VVZ-VS97"/>
    </sheetNames>
    <sheetDataSet>
      <sheetData sheetId="2">
        <row r="3">
          <cell r="L3">
            <v>18500</v>
          </cell>
        </row>
        <row r="105">
          <cell r="I105">
            <v>16800580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2">
        <row r="64">
          <cell r="C64">
            <v>31500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hist-mzdy"/>
      <sheetName val="T15-VVZ-mzdy-TaS"/>
      <sheetName val="T16-sumár externe"/>
      <sheetName val="rozpisovy-list"/>
      <sheetName val="mená"/>
    </sheetNames>
    <sheetDataSet>
      <sheetData sheetId="2">
        <row r="16">
          <cell r="C16">
            <v>2492220.716798809</v>
          </cell>
        </row>
        <row r="21">
          <cell r="C21">
            <v>0.97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hist-mzdy"/>
      <sheetName val="T15-VVZ-mzdy-TaS"/>
      <sheetName val="T16-sumár externe"/>
      <sheetName val="rozpisovy-list"/>
      <sheetName val="mená"/>
    </sheetNames>
    <sheetDataSet>
      <sheetData sheetId="2">
        <row r="16">
          <cell r="C16">
            <v>2492220.716798809</v>
          </cell>
        </row>
        <row r="21">
          <cell r="C21">
            <v>0.97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2">
        <row r="92">
          <cell r="C92">
            <v>35000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Lis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  <sheetDataSet>
      <sheetData sheetId="5">
        <row r="49">
          <cell r="AA49">
            <v>157800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D 2012  po AS zaokr"/>
      <sheetName val="SD2012"/>
      <sheetName val="Hárok2"/>
      <sheetName val="Hárok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úpravy"/>
      <sheetName val="súhrnná po 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1 - vyp_KEN"/>
      <sheetName val="T2 - KEN"/>
      <sheetName val="T3 - data_odbory"/>
      <sheetName val="T4 - sum_data"/>
      <sheetName val="T5 - vyp_vykon"/>
      <sheetName val="T6 - rozpis_610"/>
      <sheetName val="T7 - rozpis_630"/>
    </sheetNames>
    <sheetDataSet>
      <sheetData sheetId="1">
        <row r="5">
          <cell r="B5">
            <v>1.67</v>
          </cell>
        </row>
        <row r="7">
          <cell r="B7">
            <v>1.69</v>
          </cell>
        </row>
        <row r="9">
          <cell r="B9">
            <v>1.54</v>
          </cell>
        </row>
        <row r="10">
          <cell r="B10">
            <v>1.2</v>
          </cell>
        </row>
        <row r="18">
          <cell r="B18">
            <v>3.2</v>
          </cell>
        </row>
        <row r="19">
          <cell r="B19">
            <v>2.19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2-KPN POKUS"/>
      <sheetName val="T6-výkon 1500  POKUS"/>
      <sheetName val="T6-výkon 700  POKUS (2)"/>
      <sheetName val="T6-výkon 250  POKUS (3)"/>
      <sheetName val="List1"/>
      <sheetName val="List2"/>
      <sheetName val="Lis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0-podklad-merge"/>
    </sheetNames>
    <sheetDataSet>
      <sheetData sheetId="1">
        <row r="34">
          <cell r="D34">
            <v>1.5</v>
          </cell>
        </row>
        <row r="35">
          <cell r="D35">
            <v>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17-Klinické"/>
      <sheetName val="T18-stavby"/>
    </sheetNames>
    <sheetDataSet>
      <sheetData sheetId="2">
        <row r="52">
          <cell r="C52">
            <v>2</v>
          </cell>
        </row>
        <row r="53">
          <cell r="C53">
            <v>1.66</v>
          </cell>
        </row>
        <row r="54">
          <cell r="C54">
            <v>1.33</v>
          </cell>
        </row>
        <row r="55">
          <cell r="C5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176"/>
  <sheetViews>
    <sheetView tabSelected="1" zoomScale="85" zoomScaleNormal="85" zoomScaleSheetLayoutView="75" zoomScalePageLayoutView="0" workbookViewId="0" topLeftCell="A1">
      <pane xSplit="1" ySplit="6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132" sqref="A132:IV132"/>
    </sheetView>
  </sheetViews>
  <sheetFormatPr defaultColWidth="9.140625" defaultRowHeight="12.75"/>
  <cols>
    <col min="1" max="1" width="40.421875" style="0" customWidth="1"/>
    <col min="2" max="2" width="15.57421875" style="0" customWidth="1"/>
    <col min="3" max="3" width="16.140625" style="175" bestFit="1" customWidth="1"/>
    <col min="4" max="5" width="14.57421875" style="175" bestFit="1" customWidth="1"/>
    <col min="6" max="6" width="15.140625" style="175" customWidth="1"/>
    <col min="7" max="7" width="13.140625" style="175" bestFit="1" customWidth="1"/>
    <col min="8" max="8" width="14.140625" style="175" bestFit="1" customWidth="1"/>
    <col min="9" max="10" width="13.140625" style="175" bestFit="1" customWidth="1"/>
    <col min="11" max="11" width="14.140625" style="175" bestFit="1" customWidth="1"/>
    <col min="12" max="13" width="13.140625" style="175" customWidth="1"/>
    <col min="14" max="14" width="14.421875" style="175" bestFit="1" customWidth="1"/>
    <col min="15" max="16" width="14.421875" style="175" customWidth="1"/>
    <col min="17" max="17" width="13.57421875" style="175" bestFit="1" customWidth="1"/>
    <col min="18" max="18" width="21.140625" style="107" customWidth="1"/>
    <col min="19" max="19" width="29.57421875" style="107" customWidth="1"/>
    <col min="20" max="20" width="11.7109375" style="107" bestFit="1" customWidth="1"/>
    <col min="21" max="21" width="10.140625" style="107" bestFit="1" customWidth="1"/>
    <col min="22" max="25" width="9.140625" style="107" customWidth="1"/>
  </cols>
  <sheetData>
    <row r="1" spans="1:16" ht="12.75">
      <c r="A1" t="s">
        <v>74</v>
      </c>
      <c r="B1" s="1"/>
      <c r="C1" s="178"/>
      <c r="D1" s="178"/>
      <c r="E1" s="179"/>
      <c r="F1" s="179"/>
      <c r="G1" s="179"/>
      <c r="H1" s="179"/>
      <c r="I1" s="179"/>
      <c r="J1" s="178"/>
      <c r="K1" s="178"/>
      <c r="L1" s="180"/>
      <c r="M1" s="180"/>
      <c r="N1" s="178"/>
      <c r="O1" s="178"/>
      <c r="P1" s="812" t="s">
        <v>193</v>
      </c>
    </row>
    <row r="2" spans="1:20" ht="19.5" customHeight="1" thickBot="1">
      <c r="A2" s="58" t="s">
        <v>104</v>
      </c>
      <c r="B2" s="58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459" t="s">
        <v>43</v>
      </c>
      <c r="Q2" s="176"/>
      <c r="R2" s="779"/>
      <c r="S2" s="780"/>
      <c r="T2" s="780"/>
    </row>
    <row r="3" spans="1:20" ht="44.25" customHeight="1" thickBot="1">
      <c r="A3" s="70"/>
      <c r="B3" s="138"/>
      <c r="C3" s="162" t="s">
        <v>1</v>
      </c>
      <c r="D3" s="162" t="s">
        <v>2</v>
      </c>
      <c r="E3" s="162" t="s">
        <v>3</v>
      </c>
      <c r="F3" s="162" t="s">
        <v>4</v>
      </c>
      <c r="G3" s="162" t="s">
        <v>192</v>
      </c>
      <c r="H3" s="162" t="s">
        <v>6</v>
      </c>
      <c r="I3" s="162" t="s">
        <v>7</v>
      </c>
      <c r="J3" s="162" t="s">
        <v>21</v>
      </c>
      <c r="K3" s="181" t="s">
        <v>64</v>
      </c>
      <c r="L3" s="162" t="s">
        <v>9</v>
      </c>
      <c r="M3" s="162" t="s">
        <v>83</v>
      </c>
      <c r="N3" s="162" t="s">
        <v>22</v>
      </c>
      <c r="O3" s="71" t="s">
        <v>11</v>
      </c>
      <c r="P3" s="182" t="s">
        <v>75</v>
      </c>
      <c r="Q3" s="162" t="s">
        <v>24</v>
      </c>
      <c r="R3" s="780"/>
      <c r="S3" s="780"/>
      <c r="T3" s="780"/>
    </row>
    <row r="4" spans="1:21" ht="23.25" customHeight="1" thickBot="1">
      <c r="A4" s="56" t="s">
        <v>112</v>
      </c>
      <c r="B4" s="139"/>
      <c r="C4" s="124">
        <v>12223258</v>
      </c>
      <c r="D4" s="124">
        <v>5027683</v>
      </c>
      <c r="E4" s="124">
        <v>11343539</v>
      </c>
      <c r="F4" s="124">
        <v>12248676</v>
      </c>
      <c r="G4" s="124">
        <v>4408264</v>
      </c>
      <c r="H4" s="124">
        <v>9381790</v>
      </c>
      <c r="I4" s="124">
        <v>3741291</v>
      </c>
      <c r="J4" s="124">
        <v>3086859</v>
      </c>
      <c r="K4" s="124">
        <v>68830</v>
      </c>
      <c r="L4" s="124">
        <v>996632</v>
      </c>
      <c r="M4" s="124">
        <v>269003</v>
      </c>
      <c r="N4" s="124">
        <v>3219472</v>
      </c>
      <c r="O4" s="124">
        <v>2701412</v>
      </c>
      <c r="P4" s="124">
        <v>200000</v>
      </c>
      <c r="Q4" s="265">
        <f>SUM(C4:P4)</f>
        <v>68916709</v>
      </c>
      <c r="R4" s="106"/>
      <c r="S4" s="106"/>
      <c r="T4" s="106"/>
      <c r="U4" s="781"/>
    </row>
    <row r="5" spans="1:20" ht="21.75" customHeight="1" thickBot="1">
      <c r="A5" s="73" t="s">
        <v>190</v>
      </c>
      <c r="B5" s="140"/>
      <c r="C5" s="74">
        <f aca="true" t="shared" si="0" ref="C5:P5">C4+C127</f>
        <v>13039569.86</v>
      </c>
      <c r="D5" s="74">
        <f t="shared" si="0"/>
        <v>5478341.3100000005</v>
      </c>
      <c r="E5" s="74">
        <f t="shared" si="0"/>
        <v>12111751.44</v>
      </c>
      <c r="F5" s="74">
        <f t="shared" si="0"/>
        <v>13187963.96</v>
      </c>
      <c r="G5" s="74">
        <f t="shared" si="0"/>
        <v>4507449.08</v>
      </c>
      <c r="H5" s="74">
        <f t="shared" si="0"/>
        <v>10264658.6</v>
      </c>
      <c r="I5" s="74">
        <f t="shared" si="0"/>
        <v>3866245.69</v>
      </c>
      <c r="J5" s="74">
        <f t="shared" si="0"/>
        <v>4967221</v>
      </c>
      <c r="K5" s="74">
        <f t="shared" si="0"/>
        <v>69018</v>
      </c>
      <c r="L5" s="74">
        <f t="shared" si="0"/>
        <v>1076766</v>
      </c>
      <c r="M5" s="74">
        <f t="shared" si="0"/>
        <v>273118</v>
      </c>
      <c r="N5" s="74">
        <f t="shared" si="0"/>
        <v>3645307.06</v>
      </c>
      <c r="O5" s="74">
        <f t="shared" si="0"/>
        <v>2401724</v>
      </c>
      <c r="P5" s="74">
        <f t="shared" si="0"/>
        <v>51085</v>
      </c>
      <c r="Q5" s="74">
        <f>SUM(C5:P5)</f>
        <v>74940219</v>
      </c>
      <c r="R5" s="106"/>
      <c r="S5" s="106"/>
      <c r="T5" s="106"/>
    </row>
    <row r="6" spans="1:20" ht="20.25" customHeight="1" thickBot="1">
      <c r="A6" s="132" t="s">
        <v>59</v>
      </c>
      <c r="B6" s="256" t="s">
        <v>25</v>
      </c>
      <c r="C6" s="257"/>
      <c r="D6" s="257"/>
      <c r="E6" s="257"/>
      <c r="F6" s="257"/>
      <c r="G6" s="257"/>
      <c r="H6" s="48"/>
      <c r="I6" s="48"/>
      <c r="J6" s="48"/>
      <c r="K6" s="48"/>
      <c r="L6" s="48"/>
      <c r="M6" s="48"/>
      <c r="N6" s="48"/>
      <c r="O6" s="48"/>
      <c r="P6" s="48"/>
      <c r="Q6" s="48"/>
      <c r="R6" s="106"/>
      <c r="S6" s="106"/>
      <c r="T6" s="106"/>
    </row>
    <row r="7" spans="1:20" ht="12.75">
      <c r="A7" s="41" t="s">
        <v>65</v>
      </c>
      <c r="B7" s="262" t="s">
        <v>76</v>
      </c>
      <c r="C7" s="646">
        <f>11220+990+3120+720-560+8140+1840+2440+4020+1760-2900+330+315+4635+280+24150-990+240+5640</f>
        <v>65390</v>
      </c>
      <c r="D7" s="646">
        <f>2670+720+1780+480+710+990+320-660+560+1255+35+5660+800</f>
        <v>15320</v>
      </c>
      <c r="E7" s="646">
        <f>36420+990+13120-720+24940+6240+6580+13080+5760-12260+280+8485+280+41590+17840+1880+560-3400+810+9000</f>
        <v>171475</v>
      </c>
      <c r="F7" s="646">
        <f>13440+3840+8960+3600+4600+6160+2640+300-7680+4585+280+19000-280+200+280-4240+80+3400</f>
        <v>59165</v>
      </c>
      <c r="G7" s="646">
        <f>7710+990+2880-2880+5800+1200+1830+3000+1760-2700+2580+280+7860+2880+200+80+2000</f>
        <v>35470</v>
      </c>
      <c r="H7" s="646"/>
      <c r="I7" s="646">
        <f>9240+3840-1080+5600+2160+2260+3360+1440-2020+560+3185+280+11760+4240-720+2800</f>
        <v>46905</v>
      </c>
      <c r="J7" s="646"/>
      <c r="K7" s="646"/>
      <c r="L7" s="45"/>
      <c r="M7" s="45"/>
      <c r="N7" s="45"/>
      <c r="O7" s="266"/>
      <c r="P7" s="48"/>
      <c r="Q7" s="267">
        <f aca="true" t="shared" si="1" ref="Q7:Q35">SUM(C7:P7)</f>
        <v>393725</v>
      </c>
      <c r="R7" s="106"/>
      <c r="S7" s="106"/>
      <c r="T7" s="106"/>
    </row>
    <row r="8" spans="1:20" ht="12.75">
      <c r="A8" s="41" t="s">
        <v>91</v>
      </c>
      <c r="B8" s="262" t="s">
        <v>77</v>
      </c>
      <c r="C8" s="646">
        <f>1120+560+280-560</f>
        <v>1400</v>
      </c>
      <c r="D8" s="646">
        <f>280+840</f>
        <v>1120</v>
      </c>
      <c r="E8" s="646">
        <f>840+2220+560+280+550+550-2220</f>
        <v>2780</v>
      </c>
      <c r="F8" s="646">
        <f>840+560+560+280+840+280</f>
        <v>3360</v>
      </c>
      <c r="G8" s="646">
        <f>280+840+1650</f>
        <v>2770</v>
      </c>
      <c r="H8" s="646">
        <f>990</f>
        <v>990</v>
      </c>
      <c r="I8" s="646">
        <f>550+560+3330-830</f>
        <v>3610</v>
      </c>
      <c r="J8" s="646"/>
      <c r="K8" s="646"/>
      <c r="L8" s="45"/>
      <c r="M8" s="45"/>
      <c r="N8" s="45"/>
      <c r="O8" s="45"/>
      <c r="P8" s="48"/>
      <c r="Q8" s="267">
        <f t="shared" si="1"/>
        <v>16030</v>
      </c>
      <c r="R8" s="106"/>
      <c r="S8" s="106"/>
      <c r="T8" s="106"/>
    </row>
    <row r="9" spans="1:20" ht="12.75">
      <c r="A9" s="41" t="s">
        <v>61</v>
      </c>
      <c r="B9" s="262" t="s">
        <v>66</v>
      </c>
      <c r="C9" s="45">
        <f>197892+398340+60576+78300+22746.71-250.99-1.34</f>
        <v>757602.38</v>
      </c>
      <c r="D9" s="45">
        <f>56444+558083-60576+2000+190321-211.78</f>
        <v>746060.22</v>
      </c>
      <c r="E9" s="45">
        <f>354437+238498+5000+127425+130539+145745</f>
        <v>1001644</v>
      </c>
      <c r="F9" s="45">
        <f>626763.04+935401-0.04+10000+7650+268813+93291-8.38</f>
        <v>1941909.62</v>
      </c>
      <c r="G9" s="45">
        <f>2000+54905</f>
        <v>56905</v>
      </c>
      <c r="H9" s="45">
        <f>162756+266697+2650+6250+45073</f>
        <v>483426</v>
      </c>
      <c r="I9" s="45">
        <f>85013+65501-35205.91-40254.2</f>
        <v>75053.89</v>
      </c>
      <c r="J9" s="45"/>
      <c r="K9" s="45"/>
      <c r="L9" s="45"/>
      <c r="M9" s="45"/>
      <c r="N9" s="45">
        <v>53110</v>
      </c>
      <c r="O9" s="45"/>
      <c r="P9" s="48"/>
      <c r="Q9" s="267">
        <f t="shared" si="1"/>
        <v>5115711.11</v>
      </c>
      <c r="R9" s="106"/>
      <c r="S9" s="106"/>
      <c r="T9" s="106"/>
    </row>
    <row r="10" spans="1:20" ht="12.75">
      <c r="A10" s="68" t="s">
        <v>67</v>
      </c>
      <c r="B10" s="262" t="s">
        <v>78</v>
      </c>
      <c r="C10" s="45"/>
      <c r="D10" s="45">
        <v>300000</v>
      </c>
      <c r="E10" s="45">
        <f>113750+121826+134500+121687+140367+182487.5+82495</f>
        <v>897112.5</v>
      </c>
      <c r="F10" s="45"/>
      <c r="G10" s="45"/>
      <c r="H10" s="45">
        <f>25000</f>
        <v>25000</v>
      </c>
      <c r="I10" s="45"/>
      <c r="J10" s="45"/>
      <c r="K10" s="45"/>
      <c r="L10" s="45"/>
      <c r="M10" s="45"/>
      <c r="N10" s="45"/>
      <c r="O10" s="45"/>
      <c r="P10" s="268"/>
      <c r="Q10" s="267">
        <f t="shared" si="1"/>
        <v>1222112.5</v>
      </c>
      <c r="R10" s="106"/>
      <c r="S10" s="106"/>
      <c r="T10" s="106"/>
    </row>
    <row r="11" spans="1:20" ht="12.75">
      <c r="A11" s="49" t="s">
        <v>107</v>
      </c>
      <c r="B11" s="45" t="s">
        <v>109</v>
      </c>
      <c r="C11" s="45">
        <v>492068</v>
      </c>
      <c r="D11" s="45">
        <v>87650</v>
      </c>
      <c r="E11" s="45">
        <v>464087</v>
      </c>
      <c r="F11" s="45">
        <v>560985</v>
      </c>
      <c r="G11" s="45">
        <v>0</v>
      </c>
      <c r="H11" s="45">
        <v>237849</v>
      </c>
      <c r="I11" s="45">
        <v>44040</v>
      </c>
      <c r="J11" s="45"/>
      <c r="K11" s="45"/>
      <c r="L11" s="45">
        <v>15455</v>
      </c>
      <c r="M11" s="45"/>
      <c r="N11" s="45"/>
      <c r="O11" s="45"/>
      <c r="P11" s="45"/>
      <c r="Q11" s="269">
        <f t="shared" si="1"/>
        <v>1902134</v>
      </c>
      <c r="R11" s="106"/>
      <c r="S11" s="106"/>
      <c r="T11" s="106"/>
    </row>
    <row r="12" spans="1:20" ht="12.75">
      <c r="A12" s="49" t="s">
        <v>108</v>
      </c>
      <c r="B12" s="45" t="s">
        <v>110</v>
      </c>
      <c r="C12" s="125">
        <v>38279</v>
      </c>
      <c r="D12" s="45">
        <v>188823</v>
      </c>
      <c r="E12" s="125">
        <v>81841</v>
      </c>
      <c r="F12" s="125">
        <v>15584</v>
      </c>
      <c r="G12" s="125">
        <v>2676</v>
      </c>
      <c r="H12" s="125">
        <v>113792</v>
      </c>
      <c r="I12" s="125">
        <v>0</v>
      </c>
      <c r="J12" s="125"/>
      <c r="K12" s="125"/>
      <c r="L12" s="125">
        <v>15975</v>
      </c>
      <c r="M12" s="125"/>
      <c r="N12" s="45"/>
      <c r="O12" s="45"/>
      <c r="P12" s="45"/>
      <c r="Q12" s="269">
        <f t="shared" si="1"/>
        <v>456970</v>
      </c>
      <c r="R12" s="780"/>
      <c r="S12" s="106"/>
      <c r="T12" s="106"/>
    </row>
    <row r="13" spans="1:20" ht="12.75">
      <c r="A13" s="49" t="s">
        <v>160</v>
      </c>
      <c r="B13" s="262" t="s">
        <v>109</v>
      </c>
      <c r="C13" s="45">
        <f>6405+3500</f>
        <v>9905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270"/>
      <c r="P13" s="271"/>
      <c r="Q13" s="269">
        <f t="shared" si="1"/>
        <v>9905</v>
      </c>
      <c r="R13" s="782"/>
      <c r="S13" s="106"/>
      <c r="T13" s="106"/>
    </row>
    <row r="14" spans="1:25" s="5" customFormat="1" ht="12.75">
      <c r="A14" s="49" t="s">
        <v>161</v>
      </c>
      <c r="B14" s="262" t="s">
        <v>151</v>
      </c>
      <c r="C14" s="125"/>
      <c r="D14" s="125">
        <v>768</v>
      </c>
      <c r="E14" s="125"/>
      <c r="F14" s="125"/>
      <c r="G14" s="125"/>
      <c r="H14" s="125">
        <v>-768</v>
      </c>
      <c r="I14" s="125"/>
      <c r="J14" s="125"/>
      <c r="K14" s="125"/>
      <c r="L14" s="125"/>
      <c r="M14" s="125"/>
      <c r="N14" s="125"/>
      <c r="O14" s="125"/>
      <c r="P14" s="125"/>
      <c r="Q14" s="272">
        <f t="shared" si="1"/>
        <v>0</v>
      </c>
      <c r="R14" s="783"/>
      <c r="S14" s="784"/>
      <c r="T14" s="784"/>
      <c r="U14" s="785"/>
      <c r="V14" s="785"/>
      <c r="W14" s="785"/>
      <c r="X14" s="785"/>
      <c r="Y14" s="785"/>
    </row>
    <row r="15" spans="1:25" s="5" customFormat="1" ht="12.75">
      <c r="A15" s="642" t="s">
        <v>163</v>
      </c>
      <c r="B15" s="643" t="s">
        <v>80</v>
      </c>
      <c r="C15" s="644">
        <v>133172</v>
      </c>
      <c r="D15" s="644">
        <v>54946</v>
      </c>
      <c r="E15" s="644">
        <v>108764</v>
      </c>
      <c r="F15" s="644">
        <v>120946</v>
      </c>
      <c r="G15" s="644">
        <v>59081</v>
      </c>
      <c r="H15" s="644">
        <v>106241</v>
      </c>
      <c r="I15" s="644">
        <v>50207</v>
      </c>
      <c r="J15" s="644"/>
      <c r="K15" s="644">
        <v>188</v>
      </c>
      <c r="L15" s="644">
        <v>11627</v>
      </c>
      <c r="M15" s="125">
        <v>1780</v>
      </c>
      <c r="N15" s="125">
        <f>43824</f>
        <v>43824</v>
      </c>
      <c r="O15" s="125"/>
      <c r="P15" s="125">
        <f>1381552-690776</f>
        <v>690776</v>
      </c>
      <c r="Q15" s="272">
        <f t="shared" si="1"/>
        <v>1381552</v>
      </c>
      <c r="R15" s="783"/>
      <c r="S15" s="784"/>
      <c r="T15" s="784"/>
      <c r="U15" s="785"/>
      <c r="V15" s="785"/>
      <c r="W15" s="785"/>
      <c r="X15" s="785"/>
      <c r="Y15" s="785"/>
    </row>
    <row r="16" spans="1:25" s="5" customFormat="1" ht="12.75">
      <c r="A16" s="642" t="s">
        <v>163</v>
      </c>
      <c r="B16" s="643" t="s">
        <v>80</v>
      </c>
      <c r="C16" s="644">
        <v>13582</v>
      </c>
      <c r="D16" s="644">
        <v>5605</v>
      </c>
      <c r="E16" s="644">
        <v>11095</v>
      </c>
      <c r="F16" s="644">
        <v>12338</v>
      </c>
      <c r="G16" s="644">
        <v>6027</v>
      </c>
      <c r="H16" s="644">
        <v>10838</v>
      </c>
      <c r="I16" s="644">
        <v>5122</v>
      </c>
      <c r="J16" s="644"/>
      <c r="K16" s="644"/>
      <c r="L16" s="644"/>
      <c r="M16" s="125"/>
      <c r="N16" s="125">
        <v>47859</v>
      </c>
      <c r="O16" s="125"/>
      <c r="P16" s="125">
        <v>-112466</v>
      </c>
      <c r="Q16" s="272">
        <f t="shared" si="1"/>
        <v>0</v>
      </c>
      <c r="R16" s="783"/>
      <c r="S16" s="784"/>
      <c r="T16" s="784"/>
      <c r="U16" s="785"/>
      <c r="V16" s="785"/>
      <c r="W16" s="785"/>
      <c r="X16" s="785"/>
      <c r="Y16" s="785"/>
    </row>
    <row r="17" spans="1:25" s="5" customFormat="1" ht="12.75">
      <c r="A17" s="642" t="s">
        <v>163</v>
      </c>
      <c r="B17" s="643" t="s">
        <v>162</v>
      </c>
      <c r="C17" s="644"/>
      <c r="D17" s="644"/>
      <c r="E17" s="644"/>
      <c r="F17" s="644"/>
      <c r="G17" s="644"/>
      <c r="H17" s="644">
        <v>300000</v>
      </c>
      <c r="I17" s="644"/>
      <c r="J17" s="644">
        <v>1500000</v>
      </c>
      <c r="K17" s="644"/>
      <c r="L17" s="644"/>
      <c r="M17" s="125"/>
      <c r="N17" s="125"/>
      <c r="O17" s="125"/>
      <c r="P17" s="125"/>
      <c r="Q17" s="272">
        <f t="shared" si="1"/>
        <v>1800000</v>
      </c>
      <c r="R17" s="783"/>
      <c r="S17" s="784"/>
      <c r="T17" s="784"/>
      <c r="U17" s="785"/>
      <c r="V17" s="785"/>
      <c r="W17" s="785"/>
      <c r="X17" s="785"/>
      <c r="Y17" s="785"/>
    </row>
    <row r="18" spans="1:25" s="5" customFormat="1" ht="25.5">
      <c r="A18" s="49" t="s">
        <v>164</v>
      </c>
      <c r="B18" s="262" t="s">
        <v>165</v>
      </c>
      <c r="C18" s="125"/>
      <c r="D18" s="125"/>
      <c r="E18" s="125"/>
      <c r="F18" s="125"/>
      <c r="G18" s="125"/>
      <c r="H18" s="125">
        <v>-860</v>
      </c>
      <c r="I18" s="125"/>
      <c r="J18" s="125"/>
      <c r="K18" s="125"/>
      <c r="L18" s="125"/>
      <c r="M18" s="125"/>
      <c r="N18" s="125"/>
      <c r="O18" s="125"/>
      <c r="P18" s="125"/>
      <c r="Q18" s="273">
        <f t="shared" si="1"/>
        <v>-860</v>
      </c>
      <c r="R18" s="786"/>
      <c r="S18" s="784"/>
      <c r="T18" s="784"/>
      <c r="U18" s="785"/>
      <c r="V18" s="785"/>
      <c r="W18" s="785"/>
      <c r="X18" s="785"/>
      <c r="Y18" s="785"/>
    </row>
    <row r="19" spans="1:25" s="5" customFormat="1" ht="12.75">
      <c r="A19" s="49" t="s">
        <v>170</v>
      </c>
      <c r="B19" s="262" t="s">
        <v>80</v>
      </c>
      <c r="C19" s="125">
        <v>17027</v>
      </c>
      <c r="D19" s="125">
        <v>7836</v>
      </c>
      <c r="E19" s="125">
        <v>15070</v>
      </c>
      <c r="F19" s="125">
        <v>15116</v>
      </c>
      <c r="G19" s="125">
        <v>7724</v>
      </c>
      <c r="H19" s="125">
        <v>15418</v>
      </c>
      <c r="I19" s="125">
        <v>2647</v>
      </c>
      <c r="J19" s="125"/>
      <c r="K19" s="125"/>
      <c r="L19" s="125"/>
      <c r="M19" s="125"/>
      <c r="N19" s="125">
        <f>10526+244</f>
        <v>10770</v>
      </c>
      <c r="O19" s="125"/>
      <c r="P19" s="274">
        <f>244-244</f>
        <v>0</v>
      </c>
      <c r="Q19" s="273">
        <f t="shared" si="1"/>
        <v>91608</v>
      </c>
      <c r="R19" s="786"/>
      <c r="S19" s="784"/>
      <c r="T19" s="784"/>
      <c r="U19" s="785"/>
      <c r="V19" s="785"/>
      <c r="W19" s="785"/>
      <c r="X19" s="785"/>
      <c r="Y19" s="785"/>
    </row>
    <row r="20" spans="1:25" s="5" customFormat="1" ht="12.75">
      <c r="A20" s="49" t="s">
        <v>171</v>
      </c>
      <c r="B20" s="262" t="s">
        <v>172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274">
        <v>60317</v>
      </c>
      <c r="Q20" s="273">
        <f t="shared" si="1"/>
        <v>60317</v>
      </c>
      <c r="R20" s="786"/>
      <c r="S20" s="784"/>
      <c r="T20" s="787"/>
      <c r="U20" s="788"/>
      <c r="V20" s="788"/>
      <c r="W20" s="785"/>
      <c r="X20" s="785"/>
      <c r="Y20" s="785"/>
    </row>
    <row r="21" spans="1:22" ht="12.75">
      <c r="A21" s="49" t="s">
        <v>170</v>
      </c>
      <c r="B21" s="262" t="s">
        <v>79</v>
      </c>
      <c r="C21" s="45">
        <v>1681</v>
      </c>
      <c r="D21" s="45">
        <v>1383</v>
      </c>
      <c r="E21" s="45">
        <v>2946</v>
      </c>
      <c r="F21" s="45">
        <v>6572</v>
      </c>
      <c r="G21" s="45"/>
      <c r="H21" s="45">
        <v>3303</v>
      </c>
      <c r="I21" s="45"/>
      <c r="J21" s="45"/>
      <c r="K21" s="45"/>
      <c r="L21" s="45"/>
      <c r="M21" s="45"/>
      <c r="N21" s="45">
        <v>722</v>
      </c>
      <c r="O21" s="45"/>
      <c r="P21" s="48"/>
      <c r="Q21" s="275">
        <f t="shared" si="1"/>
        <v>16607</v>
      </c>
      <c r="R21" s="106"/>
      <c r="S21" s="106"/>
      <c r="T21" s="221"/>
      <c r="U21" s="222"/>
      <c r="V21" s="222"/>
    </row>
    <row r="22" spans="1:22" ht="12.75">
      <c r="A22" s="49" t="s">
        <v>170</v>
      </c>
      <c r="B22" s="262" t="s">
        <v>162</v>
      </c>
      <c r="C22" s="45"/>
      <c r="D22" s="45"/>
      <c r="E22" s="45"/>
      <c r="F22" s="45"/>
      <c r="G22" s="45"/>
      <c r="H22" s="45">
        <v>991</v>
      </c>
      <c r="I22" s="45"/>
      <c r="J22" s="45">
        <v>4366</v>
      </c>
      <c r="K22" s="45"/>
      <c r="L22" s="45"/>
      <c r="M22" s="45"/>
      <c r="N22" s="45"/>
      <c r="O22" s="45"/>
      <c r="P22" s="48"/>
      <c r="Q22" s="275">
        <f t="shared" si="1"/>
        <v>5357</v>
      </c>
      <c r="R22" s="106"/>
      <c r="S22" s="106"/>
      <c r="T22" s="221"/>
      <c r="U22" s="222"/>
      <c r="V22" s="222"/>
    </row>
    <row r="23" spans="1:22" s="107" customFormat="1" ht="12.75">
      <c r="A23" s="49" t="s">
        <v>171</v>
      </c>
      <c r="B23" s="172" t="s">
        <v>80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657">
        <v>-9232</v>
      </c>
      <c r="Q23" s="655">
        <f t="shared" si="1"/>
        <v>-9232</v>
      </c>
      <c r="R23" s="789"/>
      <c r="S23" s="106"/>
      <c r="T23" s="221"/>
      <c r="U23" s="222"/>
      <c r="V23" s="222"/>
    </row>
    <row r="24" spans="1:25" s="5" customFormat="1" ht="15.75">
      <c r="A24" s="135" t="s">
        <v>176</v>
      </c>
      <c r="B24" s="200" t="s">
        <v>80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636">
        <v>7400</v>
      </c>
      <c r="Q24" s="269">
        <f t="shared" si="1"/>
        <v>7400</v>
      </c>
      <c r="R24" s="784"/>
      <c r="S24" s="784"/>
      <c r="T24" s="790"/>
      <c r="U24" s="788"/>
      <c r="V24" s="788"/>
      <c r="W24" s="785"/>
      <c r="X24" s="785"/>
      <c r="Y24" s="785"/>
    </row>
    <row r="25" spans="1:25" s="6" customFormat="1" ht="12.75">
      <c r="A25" s="135" t="s">
        <v>176</v>
      </c>
      <c r="B25" s="199" t="s">
        <v>79</v>
      </c>
      <c r="C25" s="45"/>
      <c r="D25" s="45"/>
      <c r="E25" s="45"/>
      <c r="F25" s="45"/>
      <c r="G25" s="45"/>
      <c r="H25" s="45"/>
      <c r="I25" s="45"/>
      <c r="J25" s="285"/>
      <c r="K25" s="285"/>
      <c r="L25" s="45"/>
      <c r="M25" s="45"/>
      <c r="N25" s="45"/>
      <c r="O25" s="45"/>
      <c r="P25" s="280">
        <v>1045</v>
      </c>
      <c r="Q25" s="272">
        <f t="shared" si="1"/>
        <v>1045</v>
      </c>
      <c r="R25" s="784"/>
      <c r="S25" s="784"/>
      <c r="T25" s="787"/>
      <c r="U25" s="791"/>
      <c r="V25" s="791"/>
      <c r="W25" s="792"/>
      <c r="X25" s="792"/>
      <c r="Y25" s="792"/>
    </row>
    <row r="26" spans="1:25" s="6" customFormat="1" ht="13.5" thickBot="1">
      <c r="A26" s="135" t="s">
        <v>176</v>
      </c>
      <c r="B26" s="202" t="s">
        <v>162</v>
      </c>
      <c r="C26" s="89"/>
      <c r="D26" s="89"/>
      <c r="E26" s="89"/>
      <c r="F26" s="89"/>
      <c r="G26" s="89"/>
      <c r="H26" s="89"/>
      <c r="I26" s="78"/>
      <c r="J26" s="78"/>
      <c r="K26" s="78"/>
      <c r="L26" s="78"/>
      <c r="M26" s="78"/>
      <c r="N26" s="78"/>
      <c r="O26" s="78"/>
      <c r="P26" s="658">
        <v>787</v>
      </c>
      <c r="Q26" s="272">
        <f t="shared" si="1"/>
        <v>787</v>
      </c>
      <c r="R26" s="784"/>
      <c r="S26" s="784"/>
      <c r="T26" s="787"/>
      <c r="U26" s="791"/>
      <c r="V26" s="791"/>
      <c r="W26" s="792"/>
      <c r="X26" s="792"/>
      <c r="Y26" s="792"/>
    </row>
    <row r="27" spans="1:25" s="6" customFormat="1" ht="25.5">
      <c r="A27" s="49" t="s">
        <v>175</v>
      </c>
      <c r="B27" s="45" t="s">
        <v>80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649"/>
      <c r="P27" s="651">
        <v>-578310</v>
      </c>
      <c r="Q27" s="272">
        <f t="shared" si="1"/>
        <v>-578310</v>
      </c>
      <c r="R27" s="784"/>
      <c r="S27" s="784"/>
      <c r="T27" s="787"/>
      <c r="U27" s="791"/>
      <c r="V27" s="791"/>
      <c r="W27" s="792"/>
      <c r="X27" s="792"/>
      <c r="Y27" s="792"/>
    </row>
    <row r="28" spans="1:25" s="6" customFormat="1" ht="25.5">
      <c r="A28" s="49" t="s">
        <v>175</v>
      </c>
      <c r="B28" s="45" t="s">
        <v>162</v>
      </c>
      <c r="C28" s="125"/>
      <c r="D28" s="45"/>
      <c r="E28" s="125"/>
      <c r="F28" s="125"/>
      <c r="G28" s="125"/>
      <c r="H28" s="125">
        <v>163751</v>
      </c>
      <c r="I28" s="125"/>
      <c r="J28" s="125">
        <v>414559</v>
      </c>
      <c r="K28" s="125"/>
      <c r="L28" s="125"/>
      <c r="M28" s="125"/>
      <c r="N28" s="125"/>
      <c r="O28" s="650"/>
      <c r="P28" s="652"/>
      <c r="Q28" s="272">
        <f t="shared" si="1"/>
        <v>578310</v>
      </c>
      <c r="R28" s="784"/>
      <c r="S28" s="784"/>
      <c r="T28" s="787"/>
      <c r="U28" s="791"/>
      <c r="V28" s="791"/>
      <c r="W28" s="792"/>
      <c r="X28" s="792"/>
      <c r="Y28" s="792"/>
    </row>
    <row r="29" spans="1:25" s="5" customFormat="1" ht="25.5">
      <c r="A29" s="49" t="s">
        <v>177</v>
      </c>
      <c r="B29" s="262" t="s">
        <v>162</v>
      </c>
      <c r="C29" s="125"/>
      <c r="D29" s="125"/>
      <c r="E29" s="125"/>
      <c r="F29" s="125"/>
      <c r="G29" s="125"/>
      <c r="H29" s="125">
        <v>-51436</v>
      </c>
      <c r="I29" s="125"/>
      <c r="J29" s="125">
        <v>-39113</v>
      </c>
      <c r="K29" s="125"/>
      <c r="L29" s="125"/>
      <c r="M29" s="125"/>
      <c r="N29" s="125"/>
      <c r="O29" s="125"/>
      <c r="P29" s="656"/>
      <c r="Q29" s="272">
        <f t="shared" si="1"/>
        <v>-90549</v>
      </c>
      <c r="R29" s="784"/>
      <c r="S29" s="784"/>
      <c r="T29" s="787"/>
      <c r="U29" s="788"/>
      <c r="V29" s="788"/>
      <c r="W29" s="785"/>
      <c r="X29" s="785"/>
      <c r="Y29" s="785"/>
    </row>
    <row r="30" spans="1:25" s="4" customFormat="1" ht="25.5">
      <c r="A30" s="49" t="s">
        <v>184</v>
      </c>
      <c r="B30" s="172" t="s">
        <v>179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>
        <v>149045</v>
      </c>
      <c r="O30" s="45"/>
      <c r="P30" s="659"/>
      <c r="Q30" s="272">
        <f t="shared" si="1"/>
        <v>149045</v>
      </c>
      <c r="R30" s="106"/>
      <c r="S30" s="106"/>
      <c r="T30" s="221"/>
      <c r="U30" s="222"/>
      <c r="V30" s="222"/>
      <c r="W30" s="107"/>
      <c r="X30" s="107"/>
      <c r="Y30" s="107"/>
    </row>
    <row r="31" spans="1:25" s="4" customFormat="1" ht="25.5">
      <c r="A31" s="49" t="s">
        <v>178</v>
      </c>
      <c r="B31" s="172" t="s">
        <v>179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>
        <v>82949</v>
      </c>
      <c r="O31" s="45"/>
      <c r="P31" s="659"/>
      <c r="Q31" s="272">
        <f t="shared" si="1"/>
        <v>82949</v>
      </c>
      <c r="R31" s="106"/>
      <c r="S31" s="106"/>
      <c r="T31" s="221"/>
      <c r="U31" s="222"/>
      <c r="V31" s="222"/>
      <c r="W31" s="107"/>
      <c r="X31" s="107"/>
      <c r="Y31" s="107"/>
    </row>
    <row r="32" spans="1:22" ht="25.5">
      <c r="A32" s="68" t="s">
        <v>180</v>
      </c>
      <c r="B32" s="653" t="s">
        <v>174</v>
      </c>
      <c r="C32" s="126">
        <v>-84009</v>
      </c>
      <c r="D32" s="126">
        <v>-7098</v>
      </c>
      <c r="E32" s="126">
        <v>-54217</v>
      </c>
      <c r="F32" s="126">
        <v>85813</v>
      </c>
      <c r="G32" s="126">
        <v>-1590</v>
      </c>
      <c r="H32" s="126">
        <v>19732</v>
      </c>
      <c r="I32" s="126">
        <v>-8631</v>
      </c>
      <c r="J32" s="126"/>
      <c r="K32" s="126"/>
      <c r="L32" s="126"/>
      <c r="M32" s="126"/>
      <c r="N32" s="126"/>
      <c r="O32" s="270"/>
      <c r="P32" s="654"/>
      <c r="Q32" s="272">
        <f t="shared" si="1"/>
        <v>-50000</v>
      </c>
      <c r="R32" s="106"/>
      <c r="S32" s="106"/>
      <c r="T32" s="221"/>
      <c r="U32" s="222"/>
      <c r="V32" s="222"/>
    </row>
    <row r="33" spans="1:22" ht="25.5">
      <c r="A33" s="68" t="s">
        <v>181</v>
      </c>
      <c r="B33" s="653" t="s">
        <v>80</v>
      </c>
      <c r="C33" s="126">
        <v>38112</v>
      </c>
      <c r="D33" s="126">
        <v>15725</v>
      </c>
      <c r="E33" s="126">
        <v>31127</v>
      </c>
      <c r="F33" s="126">
        <v>34613</v>
      </c>
      <c r="G33" s="126">
        <v>16908</v>
      </c>
      <c r="H33" s="126">
        <v>30405</v>
      </c>
      <c r="I33" s="126">
        <v>14369</v>
      </c>
      <c r="J33" s="126"/>
      <c r="K33" s="126"/>
      <c r="L33" s="126">
        <v>3328</v>
      </c>
      <c r="M33" s="126">
        <v>508</v>
      </c>
      <c r="N33" s="126"/>
      <c r="O33" s="270"/>
      <c r="P33" s="673"/>
      <c r="Q33" s="272">
        <f t="shared" si="1"/>
        <v>185095</v>
      </c>
      <c r="R33" s="106"/>
      <c r="S33" s="106"/>
      <c r="T33" s="221"/>
      <c r="U33" s="222"/>
      <c r="V33" s="222"/>
    </row>
    <row r="34" spans="1:22" ht="25.5">
      <c r="A34" s="68" t="s">
        <v>182</v>
      </c>
      <c r="B34" s="45" t="s">
        <v>79</v>
      </c>
      <c r="C34" s="45">
        <v>4899</v>
      </c>
      <c r="D34" s="45">
        <v>2032</v>
      </c>
      <c r="E34" s="45">
        <v>5327</v>
      </c>
      <c r="F34" s="45">
        <v>5793</v>
      </c>
      <c r="G34" s="45">
        <v>1239</v>
      </c>
      <c r="H34" s="45">
        <v>2738</v>
      </c>
      <c r="I34" s="45">
        <v>772</v>
      </c>
      <c r="J34" s="45"/>
      <c r="K34" s="45"/>
      <c r="L34" s="45">
        <v>394</v>
      </c>
      <c r="M34" s="45">
        <v>186</v>
      </c>
      <c r="N34" s="45"/>
      <c r="O34" s="649"/>
      <c r="P34" s="651"/>
      <c r="Q34" s="272">
        <f t="shared" si="1"/>
        <v>23380</v>
      </c>
      <c r="R34" s="106"/>
      <c r="S34" s="106"/>
      <c r="T34" s="221"/>
      <c r="U34" s="222"/>
      <c r="V34" s="222"/>
    </row>
    <row r="35" spans="1:22" ht="12.75">
      <c r="A35" s="49"/>
      <c r="B35" s="45"/>
      <c r="C35" s="125"/>
      <c r="D35" s="4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650"/>
      <c r="P35" s="652"/>
      <c r="Q35" s="272">
        <f t="shared" si="1"/>
        <v>0</v>
      </c>
      <c r="R35" s="106"/>
      <c r="S35" s="106"/>
      <c r="T35" s="221"/>
      <c r="U35" s="222"/>
      <c r="V35" s="222"/>
    </row>
    <row r="36" spans="1:22" ht="12.75" hidden="1">
      <c r="A36" s="41"/>
      <c r="B36" s="91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269">
        <f aca="true" t="shared" si="2" ref="Q36:Q61">SUM(C36:P36)</f>
        <v>0</v>
      </c>
      <c r="R36" s="106"/>
      <c r="S36" s="106"/>
      <c r="T36" s="221"/>
      <c r="U36" s="222"/>
      <c r="V36" s="222"/>
    </row>
    <row r="37" spans="1:22" ht="12.75" hidden="1">
      <c r="A37" s="41"/>
      <c r="B37" s="91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269"/>
      <c r="Q37" s="269">
        <f t="shared" si="2"/>
        <v>0</v>
      </c>
      <c r="R37" s="106"/>
      <c r="S37" s="106"/>
      <c r="T37" s="221"/>
      <c r="U37" s="222"/>
      <c r="V37" s="222"/>
    </row>
    <row r="38" spans="1:22" ht="12.75" hidden="1">
      <c r="A38" s="41"/>
      <c r="B38" s="141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269"/>
      <c r="Q38" s="269">
        <f t="shared" si="2"/>
        <v>0</v>
      </c>
      <c r="R38" s="106"/>
      <c r="S38" s="106"/>
      <c r="T38" s="221"/>
      <c r="U38" s="222"/>
      <c r="V38" s="222"/>
    </row>
    <row r="39" spans="1:22" ht="12.75" hidden="1">
      <c r="A39" s="41"/>
      <c r="B39" s="91"/>
      <c r="C39" s="13"/>
      <c r="D39" s="13"/>
      <c r="E39" s="13"/>
      <c r="F39" s="13"/>
      <c r="G39" s="45"/>
      <c r="H39" s="13"/>
      <c r="I39" s="13"/>
      <c r="J39" s="45"/>
      <c r="K39" s="45"/>
      <c r="L39" s="45"/>
      <c r="M39" s="45"/>
      <c r="N39" s="45"/>
      <c r="O39" s="45"/>
      <c r="P39" s="48"/>
      <c r="Q39" s="269">
        <f t="shared" si="2"/>
        <v>0</v>
      </c>
      <c r="R39" s="106"/>
      <c r="S39" s="106"/>
      <c r="T39" s="221"/>
      <c r="U39" s="222"/>
      <c r="V39" s="222"/>
    </row>
    <row r="40" spans="1:22" ht="14.25" customHeight="1" hidden="1">
      <c r="A40" s="41"/>
      <c r="B40" s="91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8"/>
      <c r="Q40" s="269">
        <f t="shared" si="2"/>
        <v>0</v>
      </c>
      <c r="R40" s="106"/>
      <c r="S40" s="106"/>
      <c r="T40" s="221"/>
      <c r="U40" s="222"/>
      <c r="V40" s="222"/>
    </row>
    <row r="41" spans="1:22" ht="12.75" hidden="1">
      <c r="A41" s="41"/>
      <c r="B41" s="91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8"/>
      <c r="Q41" s="269">
        <f t="shared" si="2"/>
        <v>0</v>
      </c>
      <c r="R41" s="106"/>
      <c r="S41" s="106"/>
      <c r="T41" s="221"/>
      <c r="U41" s="222"/>
      <c r="V41" s="222"/>
    </row>
    <row r="42" spans="1:22" ht="12.75" hidden="1">
      <c r="A42" s="68"/>
      <c r="B42" s="91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8"/>
      <c r="Q42" s="269">
        <f t="shared" si="2"/>
        <v>0</v>
      </c>
      <c r="R42" s="106"/>
      <c r="S42" s="106"/>
      <c r="T42" s="221"/>
      <c r="U42" s="222"/>
      <c r="V42" s="222"/>
    </row>
    <row r="43" spans="1:22" ht="12.75" hidden="1">
      <c r="A43" s="49"/>
      <c r="B43" s="91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8"/>
      <c r="Q43" s="269">
        <f t="shared" si="2"/>
        <v>0</v>
      </c>
      <c r="R43" s="106"/>
      <c r="S43" s="106"/>
      <c r="T43" s="221"/>
      <c r="U43" s="222"/>
      <c r="V43" s="222"/>
    </row>
    <row r="44" spans="1:25" s="2" customFormat="1" ht="12.75" hidden="1">
      <c r="A44" s="68"/>
      <c r="B44" s="91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269">
        <f t="shared" si="2"/>
        <v>0</v>
      </c>
      <c r="R44" s="106"/>
      <c r="S44" s="106"/>
      <c r="T44" s="221"/>
      <c r="U44" s="793"/>
      <c r="V44" s="793"/>
      <c r="W44" s="794"/>
      <c r="X44" s="794"/>
      <c r="Y44" s="794"/>
    </row>
    <row r="45" spans="1:25" s="2" customFormat="1" ht="12.75" hidden="1">
      <c r="A45" s="68"/>
      <c r="B45" s="91"/>
      <c r="C45" s="45"/>
      <c r="D45" s="45"/>
      <c r="E45" s="44"/>
      <c r="F45" s="44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269">
        <f t="shared" si="2"/>
        <v>0</v>
      </c>
      <c r="R45" s="106"/>
      <c r="S45" s="106"/>
      <c r="T45" s="221"/>
      <c r="U45" s="793"/>
      <c r="V45" s="793"/>
      <c r="W45" s="794"/>
      <c r="X45" s="794"/>
      <c r="Y45" s="794"/>
    </row>
    <row r="46" spans="1:22" ht="12.75" hidden="1">
      <c r="A46" s="108"/>
      <c r="B46" s="91"/>
      <c r="C46" s="45"/>
      <c r="D46" s="45"/>
      <c r="E46" s="45"/>
      <c r="F46" s="150"/>
      <c r="G46" s="45"/>
      <c r="H46" s="45"/>
      <c r="I46" s="45"/>
      <c r="J46" s="45"/>
      <c r="K46" s="45"/>
      <c r="L46" s="13"/>
      <c r="M46" s="13"/>
      <c r="N46" s="13"/>
      <c r="O46" s="13"/>
      <c r="P46" s="13"/>
      <c r="Q46" s="269">
        <f t="shared" si="2"/>
        <v>0</v>
      </c>
      <c r="R46" s="106"/>
      <c r="S46" s="106"/>
      <c r="T46" s="221"/>
      <c r="U46" s="222"/>
      <c r="V46" s="222"/>
    </row>
    <row r="47" spans="1:22" ht="12.75" hidden="1">
      <c r="A47" s="68"/>
      <c r="B47" s="91"/>
      <c r="C47" s="45"/>
      <c r="D47" s="45"/>
      <c r="E47" s="45"/>
      <c r="F47" s="150"/>
      <c r="G47" s="45"/>
      <c r="H47" s="45"/>
      <c r="I47" s="45"/>
      <c r="J47" s="45"/>
      <c r="K47" s="45"/>
      <c r="L47" s="13"/>
      <c r="M47" s="13"/>
      <c r="N47" s="13"/>
      <c r="O47" s="13"/>
      <c r="P47" s="13"/>
      <c r="Q47" s="269">
        <f t="shared" si="2"/>
        <v>0</v>
      </c>
      <c r="R47" s="106"/>
      <c r="S47" s="106"/>
      <c r="T47" s="221"/>
      <c r="U47" s="222"/>
      <c r="V47" s="222"/>
    </row>
    <row r="48" spans="1:22" ht="12.75" hidden="1">
      <c r="A48" s="68"/>
      <c r="B48" s="91"/>
      <c r="C48" s="44"/>
      <c r="D48" s="44"/>
      <c r="E48" s="45"/>
      <c r="F48" s="45"/>
      <c r="G48" s="45"/>
      <c r="H48" s="44"/>
      <c r="I48" s="45"/>
      <c r="J48" s="13"/>
      <c r="K48" s="13"/>
      <c r="L48" s="13"/>
      <c r="M48" s="13"/>
      <c r="N48" s="13"/>
      <c r="O48" s="13"/>
      <c r="P48" s="13"/>
      <c r="Q48" s="269">
        <f t="shared" si="2"/>
        <v>0</v>
      </c>
      <c r="R48" s="106"/>
      <c r="S48" s="106"/>
      <c r="T48" s="221"/>
      <c r="U48" s="222"/>
      <c r="V48" s="222"/>
    </row>
    <row r="49" spans="1:22" ht="12.75" hidden="1">
      <c r="A49" s="68"/>
      <c r="B49" s="91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269">
        <f t="shared" si="2"/>
        <v>0</v>
      </c>
      <c r="R49" s="106"/>
      <c r="S49" s="106"/>
      <c r="T49" s="221"/>
      <c r="U49" s="222"/>
      <c r="V49" s="222"/>
    </row>
    <row r="50" spans="1:22" ht="12.75" hidden="1">
      <c r="A50" s="49"/>
      <c r="B50" s="91"/>
      <c r="C50" s="45"/>
      <c r="D50" s="45"/>
      <c r="E50" s="44"/>
      <c r="F50" s="44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269">
        <f t="shared" si="2"/>
        <v>0</v>
      </c>
      <c r="R50" s="106"/>
      <c r="S50" s="106"/>
      <c r="T50" s="221"/>
      <c r="U50" s="222"/>
      <c r="V50" s="222"/>
    </row>
    <row r="51" spans="1:22" ht="12.75" hidden="1">
      <c r="A51" s="9"/>
      <c r="B51" s="91"/>
      <c r="C51" s="45"/>
      <c r="D51" s="45"/>
      <c r="E51" s="45"/>
      <c r="F51" s="150"/>
      <c r="G51" s="45"/>
      <c r="H51" s="45"/>
      <c r="I51" s="45"/>
      <c r="J51" s="45"/>
      <c r="K51" s="45"/>
      <c r="L51" s="13"/>
      <c r="M51" s="13"/>
      <c r="N51" s="13"/>
      <c r="O51" s="13"/>
      <c r="P51" s="13"/>
      <c r="Q51" s="269">
        <f t="shared" si="2"/>
        <v>0</v>
      </c>
      <c r="R51" s="106"/>
      <c r="S51" s="106"/>
      <c r="T51" s="221"/>
      <c r="U51" s="222"/>
      <c r="V51" s="222"/>
    </row>
    <row r="52" spans="1:22" ht="12.75" hidden="1">
      <c r="A52" s="49"/>
      <c r="B52" s="91"/>
      <c r="C52" s="45"/>
      <c r="D52" s="45"/>
      <c r="E52" s="45"/>
      <c r="F52" s="150"/>
      <c r="G52" s="45"/>
      <c r="H52" s="45"/>
      <c r="I52" s="45"/>
      <c r="J52" s="45"/>
      <c r="K52" s="45"/>
      <c r="L52" s="13"/>
      <c r="M52" s="13"/>
      <c r="N52" s="13"/>
      <c r="O52" s="13"/>
      <c r="P52" s="13"/>
      <c r="Q52" s="269">
        <f t="shared" si="2"/>
        <v>0</v>
      </c>
      <c r="R52" s="106"/>
      <c r="S52" s="106"/>
      <c r="T52" s="221"/>
      <c r="U52" s="222"/>
      <c r="V52" s="222"/>
    </row>
    <row r="53" spans="1:22" ht="12.75" hidden="1">
      <c r="A53" s="49"/>
      <c r="B53" s="91"/>
      <c r="C53" s="45"/>
      <c r="D53" s="45"/>
      <c r="E53" s="45"/>
      <c r="F53" s="150"/>
      <c r="G53" s="45"/>
      <c r="H53" s="45"/>
      <c r="I53" s="45"/>
      <c r="J53" s="45"/>
      <c r="K53" s="45"/>
      <c r="L53" s="13"/>
      <c r="M53" s="13"/>
      <c r="N53" s="13"/>
      <c r="O53" s="13"/>
      <c r="P53" s="13"/>
      <c r="Q53" s="269">
        <f t="shared" si="2"/>
        <v>0</v>
      </c>
      <c r="R53" s="106"/>
      <c r="S53" s="106"/>
      <c r="T53" s="221"/>
      <c r="U53" s="222"/>
      <c r="V53" s="222"/>
    </row>
    <row r="54" spans="1:22" ht="12.75" hidden="1">
      <c r="A54" s="49"/>
      <c r="B54" s="91"/>
      <c r="C54" s="45"/>
      <c r="D54" s="45"/>
      <c r="E54" s="45"/>
      <c r="F54" s="150"/>
      <c r="G54" s="45"/>
      <c r="H54" s="45"/>
      <c r="I54" s="45"/>
      <c r="J54" s="45"/>
      <c r="K54" s="45"/>
      <c r="L54" s="13"/>
      <c r="M54" s="13"/>
      <c r="N54" s="13"/>
      <c r="O54" s="13"/>
      <c r="P54" s="13"/>
      <c r="Q54" s="269">
        <f t="shared" si="2"/>
        <v>0</v>
      </c>
      <c r="R54" s="106"/>
      <c r="S54" s="106"/>
      <c r="T54" s="221"/>
      <c r="U54" s="222"/>
      <c r="V54" s="222"/>
    </row>
    <row r="55" spans="1:22" ht="12.75" hidden="1">
      <c r="A55" s="49"/>
      <c r="B55" s="91"/>
      <c r="C55" s="45"/>
      <c r="D55" s="45"/>
      <c r="E55" s="45"/>
      <c r="F55" s="45"/>
      <c r="G55" s="45"/>
      <c r="H55" s="45"/>
      <c r="I55" s="45"/>
      <c r="J55" s="45"/>
      <c r="K55" s="45"/>
      <c r="L55" s="13"/>
      <c r="M55" s="13"/>
      <c r="N55" s="13"/>
      <c r="O55" s="13"/>
      <c r="P55" s="13"/>
      <c r="Q55" s="269">
        <f t="shared" si="2"/>
        <v>0</v>
      </c>
      <c r="R55" s="106"/>
      <c r="S55" s="106"/>
      <c r="T55" s="221"/>
      <c r="U55" s="222"/>
      <c r="V55" s="222"/>
    </row>
    <row r="56" spans="1:22" ht="12.75" hidden="1">
      <c r="A56" s="49"/>
      <c r="B56" s="91"/>
      <c r="C56" s="45"/>
      <c r="D56" s="45"/>
      <c r="E56" s="45"/>
      <c r="F56" s="45"/>
      <c r="G56" s="45"/>
      <c r="H56" s="45"/>
      <c r="I56" s="45"/>
      <c r="J56" s="45"/>
      <c r="K56" s="45"/>
      <c r="L56" s="13"/>
      <c r="M56" s="13"/>
      <c r="N56" s="13"/>
      <c r="O56" s="13"/>
      <c r="P56" s="13"/>
      <c r="Q56" s="269">
        <f t="shared" si="2"/>
        <v>0</v>
      </c>
      <c r="R56" s="106"/>
      <c r="S56" s="106"/>
      <c r="T56" s="221"/>
      <c r="U56" s="222"/>
      <c r="V56" s="222"/>
    </row>
    <row r="57" spans="1:22" ht="12.75" hidden="1">
      <c r="A57" s="49"/>
      <c r="B57" s="91"/>
      <c r="C57" s="45"/>
      <c r="D57" s="45"/>
      <c r="E57" s="45"/>
      <c r="F57" s="150"/>
      <c r="G57" s="45"/>
      <c r="H57" s="45"/>
      <c r="I57" s="45"/>
      <c r="J57" s="45"/>
      <c r="K57" s="45"/>
      <c r="L57" s="13"/>
      <c r="M57" s="13"/>
      <c r="N57" s="13"/>
      <c r="O57" s="13"/>
      <c r="P57" s="13"/>
      <c r="Q57" s="269">
        <f t="shared" si="2"/>
        <v>0</v>
      </c>
      <c r="R57" s="106"/>
      <c r="S57" s="106"/>
      <c r="T57" s="221"/>
      <c r="U57" s="222"/>
      <c r="V57" s="222"/>
    </row>
    <row r="58" spans="1:22" ht="12.75" hidden="1">
      <c r="A58" s="49"/>
      <c r="B58" s="91"/>
      <c r="C58" s="45"/>
      <c r="D58" s="45"/>
      <c r="E58" s="45"/>
      <c r="F58" s="150"/>
      <c r="G58" s="45"/>
      <c r="H58" s="45"/>
      <c r="I58" s="45"/>
      <c r="J58" s="45"/>
      <c r="K58" s="45"/>
      <c r="L58" s="13"/>
      <c r="M58" s="13"/>
      <c r="N58" s="13"/>
      <c r="O58" s="13"/>
      <c r="P58" s="13"/>
      <c r="Q58" s="269">
        <f t="shared" si="2"/>
        <v>0</v>
      </c>
      <c r="R58" s="106"/>
      <c r="S58" s="106"/>
      <c r="T58" s="221"/>
      <c r="U58" s="222"/>
      <c r="V58" s="222"/>
    </row>
    <row r="59" spans="1:22" ht="12.75" hidden="1">
      <c r="A59" s="49"/>
      <c r="B59" s="91"/>
      <c r="C59" s="45"/>
      <c r="D59" s="45"/>
      <c r="E59" s="45"/>
      <c r="F59" s="150"/>
      <c r="G59" s="45"/>
      <c r="H59" s="45"/>
      <c r="I59" s="45"/>
      <c r="J59" s="45"/>
      <c r="K59" s="45"/>
      <c r="L59" s="13"/>
      <c r="M59" s="13"/>
      <c r="N59" s="13"/>
      <c r="O59" s="13"/>
      <c r="P59" s="13"/>
      <c r="Q59" s="269">
        <f t="shared" si="2"/>
        <v>0</v>
      </c>
      <c r="R59" s="106"/>
      <c r="S59" s="106"/>
      <c r="T59" s="221"/>
      <c r="U59" s="222"/>
      <c r="V59" s="222"/>
    </row>
    <row r="60" spans="1:22" ht="12.75" hidden="1">
      <c r="A60" s="49"/>
      <c r="B60" s="91"/>
      <c r="C60" s="45"/>
      <c r="D60" s="45"/>
      <c r="E60" s="45"/>
      <c r="F60" s="150"/>
      <c r="G60" s="45"/>
      <c r="H60" s="45"/>
      <c r="I60" s="45"/>
      <c r="J60" s="45"/>
      <c r="K60" s="45"/>
      <c r="L60" s="13"/>
      <c r="M60" s="13"/>
      <c r="N60" s="13"/>
      <c r="O60" s="13"/>
      <c r="P60" s="13"/>
      <c r="Q60" s="269">
        <f t="shared" si="2"/>
        <v>0</v>
      </c>
      <c r="R60" s="106"/>
      <c r="S60" s="106"/>
      <c r="T60" s="221"/>
      <c r="U60" s="222"/>
      <c r="V60" s="222"/>
    </row>
    <row r="61" spans="1:22" ht="13.5" thickBot="1">
      <c r="A61" s="109"/>
      <c r="B61" s="91"/>
      <c r="C61" s="44"/>
      <c r="D61" s="44"/>
      <c r="E61" s="45"/>
      <c r="F61" s="45"/>
      <c r="G61" s="45"/>
      <c r="H61" s="44"/>
      <c r="I61" s="45"/>
      <c r="J61" s="13"/>
      <c r="K61" s="13"/>
      <c r="L61" s="13"/>
      <c r="M61" s="13"/>
      <c r="N61" s="13"/>
      <c r="O61" s="13"/>
      <c r="P61" s="13"/>
      <c r="Q61" s="269">
        <f t="shared" si="2"/>
        <v>0</v>
      </c>
      <c r="R61" s="106"/>
      <c r="S61" s="106"/>
      <c r="T61" s="221"/>
      <c r="U61" s="222"/>
      <c r="V61" s="222"/>
    </row>
    <row r="62" spans="1:22" ht="15" customHeight="1" thickBot="1">
      <c r="A62" s="133" t="s">
        <v>27</v>
      </c>
      <c r="B62" s="263"/>
      <c r="C62" s="45"/>
      <c r="D62" s="45"/>
      <c r="E62" s="45"/>
      <c r="F62" s="45"/>
      <c r="G62" s="45"/>
      <c r="H62" s="45"/>
      <c r="I62" s="45"/>
      <c r="J62" s="76"/>
      <c r="K62" s="76"/>
      <c r="L62" s="45"/>
      <c r="M62" s="45"/>
      <c r="N62" s="76"/>
      <c r="O62" s="76"/>
      <c r="P62" s="76"/>
      <c r="Q62" s="269"/>
      <c r="R62" s="106"/>
      <c r="S62" s="106"/>
      <c r="T62" s="221"/>
      <c r="U62" s="222"/>
      <c r="V62" s="222"/>
    </row>
    <row r="63" spans="1:22" ht="15" customHeight="1">
      <c r="A63" s="134" t="s">
        <v>95</v>
      </c>
      <c r="B63" s="264"/>
      <c r="C63" s="45"/>
      <c r="D63" s="45"/>
      <c r="E63" s="45"/>
      <c r="F63" s="45"/>
      <c r="G63" s="45"/>
      <c r="H63" s="45"/>
      <c r="I63" s="45"/>
      <c r="J63" s="76"/>
      <c r="K63" s="76"/>
      <c r="L63" s="45"/>
      <c r="M63" s="45"/>
      <c r="N63" s="76"/>
      <c r="O63" s="76"/>
      <c r="P63" s="76"/>
      <c r="Q63" s="269">
        <f aca="true" t="shared" si="3" ref="Q63:Q71">SUM(C63:P63)</f>
        <v>0</v>
      </c>
      <c r="R63" s="106"/>
      <c r="S63" s="106"/>
      <c r="T63" s="221"/>
      <c r="U63" s="222"/>
      <c r="V63" s="222"/>
    </row>
    <row r="64" spans="1:22" ht="15" customHeight="1">
      <c r="A64" s="134" t="s">
        <v>99</v>
      </c>
      <c r="B64" s="264"/>
      <c r="C64" s="45"/>
      <c r="D64" s="45"/>
      <c r="E64" s="45"/>
      <c r="F64" s="45"/>
      <c r="G64" s="45"/>
      <c r="H64" s="45"/>
      <c r="I64" s="45"/>
      <c r="J64" s="76"/>
      <c r="K64" s="76"/>
      <c r="L64" s="45"/>
      <c r="M64" s="45"/>
      <c r="N64" s="76"/>
      <c r="O64" s="76"/>
      <c r="P64" s="76"/>
      <c r="Q64" s="269">
        <f t="shared" si="3"/>
        <v>0</v>
      </c>
      <c r="R64" s="106"/>
      <c r="S64" s="106"/>
      <c r="T64" s="221"/>
      <c r="U64" s="222"/>
      <c r="V64" s="222"/>
    </row>
    <row r="65" spans="1:22" ht="15" customHeight="1">
      <c r="A65" s="379" t="s">
        <v>105</v>
      </c>
      <c r="B65" s="380" t="s">
        <v>66</v>
      </c>
      <c r="C65" s="45"/>
      <c r="D65" s="45">
        <f>17895</f>
        <v>17895</v>
      </c>
      <c r="E65" s="45">
        <v>-17895</v>
      </c>
      <c r="F65" s="45"/>
      <c r="G65" s="45"/>
      <c r="H65" s="45"/>
      <c r="I65" s="45"/>
      <c r="J65" s="76"/>
      <c r="K65" s="76"/>
      <c r="L65" s="45"/>
      <c r="M65" s="45"/>
      <c r="N65" s="76"/>
      <c r="O65" s="76"/>
      <c r="P65" s="76"/>
      <c r="Q65" s="269">
        <f t="shared" si="3"/>
        <v>0</v>
      </c>
      <c r="R65" s="106"/>
      <c r="S65" s="106"/>
      <c r="T65" s="221"/>
      <c r="U65" s="222"/>
      <c r="V65" s="222"/>
    </row>
    <row r="66" spans="1:22" ht="12.75">
      <c r="A66" s="379" t="s">
        <v>105</v>
      </c>
      <c r="B66" s="380" t="s">
        <v>66</v>
      </c>
      <c r="C66" s="45"/>
      <c r="D66" s="45"/>
      <c r="E66" s="45">
        <v>-7500</v>
      </c>
      <c r="F66" s="45">
        <v>7500</v>
      </c>
      <c r="G66" s="45"/>
      <c r="H66" s="45"/>
      <c r="I66" s="45"/>
      <c r="J66" s="76"/>
      <c r="K66" s="76"/>
      <c r="L66" s="45"/>
      <c r="M66" s="45"/>
      <c r="N66" s="76"/>
      <c r="O66" s="76"/>
      <c r="P66" s="76"/>
      <c r="Q66" s="269">
        <f t="shared" si="3"/>
        <v>0</v>
      </c>
      <c r="R66" s="106"/>
      <c r="S66" s="106"/>
      <c r="T66" s="221"/>
      <c r="U66" s="222"/>
      <c r="V66" s="222"/>
    </row>
    <row r="67" spans="1:22" ht="12.75">
      <c r="A67" s="379" t="s">
        <v>105</v>
      </c>
      <c r="B67" s="171" t="s">
        <v>66</v>
      </c>
      <c r="C67" s="123"/>
      <c r="D67" s="123"/>
      <c r="E67" s="123">
        <v>9075</v>
      </c>
      <c r="F67" s="123"/>
      <c r="G67" s="123"/>
      <c r="H67" s="123"/>
      <c r="I67" s="123"/>
      <c r="J67" s="123"/>
      <c r="K67" s="123"/>
      <c r="L67" s="123"/>
      <c r="M67" s="123"/>
      <c r="N67" s="123">
        <v>-9075</v>
      </c>
      <c r="O67" s="123"/>
      <c r="P67" s="123"/>
      <c r="Q67" s="269">
        <f t="shared" si="3"/>
        <v>0</v>
      </c>
      <c r="R67" s="106"/>
      <c r="S67" s="106"/>
      <c r="T67" s="221"/>
      <c r="U67" s="222"/>
      <c r="V67" s="222"/>
    </row>
    <row r="68" spans="1:22" ht="12" customHeight="1">
      <c r="A68" s="379" t="s">
        <v>105</v>
      </c>
      <c r="B68" s="171" t="s">
        <v>66</v>
      </c>
      <c r="C68" s="123"/>
      <c r="D68" s="636">
        <v>-25000</v>
      </c>
      <c r="E68" s="636"/>
      <c r="F68" s="636">
        <v>25000</v>
      </c>
      <c r="G68" s="636"/>
      <c r="H68" s="123"/>
      <c r="I68" s="123"/>
      <c r="J68" s="123"/>
      <c r="K68" s="123"/>
      <c r="L68" s="123"/>
      <c r="M68" s="123"/>
      <c r="N68" s="123"/>
      <c r="O68" s="123"/>
      <c r="P68" s="123"/>
      <c r="Q68" s="269">
        <f t="shared" si="3"/>
        <v>0</v>
      </c>
      <c r="R68" s="106"/>
      <c r="S68" s="106"/>
      <c r="T68" s="221"/>
      <c r="U68" s="222"/>
      <c r="V68" s="222"/>
    </row>
    <row r="69" spans="1:22" ht="12" customHeight="1">
      <c r="A69" s="379" t="s">
        <v>105</v>
      </c>
      <c r="B69" s="171" t="s">
        <v>66</v>
      </c>
      <c r="C69" s="123"/>
      <c r="D69" s="636">
        <v>-19161</v>
      </c>
      <c r="E69" s="636"/>
      <c r="F69" s="636"/>
      <c r="G69" s="636"/>
      <c r="H69" s="123"/>
      <c r="I69" s="123">
        <v>19161</v>
      </c>
      <c r="J69" s="123"/>
      <c r="K69" s="123"/>
      <c r="L69" s="123"/>
      <c r="M69" s="123"/>
      <c r="N69" s="123"/>
      <c r="O69" s="123"/>
      <c r="P69" s="123"/>
      <c r="Q69" s="269">
        <f t="shared" si="3"/>
        <v>0</v>
      </c>
      <c r="R69" s="106"/>
      <c r="S69" s="106"/>
      <c r="T69" s="221"/>
      <c r="U69" s="222"/>
      <c r="V69" s="222"/>
    </row>
    <row r="70" spans="1:22" ht="12" customHeight="1">
      <c r="A70" s="379" t="s">
        <v>105</v>
      </c>
      <c r="B70" s="171" t="s">
        <v>66</v>
      </c>
      <c r="C70" s="123"/>
      <c r="D70" s="636"/>
      <c r="E70" s="636"/>
      <c r="F70" s="636"/>
      <c r="G70" s="636"/>
      <c r="H70" s="123"/>
      <c r="I70" s="123"/>
      <c r="J70" s="123"/>
      <c r="K70" s="123"/>
      <c r="L70" s="123"/>
      <c r="M70" s="123"/>
      <c r="N70" s="123"/>
      <c r="O70" s="123"/>
      <c r="P70" s="123"/>
      <c r="Q70" s="269">
        <f t="shared" si="3"/>
        <v>0</v>
      </c>
      <c r="R70" s="106"/>
      <c r="S70" s="106"/>
      <c r="T70" s="221"/>
      <c r="U70" s="222"/>
      <c r="V70" s="222"/>
    </row>
    <row r="71" spans="1:22" ht="12" customHeight="1" thickBot="1">
      <c r="A71" s="641"/>
      <c r="B71" s="171"/>
      <c r="C71" s="123"/>
      <c r="D71" s="636"/>
      <c r="E71" s="636"/>
      <c r="F71" s="636"/>
      <c r="G71" s="636"/>
      <c r="H71" s="123"/>
      <c r="I71" s="123"/>
      <c r="J71" s="123"/>
      <c r="K71" s="123"/>
      <c r="L71" s="123"/>
      <c r="M71" s="123"/>
      <c r="N71" s="123"/>
      <c r="O71" s="123"/>
      <c r="P71" s="123"/>
      <c r="Q71" s="269">
        <f t="shared" si="3"/>
        <v>0</v>
      </c>
      <c r="R71" s="106"/>
      <c r="S71" s="106"/>
      <c r="T71" s="221"/>
      <c r="U71" s="222"/>
      <c r="V71" s="222"/>
    </row>
    <row r="72" spans="1:22" ht="15" customHeight="1" thickBot="1">
      <c r="A72" s="133" t="s">
        <v>28</v>
      </c>
      <c r="B72" s="142"/>
      <c r="C72" s="127"/>
      <c r="D72" s="127"/>
      <c r="E72" s="127"/>
      <c r="F72" s="127"/>
      <c r="G72" s="127"/>
      <c r="H72" s="127"/>
      <c r="I72" s="127"/>
      <c r="J72" s="276"/>
      <c r="K72" s="276"/>
      <c r="L72" s="127"/>
      <c r="M72" s="127"/>
      <c r="N72" s="276"/>
      <c r="O72" s="276"/>
      <c r="P72" s="276"/>
      <c r="Q72" s="77"/>
      <c r="R72" s="106"/>
      <c r="S72" s="106"/>
      <c r="T72" s="221"/>
      <c r="U72" s="222"/>
      <c r="V72" s="222"/>
    </row>
    <row r="73" spans="1:22" ht="0.75" customHeight="1" thickBot="1">
      <c r="A73" s="41" t="s">
        <v>29</v>
      </c>
      <c r="B73" s="142"/>
      <c r="C73" s="127"/>
      <c r="D73" s="127"/>
      <c r="E73" s="127"/>
      <c r="F73" s="127"/>
      <c r="G73" s="127"/>
      <c r="H73" s="127"/>
      <c r="I73" s="127"/>
      <c r="J73" s="276"/>
      <c r="K73" s="276"/>
      <c r="L73" s="670"/>
      <c r="M73" s="127"/>
      <c r="N73" s="276"/>
      <c r="O73" s="276"/>
      <c r="P73" s="276"/>
      <c r="Q73" s="77"/>
      <c r="R73" s="106"/>
      <c r="S73" s="106"/>
      <c r="T73" s="221"/>
      <c r="U73" s="222"/>
      <c r="V73" s="222"/>
    </row>
    <row r="74" spans="1:22" s="107" customFormat="1" ht="25.5">
      <c r="A74" s="244" t="s">
        <v>98</v>
      </c>
      <c r="B74" s="645" t="s">
        <v>151</v>
      </c>
      <c r="C74" s="646"/>
      <c r="D74" s="646">
        <f>21527+2000+1100+824</f>
        <v>25451</v>
      </c>
      <c r="E74" s="646">
        <v>4698</v>
      </c>
      <c r="F74" s="646"/>
      <c r="G74" s="646"/>
      <c r="H74" s="281">
        <f>10574+768</f>
        <v>11342</v>
      </c>
      <c r="I74" s="646"/>
      <c r="J74" s="646"/>
      <c r="K74" s="661"/>
      <c r="L74" s="671"/>
      <c r="M74" s="666"/>
      <c r="N74" s="646">
        <v>13933</v>
      </c>
      <c r="O74" s="646">
        <f>-21527-3768-824-13933-10574-4698-100</f>
        <v>-55424</v>
      </c>
      <c r="P74" s="45"/>
      <c r="Q74" s="279">
        <f>SUM(P74:P74)</f>
        <v>0</v>
      </c>
      <c r="R74" s="106"/>
      <c r="S74" s="106"/>
      <c r="T74" s="221"/>
      <c r="U74" s="222"/>
      <c r="V74" s="222"/>
    </row>
    <row r="75" spans="1:25" s="8" customFormat="1" ht="15.75" customHeight="1">
      <c r="A75" s="245" t="s">
        <v>94</v>
      </c>
      <c r="B75" s="199" t="s">
        <v>79</v>
      </c>
      <c r="C75" s="126">
        <f>28850+7000</f>
        <v>35850</v>
      </c>
      <c r="D75" s="126">
        <f>6790+14000</f>
        <v>20790</v>
      </c>
      <c r="E75" s="126">
        <f>14000+7000</f>
        <v>21000</v>
      </c>
      <c r="F75" s="126">
        <f>31570+12000</f>
        <v>43570</v>
      </c>
      <c r="G75" s="126">
        <v>5000</v>
      </c>
      <c r="H75" s="126">
        <v>10000</v>
      </c>
      <c r="I75" s="126">
        <v>11790</v>
      </c>
      <c r="J75" s="277"/>
      <c r="K75" s="662"/>
      <c r="L75" s="126">
        <v>2000</v>
      </c>
      <c r="M75" s="667"/>
      <c r="N75" s="126"/>
      <c r="O75" s="126">
        <f>-110000-40000</f>
        <v>-150000</v>
      </c>
      <c r="P75" s="278"/>
      <c r="Q75" s="77">
        <f aca="true" t="shared" si="4" ref="Q75:Q106">SUM(C75:P75)</f>
        <v>0</v>
      </c>
      <c r="R75" s="106"/>
      <c r="S75" s="795"/>
      <c r="T75" s="796"/>
      <c r="U75" s="797"/>
      <c r="V75" s="797"/>
      <c r="W75" s="798"/>
      <c r="X75" s="798"/>
      <c r="Y75" s="798"/>
    </row>
    <row r="76" spans="1:22" ht="12.75">
      <c r="A76" s="246" t="s">
        <v>155</v>
      </c>
      <c r="B76" s="171" t="s">
        <v>80</v>
      </c>
      <c r="C76" s="45">
        <f>12954+4041.6</f>
        <v>16995.6</v>
      </c>
      <c r="D76" s="45"/>
      <c r="E76" s="45">
        <f>12881.4+4019.04</f>
        <v>16900.44</v>
      </c>
      <c r="F76" s="45">
        <f>11936.4+4201.56</f>
        <v>16137.96</v>
      </c>
      <c r="G76" s="45">
        <f>11701.2+4118.88</f>
        <v>15820.080000000002</v>
      </c>
      <c r="H76" s="45">
        <f>12954+4041.6</f>
        <v>16995.6</v>
      </c>
      <c r="I76" s="45"/>
      <c r="J76" s="76"/>
      <c r="K76" s="663"/>
      <c r="L76" s="45"/>
      <c r="M76" s="46"/>
      <c r="N76" s="45">
        <f>-62427-20422.68</f>
        <v>-82849.68</v>
      </c>
      <c r="O76" s="45"/>
      <c r="P76" s="76"/>
      <c r="Q76" s="77">
        <f t="shared" si="4"/>
        <v>0</v>
      </c>
      <c r="R76" s="106"/>
      <c r="S76" s="106"/>
      <c r="T76" s="221"/>
      <c r="U76" s="799"/>
      <c r="V76" s="222"/>
    </row>
    <row r="77" spans="1:22" ht="15" customHeight="1">
      <c r="A77" s="223" t="s">
        <v>156</v>
      </c>
      <c r="B77" s="199" t="s">
        <v>79</v>
      </c>
      <c r="C77" s="45">
        <v>42366</v>
      </c>
      <c r="D77" s="45">
        <v>17758</v>
      </c>
      <c r="E77" s="45">
        <v>46978</v>
      </c>
      <c r="F77" s="45">
        <v>47792</v>
      </c>
      <c r="G77" s="45">
        <v>10335</v>
      </c>
      <c r="H77" s="45">
        <v>22681</v>
      </c>
      <c r="I77" s="45">
        <v>6571</v>
      </c>
      <c r="J77" s="76"/>
      <c r="K77" s="663"/>
      <c r="L77" s="45">
        <v>3370</v>
      </c>
      <c r="M77" s="46">
        <v>1641</v>
      </c>
      <c r="N77" s="45">
        <v>508</v>
      </c>
      <c r="O77" s="45"/>
      <c r="P77" s="280">
        <v>-200000</v>
      </c>
      <c r="Q77" s="76">
        <f t="shared" si="4"/>
        <v>0</v>
      </c>
      <c r="R77" s="106"/>
      <c r="S77" s="106"/>
      <c r="T77" s="221"/>
      <c r="U77" s="222"/>
      <c r="V77" s="222"/>
    </row>
    <row r="78" spans="1:20" ht="12.75">
      <c r="A78" s="9" t="s">
        <v>158</v>
      </c>
      <c r="B78" s="199" t="s">
        <v>80</v>
      </c>
      <c r="C78" s="45"/>
      <c r="D78" s="45"/>
      <c r="E78" s="45"/>
      <c r="F78" s="45"/>
      <c r="G78" s="127"/>
      <c r="H78" s="127"/>
      <c r="I78" s="127"/>
      <c r="J78" s="276"/>
      <c r="K78" s="664"/>
      <c r="L78" s="127"/>
      <c r="M78" s="668"/>
      <c r="N78" s="127"/>
      <c r="O78" s="127">
        <v>50000</v>
      </c>
      <c r="P78" s="280"/>
      <c r="Q78" s="76">
        <f t="shared" si="4"/>
        <v>50000</v>
      </c>
      <c r="R78" s="106"/>
      <c r="S78" s="106"/>
      <c r="T78" s="106"/>
    </row>
    <row r="79" spans="1:20" ht="12.75">
      <c r="A79" s="9" t="s">
        <v>158</v>
      </c>
      <c r="B79" s="199" t="s">
        <v>79</v>
      </c>
      <c r="C79" s="45"/>
      <c r="D79" s="45"/>
      <c r="E79" s="45"/>
      <c r="F79" s="45"/>
      <c r="G79" s="127"/>
      <c r="H79" s="127"/>
      <c r="I79" s="127"/>
      <c r="J79" s="276"/>
      <c r="K79" s="664"/>
      <c r="L79" s="127"/>
      <c r="M79" s="668"/>
      <c r="N79" s="127"/>
      <c r="O79" s="127">
        <v>-50000</v>
      </c>
      <c r="P79" s="280"/>
      <c r="Q79" s="76">
        <f t="shared" si="4"/>
        <v>-50000</v>
      </c>
      <c r="R79" s="106"/>
      <c r="S79" s="106"/>
      <c r="T79" s="106"/>
    </row>
    <row r="80" spans="1:20" ht="12.75" customHeight="1">
      <c r="A80" s="9" t="s">
        <v>106</v>
      </c>
      <c r="B80" s="199" t="s">
        <v>79</v>
      </c>
      <c r="C80" s="45">
        <v>4056</v>
      </c>
      <c r="D80" s="45"/>
      <c r="E80" s="45"/>
      <c r="F80" s="45">
        <v>1352</v>
      </c>
      <c r="G80" s="45">
        <v>2704</v>
      </c>
      <c r="H80" s="45"/>
      <c r="I80" s="281"/>
      <c r="J80" s="45"/>
      <c r="K80" s="660"/>
      <c r="L80" s="45"/>
      <c r="M80" s="46"/>
      <c r="N80" s="45"/>
      <c r="O80" s="45">
        <v>-8112</v>
      </c>
      <c r="P80" s="45"/>
      <c r="Q80" s="76">
        <f t="shared" si="4"/>
        <v>0</v>
      </c>
      <c r="R80" s="106"/>
      <c r="S80" s="106"/>
      <c r="T80" s="106"/>
    </row>
    <row r="81" spans="1:20" ht="12.75" customHeight="1">
      <c r="A81" s="9" t="s">
        <v>154</v>
      </c>
      <c r="B81" s="199" t="s">
        <v>79</v>
      </c>
      <c r="C81" s="45"/>
      <c r="D81" s="45"/>
      <c r="E81" s="45"/>
      <c r="F81" s="45"/>
      <c r="G81" s="45"/>
      <c r="H81" s="45">
        <v>-152000</v>
      </c>
      <c r="I81" s="281"/>
      <c r="J81" s="76"/>
      <c r="K81" s="660"/>
      <c r="L81" s="672"/>
      <c r="M81" s="46"/>
      <c r="N81" s="45">
        <v>152000</v>
      </c>
      <c r="O81" s="76"/>
      <c r="P81" s="280"/>
      <c r="Q81" s="76">
        <f t="shared" si="4"/>
        <v>0</v>
      </c>
      <c r="R81" s="106"/>
      <c r="S81" s="106"/>
      <c r="T81" s="106"/>
    </row>
    <row r="82" spans="1:20" ht="12.75" customHeight="1">
      <c r="A82" s="9" t="s">
        <v>157</v>
      </c>
      <c r="B82" s="199" t="s">
        <v>79</v>
      </c>
      <c r="C82" s="45"/>
      <c r="D82" s="45"/>
      <c r="E82" s="45"/>
      <c r="F82" s="45"/>
      <c r="G82" s="45"/>
      <c r="H82" s="45"/>
      <c r="I82" s="281"/>
      <c r="J82" s="76"/>
      <c r="K82" s="660"/>
      <c r="L82" s="672"/>
      <c r="M82" s="46"/>
      <c r="N82" s="45"/>
      <c r="O82" s="280">
        <v>-80000</v>
      </c>
      <c r="P82" s="280"/>
      <c r="Q82" s="674">
        <f t="shared" si="4"/>
        <v>-80000</v>
      </c>
      <c r="R82" s="106"/>
      <c r="S82" s="106"/>
      <c r="T82" s="106"/>
    </row>
    <row r="83" spans="1:20" ht="12.75" customHeight="1">
      <c r="A83" s="9" t="s">
        <v>157</v>
      </c>
      <c r="B83" s="199" t="s">
        <v>102</v>
      </c>
      <c r="C83" s="45"/>
      <c r="D83" s="45"/>
      <c r="E83" s="45"/>
      <c r="F83" s="45"/>
      <c r="G83" s="45"/>
      <c r="H83" s="45"/>
      <c r="I83" s="281"/>
      <c r="J83" s="76"/>
      <c r="K83" s="660"/>
      <c r="L83" s="672"/>
      <c r="M83" s="46"/>
      <c r="N83" s="45"/>
      <c r="O83" s="280">
        <v>40000</v>
      </c>
      <c r="P83" s="280"/>
      <c r="Q83" s="674">
        <f t="shared" si="4"/>
        <v>40000</v>
      </c>
      <c r="R83" s="106"/>
      <c r="S83" s="106"/>
      <c r="T83" s="106"/>
    </row>
    <row r="84" spans="1:20" ht="12.75" customHeight="1">
      <c r="A84" s="9" t="s">
        <v>157</v>
      </c>
      <c r="B84" s="199" t="s">
        <v>103</v>
      </c>
      <c r="C84" s="45"/>
      <c r="D84" s="45"/>
      <c r="E84" s="45"/>
      <c r="F84" s="45"/>
      <c r="G84" s="45"/>
      <c r="H84" s="45"/>
      <c r="I84" s="281"/>
      <c r="J84" s="76"/>
      <c r="K84" s="660"/>
      <c r="L84" s="672"/>
      <c r="M84" s="46"/>
      <c r="N84" s="45"/>
      <c r="O84" s="280">
        <v>15000</v>
      </c>
      <c r="P84" s="280"/>
      <c r="Q84" s="674">
        <f t="shared" si="4"/>
        <v>15000</v>
      </c>
      <c r="R84" s="106"/>
      <c r="S84" s="106"/>
      <c r="T84" s="106"/>
    </row>
    <row r="85" spans="1:20" ht="12.75" customHeight="1">
      <c r="A85" s="9" t="s">
        <v>157</v>
      </c>
      <c r="B85" s="199" t="s">
        <v>153</v>
      </c>
      <c r="C85" s="45"/>
      <c r="D85" s="45"/>
      <c r="E85" s="45"/>
      <c r="F85" s="45"/>
      <c r="G85" s="45"/>
      <c r="H85" s="45"/>
      <c r="I85" s="281"/>
      <c r="J85" s="76"/>
      <c r="K85" s="660"/>
      <c r="L85" s="672"/>
      <c r="M85" s="46"/>
      <c r="N85" s="45"/>
      <c r="O85" s="280">
        <v>25000</v>
      </c>
      <c r="P85" s="280"/>
      <c r="Q85" s="674">
        <f t="shared" si="4"/>
        <v>25000</v>
      </c>
      <c r="R85" s="106"/>
      <c r="S85" s="106"/>
      <c r="T85" s="106"/>
    </row>
    <row r="86" spans="1:20" ht="13.5" customHeight="1">
      <c r="A86" s="9" t="s">
        <v>30</v>
      </c>
      <c r="B86" s="199" t="s">
        <v>80</v>
      </c>
      <c r="C86" s="45">
        <v>6807</v>
      </c>
      <c r="D86" s="45"/>
      <c r="E86" s="45"/>
      <c r="F86" s="45"/>
      <c r="G86" s="45"/>
      <c r="H86" s="45"/>
      <c r="I86" s="281"/>
      <c r="J86" s="76"/>
      <c r="K86" s="663"/>
      <c r="L86" s="45">
        <v>-6807</v>
      </c>
      <c r="M86" s="46"/>
      <c r="N86" s="76"/>
      <c r="O86" s="76"/>
      <c r="P86" s="276"/>
      <c r="Q86" s="674">
        <f t="shared" si="4"/>
        <v>0</v>
      </c>
      <c r="R86" s="106"/>
      <c r="S86" s="106"/>
      <c r="T86" s="106"/>
    </row>
    <row r="87" spans="1:20" ht="15.75" customHeight="1">
      <c r="A87" s="9" t="s">
        <v>31</v>
      </c>
      <c r="B87" s="199" t="s">
        <v>80</v>
      </c>
      <c r="C87" s="45">
        <v>2396</v>
      </c>
      <c r="D87" s="45"/>
      <c r="E87" s="45"/>
      <c r="F87" s="45"/>
      <c r="G87" s="45"/>
      <c r="H87" s="281"/>
      <c r="I87" s="45"/>
      <c r="J87" s="282"/>
      <c r="K87" s="660"/>
      <c r="L87" s="45">
        <v>-2396</v>
      </c>
      <c r="M87" s="46"/>
      <c r="N87" s="45"/>
      <c r="O87" s="45"/>
      <c r="P87" s="45"/>
      <c r="Q87" s="76">
        <f t="shared" si="4"/>
        <v>0</v>
      </c>
      <c r="R87" s="106"/>
      <c r="S87" s="106"/>
      <c r="T87" s="106"/>
    </row>
    <row r="88" spans="1:20" ht="15.75" customHeight="1">
      <c r="A88" s="9" t="s">
        <v>30</v>
      </c>
      <c r="B88" s="199" t="s">
        <v>80</v>
      </c>
      <c r="C88" s="45"/>
      <c r="D88" s="45">
        <v>664</v>
      </c>
      <c r="E88" s="45"/>
      <c r="F88" s="45">
        <v>-664</v>
      </c>
      <c r="G88" s="45"/>
      <c r="H88" s="281"/>
      <c r="I88" s="45"/>
      <c r="J88" s="282"/>
      <c r="K88" s="660"/>
      <c r="L88" s="45"/>
      <c r="M88" s="46"/>
      <c r="N88" s="45"/>
      <c r="O88" s="45"/>
      <c r="P88" s="45"/>
      <c r="Q88" s="76">
        <f t="shared" si="4"/>
        <v>0</v>
      </c>
      <c r="R88" s="106"/>
      <c r="S88" s="106"/>
      <c r="T88" s="106"/>
    </row>
    <row r="89" spans="1:20" ht="15.75" customHeight="1">
      <c r="A89" s="9" t="s">
        <v>31</v>
      </c>
      <c r="B89" s="199" t="s">
        <v>80</v>
      </c>
      <c r="C89" s="45"/>
      <c r="D89" s="45">
        <v>233</v>
      </c>
      <c r="E89" s="45"/>
      <c r="F89" s="45">
        <v>-233</v>
      </c>
      <c r="G89" s="45"/>
      <c r="H89" s="281"/>
      <c r="I89" s="45"/>
      <c r="J89" s="282"/>
      <c r="K89" s="660"/>
      <c r="L89" s="45"/>
      <c r="M89" s="46"/>
      <c r="N89" s="45"/>
      <c r="O89" s="45"/>
      <c r="P89" s="45"/>
      <c r="Q89" s="76">
        <f t="shared" si="4"/>
        <v>0</v>
      </c>
      <c r="R89" s="106"/>
      <c r="S89" s="106"/>
      <c r="T89" s="106"/>
    </row>
    <row r="90" spans="1:20" ht="15.75" customHeight="1">
      <c r="A90" s="9" t="s">
        <v>30</v>
      </c>
      <c r="B90" s="199" t="s">
        <v>80</v>
      </c>
      <c r="C90" s="45">
        <v>20764</v>
      </c>
      <c r="D90" s="45"/>
      <c r="E90" s="45"/>
      <c r="F90" s="45"/>
      <c r="G90" s="45">
        <v>-20764</v>
      </c>
      <c r="H90" s="281"/>
      <c r="I90" s="45"/>
      <c r="J90" s="282"/>
      <c r="K90" s="660"/>
      <c r="L90" s="45"/>
      <c r="M90" s="46"/>
      <c r="N90" s="45"/>
      <c r="O90" s="45"/>
      <c r="P90" s="45"/>
      <c r="Q90" s="76">
        <f t="shared" si="4"/>
        <v>0</v>
      </c>
      <c r="R90" s="106"/>
      <c r="S90" s="106"/>
      <c r="T90" s="106"/>
    </row>
    <row r="91" spans="1:20" ht="15.75" customHeight="1">
      <c r="A91" s="9" t="s">
        <v>31</v>
      </c>
      <c r="B91" s="199" t="s">
        <v>80</v>
      </c>
      <c r="C91" s="45">
        <v>7310</v>
      </c>
      <c r="D91" s="45"/>
      <c r="E91" s="45"/>
      <c r="F91" s="45"/>
      <c r="G91" s="45">
        <v>-7310</v>
      </c>
      <c r="H91" s="281"/>
      <c r="I91" s="45"/>
      <c r="J91" s="282"/>
      <c r="K91" s="660"/>
      <c r="L91" s="45"/>
      <c r="M91" s="46"/>
      <c r="N91" s="45"/>
      <c r="O91" s="45"/>
      <c r="P91" s="45"/>
      <c r="Q91" s="76">
        <f t="shared" si="4"/>
        <v>0</v>
      </c>
      <c r="R91" s="106"/>
      <c r="S91" s="106"/>
      <c r="T91" s="106"/>
    </row>
    <row r="92" spans="1:20" ht="16.5" customHeight="1">
      <c r="A92" s="9" t="s">
        <v>30</v>
      </c>
      <c r="B92" s="199" t="s">
        <v>80</v>
      </c>
      <c r="C92" s="45">
        <v>914</v>
      </c>
      <c r="D92" s="45"/>
      <c r="E92" s="45"/>
      <c r="F92" s="45">
        <v>-914</v>
      </c>
      <c r="G92" s="45"/>
      <c r="H92" s="281"/>
      <c r="I92" s="45"/>
      <c r="J92" s="282"/>
      <c r="K92" s="660"/>
      <c r="L92" s="45"/>
      <c r="M92" s="46"/>
      <c r="N92" s="45"/>
      <c r="O92" s="45"/>
      <c r="P92" s="45"/>
      <c r="Q92" s="76">
        <f t="shared" si="4"/>
        <v>0</v>
      </c>
      <c r="R92" s="106"/>
      <c r="S92" s="106"/>
      <c r="T92" s="106"/>
    </row>
    <row r="93" spans="1:20" ht="15.75" customHeight="1">
      <c r="A93" s="9" t="s">
        <v>31</v>
      </c>
      <c r="B93" s="199" t="s">
        <v>80</v>
      </c>
      <c r="C93" s="45">
        <v>321</v>
      </c>
      <c r="D93" s="45"/>
      <c r="E93" s="45"/>
      <c r="F93" s="45">
        <v>-321</v>
      </c>
      <c r="G93" s="45"/>
      <c r="H93" s="281"/>
      <c r="I93" s="45"/>
      <c r="J93" s="282"/>
      <c r="K93" s="660"/>
      <c r="L93" s="45"/>
      <c r="M93" s="46"/>
      <c r="N93" s="45"/>
      <c r="O93" s="45"/>
      <c r="P93" s="45"/>
      <c r="Q93" s="76">
        <f t="shared" si="4"/>
        <v>0</v>
      </c>
      <c r="R93" s="106"/>
      <c r="S93" s="106"/>
      <c r="T93" s="106"/>
    </row>
    <row r="94" spans="1:20" ht="15.75" customHeight="1">
      <c r="A94" s="9" t="s">
        <v>30</v>
      </c>
      <c r="B94" s="199" t="s">
        <v>80</v>
      </c>
      <c r="C94" s="45"/>
      <c r="D94" s="45">
        <v>9375</v>
      </c>
      <c r="E94" s="45"/>
      <c r="F94" s="45"/>
      <c r="G94" s="45">
        <v>-9375</v>
      </c>
      <c r="H94" s="281"/>
      <c r="I94" s="45"/>
      <c r="J94" s="282"/>
      <c r="K94" s="660"/>
      <c r="L94" s="45"/>
      <c r="M94" s="46"/>
      <c r="N94" s="45"/>
      <c r="O94" s="45"/>
      <c r="P94" s="45"/>
      <c r="Q94" s="76">
        <f t="shared" si="4"/>
        <v>0</v>
      </c>
      <c r="R94" s="106"/>
      <c r="S94" s="106"/>
      <c r="T94" s="106"/>
    </row>
    <row r="95" spans="1:20" ht="15.75" customHeight="1">
      <c r="A95" s="9" t="s">
        <v>31</v>
      </c>
      <c r="B95" s="199" t="s">
        <v>80</v>
      </c>
      <c r="C95" s="45"/>
      <c r="D95" s="45">
        <v>3300</v>
      </c>
      <c r="E95" s="45"/>
      <c r="F95" s="45"/>
      <c r="G95" s="45">
        <v>-3300</v>
      </c>
      <c r="H95" s="281"/>
      <c r="I95" s="45"/>
      <c r="J95" s="282"/>
      <c r="K95" s="660"/>
      <c r="L95" s="45"/>
      <c r="M95" s="46"/>
      <c r="N95" s="45"/>
      <c r="O95" s="45"/>
      <c r="P95" s="45"/>
      <c r="Q95" s="76">
        <f t="shared" si="4"/>
        <v>0</v>
      </c>
      <c r="R95" s="106"/>
      <c r="S95" s="106"/>
      <c r="T95" s="106"/>
    </row>
    <row r="96" spans="1:20" ht="15.75" customHeight="1">
      <c r="A96" s="9" t="s">
        <v>30</v>
      </c>
      <c r="B96" s="199" t="s">
        <v>80</v>
      </c>
      <c r="C96" s="45">
        <v>1250</v>
      </c>
      <c r="D96" s="45">
        <v>-1250</v>
      </c>
      <c r="E96" s="45"/>
      <c r="F96" s="45"/>
      <c r="G96" s="45"/>
      <c r="H96" s="281"/>
      <c r="I96" s="45"/>
      <c r="J96" s="282"/>
      <c r="K96" s="660"/>
      <c r="L96" s="45"/>
      <c r="M96" s="46"/>
      <c r="N96" s="45"/>
      <c r="O96" s="45"/>
      <c r="P96" s="45"/>
      <c r="Q96" s="76">
        <f t="shared" si="4"/>
        <v>0</v>
      </c>
      <c r="R96" s="106"/>
      <c r="S96" s="106"/>
      <c r="T96" s="106"/>
    </row>
    <row r="97" spans="1:20" ht="15.75" customHeight="1">
      <c r="A97" s="9" t="s">
        <v>31</v>
      </c>
      <c r="B97" s="199" t="s">
        <v>80</v>
      </c>
      <c r="C97" s="45">
        <v>440</v>
      </c>
      <c r="D97" s="45">
        <v>-440</v>
      </c>
      <c r="E97" s="45"/>
      <c r="F97" s="45"/>
      <c r="G97" s="45"/>
      <c r="H97" s="281"/>
      <c r="I97" s="45"/>
      <c r="J97" s="282"/>
      <c r="K97" s="660"/>
      <c r="L97" s="45"/>
      <c r="M97" s="46"/>
      <c r="N97" s="45"/>
      <c r="O97" s="45"/>
      <c r="P97" s="45"/>
      <c r="Q97" s="76">
        <f t="shared" si="4"/>
        <v>0</v>
      </c>
      <c r="R97" s="106"/>
      <c r="S97" s="106"/>
      <c r="T97" s="106"/>
    </row>
    <row r="98" spans="1:25" s="2" customFormat="1" ht="15.75" customHeight="1">
      <c r="A98" s="9" t="s">
        <v>30</v>
      </c>
      <c r="B98" s="199" t="s">
        <v>80</v>
      </c>
      <c r="C98" s="45"/>
      <c r="D98" s="45">
        <v>-1183</v>
      </c>
      <c r="E98" s="45">
        <v>1183</v>
      </c>
      <c r="F98" s="126"/>
      <c r="G98" s="126"/>
      <c r="H98" s="281"/>
      <c r="I98" s="45"/>
      <c r="J98" s="45"/>
      <c r="K98" s="660"/>
      <c r="L98" s="45"/>
      <c r="M98" s="46"/>
      <c r="N98" s="45"/>
      <c r="O98" s="45"/>
      <c r="P98" s="45"/>
      <c r="Q98" s="76">
        <f t="shared" si="4"/>
        <v>0</v>
      </c>
      <c r="R98" s="106"/>
      <c r="S98" s="106"/>
      <c r="T98" s="106"/>
      <c r="U98" s="794"/>
      <c r="V98" s="794"/>
      <c r="W98" s="794"/>
      <c r="X98" s="794"/>
      <c r="Y98" s="794"/>
    </row>
    <row r="99" spans="1:25" s="2" customFormat="1" ht="15.75" customHeight="1">
      <c r="A99" s="9" t="s">
        <v>31</v>
      </c>
      <c r="B99" s="199" t="s">
        <v>80</v>
      </c>
      <c r="C99" s="45"/>
      <c r="D99" s="45">
        <v>-416</v>
      </c>
      <c r="E99" s="45">
        <v>416</v>
      </c>
      <c r="F99" s="126"/>
      <c r="G99" s="126"/>
      <c r="H99" s="281"/>
      <c r="I99" s="45"/>
      <c r="J99" s="45"/>
      <c r="K99" s="660"/>
      <c r="L99" s="45"/>
      <c r="M99" s="46"/>
      <c r="N99" s="45"/>
      <c r="O99" s="45"/>
      <c r="P99" s="45"/>
      <c r="Q99" s="76">
        <f t="shared" si="4"/>
        <v>0</v>
      </c>
      <c r="R99" s="106"/>
      <c r="S99" s="106"/>
      <c r="T99" s="106"/>
      <c r="U99" s="794"/>
      <c r="V99" s="794"/>
      <c r="W99" s="794"/>
      <c r="X99" s="794"/>
      <c r="Y99" s="794"/>
    </row>
    <row r="100" spans="1:20" ht="15.75" customHeight="1">
      <c r="A100" s="9" t="s">
        <v>30</v>
      </c>
      <c r="B100" s="199" t="s">
        <v>80</v>
      </c>
      <c r="C100" s="45"/>
      <c r="D100" s="45">
        <v>1577</v>
      </c>
      <c r="E100" s="45"/>
      <c r="F100" s="45"/>
      <c r="G100" s="45"/>
      <c r="H100" s="281"/>
      <c r="I100" s="45"/>
      <c r="J100" s="45"/>
      <c r="K100" s="660"/>
      <c r="L100" s="45">
        <v>-1577</v>
      </c>
      <c r="M100" s="46"/>
      <c r="N100" s="45"/>
      <c r="O100" s="45"/>
      <c r="P100" s="45"/>
      <c r="Q100" s="76">
        <f t="shared" si="4"/>
        <v>0</v>
      </c>
      <c r="R100" s="106"/>
      <c r="S100" s="106"/>
      <c r="T100" s="106"/>
    </row>
    <row r="101" spans="1:20" ht="15.75" customHeight="1">
      <c r="A101" s="9" t="s">
        <v>31</v>
      </c>
      <c r="B101" s="199" t="s">
        <v>80</v>
      </c>
      <c r="C101" s="45"/>
      <c r="D101" s="45">
        <v>555</v>
      </c>
      <c r="E101" s="45"/>
      <c r="F101" s="45"/>
      <c r="G101" s="45"/>
      <c r="H101" s="281"/>
      <c r="I101" s="45"/>
      <c r="J101" s="45"/>
      <c r="K101" s="660"/>
      <c r="L101" s="45">
        <v>-555</v>
      </c>
      <c r="M101" s="46"/>
      <c r="N101" s="45"/>
      <c r="O101" s="45"/>
      <c r="P101" s="45"/>
      <c r="Q101" s="76">
        <f t="shared" si="4"/>
        <v>0</v>
      </c>
      <c r="R101" s="106"/>
      <c r="S101" s="106"/>
      <c r="T101" s="106"/>
    </row>
    <row r="102" spans="1:20" ht="15.75" customHeight="1">
      <c r="A102" s="9" t="s">
        <v>30</v>
      </c>
      <c r="B102" s="199" t="s">
        <v>80</v>
      </c>
      <c r="C102" s="45"/>
      <c r="D102" s="45">
        <v>2587</v>
      </c>
      <c r="E102" s="45"/>
      <c r="F102" s="45"/>
      <c r="G102" s="45"/>
      <c r="H102" s="281"/>
      <c r="I102" s="45"/>
      <c r="J102" s="45"/>
      <c r="K102" s="660"/>
      <c r="L102" s="45">
        <v>-2587</v>
      </c>
      <c r="M102" s="46"/>
      <c r="N102" s="45"/>
      <c r="O102" s="45"/>
      <c r="P102" s="45"/>
      <c r="Q102" s="76">
        <f t="shared" si="4"/>
        <v>0</v>
      </c>
      <c r="R102" s="106"/>
      <c r="S102" s="106"/>
      <c r="T102" s="106"/>
    </row>
    <row r="103" spans="1:20" ht="15.75" customHeight="1">
      <c r="A103" s="9" t="s">
        <v>31</v>
      </c>
      <c r="B103" s="199" t="s">
        <v>80</v>
      </c>
      <c r="C103" s="45"/>
      <c r="D103" s="45">
        <v>910</v>
      </c>
      <c r="E103" s="45"/>
      <c r="F103" s="45"/>
      <c r="G103" s="45"/>
      <c r="H103" s="281"/>
      <c r="I103" s="45"/>
      <c r="J103" s="45"/>
      <c r="K103" s="660"/>
      <c r="L103" s="45">
        <v>-910</v>
      </c>
      <c r="M103" s="46"/>
      <c r="N103" s="45"/>
      <c r="O103" s="45"/>
      <c r="P103" s="45"/>
      <c r="Q103" s="76">
        <f t="shared" si="4"/>
        <v>0</v>
      </c>
      <c r="R103" s="106"/>
      <c r="S103" s="106"/>
      <c r="T103" s="106"/>
    </row>
    <row r="104" spans="1:20" ht="15.75" customHeight="1">
      <c r="A104" s="9" t="s">
        <v>30</v>
      </c>
      <c r="B104" s="199" t="s">
        <v>80</v>
      </c>
      <c r="C104" s="45"/>
      <c r="D104" s="45"/>
      <c r="E104" s="45"/>
      <c r="F104" s="45">
        <v>-29200</v>
      </c>
      <c r="G104" s="45"/>
      <c r="H104" s="281"/>
      <c r="I104" s="45"/>
      <c r="J104" s="45"/>
      <c r="K104" s="660"/>
      <c r="L104" s="45">
        <v>29200</v>
      </c>
      <c r="M104" s="46"/>
      <c r="N104" s="45"/>
      <c r="O104" s="45"/>
      <c r="P104" s="45"/>
      <c r="Q104" s="76">
        <f t="shared" si="4"/>
        <v>0</v>
      </c>
      <c r="R104" s="106"/>
      <c r="S104" s="106"/>
      <c r="T104" s="106"/>
    </row>
    <row r="105" spans="1:20" ht="15.75" customHeight="1">
      <c r="A105" s="9" t="s">
        <v>31</v>
      </c>
      <c r="B105" s="199" t="s">
        <v>80</v>
      </c>
      <c r="C105" s="45"/>
      <c r="D105" s="45"/>
      <c r="E105" s="45"/>
      <c r="F105" s="45">
        <v>-10278</v>
      </c>
      <c r="G105" s="45"/>
      <c r="H105" s="281"/>
      <c r="I105" s="45"/>
      <c r="J105" s="45"/>
      <c r="K105" s="660"/>
      <c r="L105" s="45">
        <v>10278</v>
      </c>
      <c r="M105" s="46"/>
      <c r="N105" s="45"/>
      <c r="O105" s="45"/>
      <c r="P105" s="45"/>
      <c r="Q105" s="76">
        <f t="shared" si="4"/>
        <v>0</v>
      </c>
      <c r="R105" s="106"/>
      <c r="S105" s="106"/>
      <c r="T105" s="106"/>
    </row>
    <row r="106" spans="1:20" ht="15.75" customHeight="1">
      <c r="A106" s="9" t="s">
        <v>30</v>
      </c>
      <c r="B106" s="199" t="s">
        <v>80</v>
      </c>
      <c r="C106" s="45"/>
      <c r="D106" s="45"/>
      <c r="E106" s="45"/>
      <c r="F106" s="45"/>
      <c r="G106" s="45"/>
      <c r="H106" s="281"/>
      <c r="I106" s="660">
        <v>-2470</v>
      </c>
      <c r="J106" s="45"/>
      <c r="K106" s="660"/>
      <c r="L106" s="45">
        <v>2470</v>
      </c>
      <c r="M106" s="46"/>
      <c r="N106" s="45"/>
      <c r="O106" s="45"/>
      <c r="P106" s="45"/>
      <c r="Q106" s="76">
        <f t="shared" si="4"/>
        <v>0</v>
      </c>
      <c r="R106" s="106"/>
      <c r="S106" s="106"/>
      <c r="T106" s="106"/>
    </row>
    <row r="107" spans="1:20" ht="15.75" customHeight="1">
      <c r="A107" s="9" t="s">
        <v>31</v>
      </c>
      <c r="B107" s="199" t="s">
        <v>80</v>
      </c>
      <c r="C107" s="45"/>
      <c r="D107" s="45"/>
      <c r="E107" s="45"/>
      <c r="F107" s="45"/>
      <c r="G107" s="45"/>
      <c r="H107" s="281"/>
      <c r="I107" s="660">
        <v>-869</v>
      </c>
      <c r="J107" s="45"/>
      <c r="K107" s="660"/>
      <c r="L107" s="45">
        <v>869</v>
      </c>
      <c r="M107" s="46"/>
      <c r="N107" s="45"/>
      <c r="O107" s="45"/>
      <c r="P107" s="45"/>
      <c r="Q107" s="76">
        <f aca="true" t="shared" si="5" ref="Q107:Q127">SUM(C107:P107)</f>
        <v>0</v>
      </c>
      <c r="R107" s="106"/>
      <c r="S107" s="106"/>
      <c r="T107" s="106"/>
    </row>
    <row r="108" spans="1:20" ht="15.75" customHeight="1">
      <c r="A108" s="9" t="s">
        <v>152</v>
      </c>
      <c r="B108" s="199" t="s">
        <v>79</v>
      </c>
      <c r="C108" s="45"/>
      <c r="D108" s="45"/>
      <c r="E108" s="45"/>
      <c r="F108" s="45"/>
      <c r="G108" s="45"/>
      <c r="H108" s="281"/>
      <c r="I108" s="45"/>
      <c r="J108" s="45"/>
      <c r="K108" s="660"/>
      <c r="L108" s="45"/>
      <c r="M108" s="46"/>
      <c r="N108" s="45"/>
      <c r="O108" s="45">
        <v>-126000</v>
      </c>
      <c r="P108" s="45"/>
      <c r="Q108" s="76">
        <f t="shared" si="5"/>
        <v>-126000</v>
      </c>
      <c r="R108" s="106"/>
      <c r="S108" s="106"/>
      <c r="T108" s="106"/>
    </row>
    <row r="109" spans="1:20" ht="15.75" customHeight="1">
      <c r="A109" s="9" t="s">
        <v>152</v>
      </c>
      <c r="B109" s="199" t="s">
        <v>102</v>
      </c>
      <c r="C109" s="45"/>
      <c r="D109" s="45"/>
      <c r="E109" s="45"/>
      <c r="F109" s="45"/>
      <c r="G109" s="45"/>
      <c r="H109" s="281"/>
      <c r="I109" s="45"/>
      <c r="J109" s="45"/>
      <c r="K109" s="660"/>
      <c r="L109" s="45"/>
      <c r="M109" s="46"/>
      <c r="N109" s="45"/>
      <c r="O109" s="45">
        <v>38000</v>
      </c>
      <c r="P109" s="45"/>
      <c r="Q109" s="76">
        <f t="shared" si="5"/>
        <v>38000</v>
      </c>
      <c r="R109" s="106"/>
      <c r="S109" s="106"/>
      <c r="T109" s="106"/>
    </row>
    <row r="110" spans="1:20" ht="15.75" customHeight="1">
      <c r="A110" s="9" t="s">
        <v>152</v>
      </c>
      <c r="B110" s="199" t="s">
        <v>103</v>
      </c>
      <c r="C110" s="45"/>
      <c r="D110" s="45"/>
      <c r="E110" s="45"/>
      <c r="F110" s="45"/>
      <c r="G110" s="45"/>
      <c r="H110" s="281"/>
      <c r="I110" s="45"/>
      <c r="J110" s="45"/>
      <c r="K110" s="660"/>
      <c r="L110" s="45"/>
      <c r="M110" s="46"/>
      <c r="N110" s="45"/>
      <c r="O110" s="45">
        <v>13000</v>
      </c>
      <c r="P110" s="45"/>
      <c r="Q110" s="76">
        <f t="shared" si="5"/>
        <v>13000</v>
      </c>
      <c r="R110" s="106"/>
      <c r="S110" s="106"/>
      <c r="T110" s="106"/>
    </row>
    <row r="111" spans="1:20" ht="15.75" customHeight="1">
      <c r="A111" s="9" t="s">
        <v>152</v>
      </c>
      <c r="B111" s="199" t="s">
        <v>153</v>
      </c>
      <c r="C111" s="45"/>
      <c r="D111" s="45"/>
      <c r="E111" s="45"/>
      <c r="F111" s="45"/>
      <c r="G111" s="45"/>
      <c r="H111" s="281"/>
      <c r="I111" s="45"/>
      <c r="J111" s="45"/>
      <c r="K111" s="660"/>
      <c r="L111" s="45"/>
      <c r="M111" s="46"/>
      <c r="N111" s="45"/>
      <c r="O111" s="45">
        <v>75000</v>
      </c>
      <c r="P111" s="45"/>
      <c r="Q111" s="76">
        <f t="shared" si="5"/>
        <v>75000</v>
      </c>
      <c r="R111" s="106"/>
      <c r="S111" s="106"/>
      <c r="T111" s="106"/>
    </row>
    <row r="112" spans="1:20" ht="25.5">
      <c r="A112" s="9" t="s">
        <v>111</v>
      </c>
      <c r="B112" s="199" t="s">
        <v>79</v>
      </c>
      <c r="C112" s="45">
        <f>300+106+30+11</f>
        <v>447</v>
      </c>
      <c r="D112" s="45">
        <f>136+758+300+106+200+71+1300+458+170+60+1196.31+422</f>
        <v>5177.3099999999995</v>
      </c>
      <c r="E112" s="45">
        <f>136+406+300+106+100+36+200+71</f>
        <v>1355</v>
      </c>
      <c r="F112" s="45">
        <f>406+68+300+106+300+106+300+106+300+106</f>
        <v>2098</v>
      </c>
      <c r="G112" s="45"/>
      <c r="H112" s="281">
        <f>1623+2434+1352+600+212+600+212+400+141+100+36+300+106+800+282</f>
        <v>9198</v>
      </c>
      <c r="I112" s="45">
        <f>55+3.69+2</f>
        <v>60.69</v>
      </c>
      <c r="J112" s="45"/>
      <c r="K112" s="660"/>
      <c r="L112" s="45"/>
      <c r="M112" s="46"/>
      <c r="N112" s="45"/>
      <c r="O112" s="45">
        <f>-2165-2638-2571-600-212-1400-495-2300-812-1000-353-300-107-300-106-2200-777</f>
        <v>-18336</v>
      </c>
      <c r="P112" s="45"/>
      <c r="Q112" s="76">
        <f t="shared" si="5"/>
        <v>0</v>
      </c>
      <c r="R112" s="106"/>
      <c r="S112" s="106"/>
      <c r="T112" s="106"/>
    </row>
    <row r="113" spans="1:20" ht="12.75">
      <c r="A113" s="648" t="s">
        <v>173</v>
      </c>
      <c r="B113" s="645" t="s">
        <v>79</v>
      </c>
      <c r="C113" s="646"/>
      <c r="D113" s="646"/>
      <c r="E113" s="646"/>
      <c r="F113" s="646"/>
      <c r="G113" s="646"/>
      <c r="H113" s="281"/>
      <c r="I113" s="646"/>
      <c r="J113" s="646"/>
      <c r="K113" s="661"/>
      <c r="L113" s="646"/>
      <c r="M113" s="666"/>
      <c r="N113" s="646">
        <v>-22000</v>
      </c>
      <c r="O113" s="646">
        <v>22000</v>
      </c>
      <c r="P113" s="45"/>
      <c r="Q113" s="76">
        <f t="shared" si="5"/>
        <v>0</v>
      </c>
      <c r="R113" s="106"/>
      <c r="S113" s="106"/>
      <c r="T113" s="106"/>
    </row>
    <row r="114" spans="1:25" s="10" customFormat="1" ht="12.75">
      <c r="A114" s="11" t="s">
        <v>96</v>
      </c>
      <c r="B114" s="199" t="s">
        <v>80</v>
      </c>
      <c r="C114" s="13">
        <v>1400000</v>
      </c>
      <c r="D114" s="13">
        <v>844752</v>
      </c>
      <c r="E114" s="145">
        <v>1486686</v>
      </c>
      <c r="F114" s="45">
        <v>665907.56</v>
      </c>
      <c r="G114" s="45"/>
      <c r="H114" s="45">
        <v>335000</v>
      </c>
      <c r="I114" s="13"/>
      <c r="J114" s="13"/>
      <c r="K114" s="158"/>
      <c r="L114" s="13">
        <v>174000</v>
      </c>
      <c r="M114" s="47"/>
      <c r="N114" s="13">
        <v>650000</v>
      </c>
      <c r="O114" s="13"/>
      <c r="P114" s="123"/>
      <c r="Q114" s="283">
        <f t="shared" si="5"/>
        <v>5556345.5600000005</v>
      </c>
      <c r="R114" s="106"/>
      <c r="S114" s="106"/>
      <c r="T114" s="106"/>
      <c r="U114" s="800"/>
      <c r="V114" s="800"/>
      <c r="W114" s="800"/>
      <c r="X114" s="800"/>
      <c r="Y114" s="800"/>
    </row>
    <row r="115" spans="1:25" s="10" customFormat="1" ht="14.25" customHeight="1">
      <c r="A115" s="11" t="s">
        <v>32</v>
      </c>
      <c r="B115" s="200" t="s">
        <v>80</v>
      </c>
      <c r="C115" s="13">
        <v>492800</v>
      </c>
      <c r="D115" s="13">
        <v>297352</v>
      </c>
      <c r="E115" s="13">
        <v>523314</v>
      </c>
      <c r="F115" s="13">
        <v>332888.44</v>
      </c>
      <c r="G115" s="13"/>
      <c r="H115" s="13">
        <v>180000</v>
      </c>
      <c r="I115" s="13"/>
      <c r="J115" s="13"/>
      <c r="K115" s="158"/>
      <c r="L115" s="13">
        <v>61000</v>
      </c>
      <c r="M115" s="47"/>
      <c r="N115" s="13">
        <v>210000</v>
      </c>
      <c r="O115" s="13"/>
      <c r="P115" s="123"/>
      <c r="Q115" s="283">
        <f t="shared" si="5"/>
        <v>2097354.44</v>
      </c>
      <c r="R115" s="106"/>
      <c r="S115" s="106"/>
      <c r="T115" s="106"/>
      <c r="U115" s="800"/>
      <c r="V115" s="800"/>
      <c r="W115" s="800"/>
      <c r="X115" s="800"/>
      <c r="Y115" s="800"/>
    </row>
    <row r="116" spans="1:25" s="10" customFormat="1" ht="14.25" customHeight="1">
      <c r="A116" s="11" t="s">
        <v>62</v>
      </c>
      <c r="B116" s="199" t="s">
        <v>80</v>
      </c>
      <c r="C116" s="13"/>
      <c r="D116" s="13">
        <v>13000</v>
      </c>
      <c r="E116" s="13">
        <f>35000</f>
        <v>35000</v>
      </c>
      <c r="F116" s="13">
        <v>576399</v>
      </c>
      <c r="G116" s="13"/>
      <c r="H116" s="13">
        <v>0</v>
      </c>
      <c r="I116" s="13"/>
      <c r="J116" s="13"/>
      <c r="K116" s="158"/>
      <c r="L116" s="13">
        <v>-8000</v>
      </c>
      <c r="M116" s="47"/>
      <c r="N116" s="13"/>
      <c r="O116" s="13"/>
      <c r="P116" s="123"/>
      <c r="Q116" s="283">
        <f t="shared" si="5"/>
        <v>616399</v>
      </c>
      <c r="R116" s="106"/>
      <c r="S116" s="106"/>
      <c r="T116" s="106"/>
      <c r="U116" s="800"/>
      <c r="V116" s="800"/>
      <c r="W116" s="800"/>
      <c r="X116" s="800"/>
      <c r="Y116" s="800"/>
    </row>
    <row r="117" spans="1:25" s="10" customFormat="1" ht="14.25" customHeight="1">
      <c r="A117" s="11" t="s">
        <v>97</v>
      </c>
      <c r="B117" s="200" t="s">
        <v>79</v>
      </c>
      <c r="C117" s="13">
        <f>-1400000-492800</f>
        <v>-1892800</v>
      </c>
      <c r="D117" s="13">
        <f>-1142104-13000</f>
        <v>-1155104</v>
      </c>
      <c r="E117" s="13">
        <f>-2010000-35000</f>
        <v>-2045000</v>
      </c>
      <c r="F117" s="13">
        <v>-1575195</v>
      </c>
      <c r="G117" s="13"/>
      <c r="H117" s="13">
        <v>-515000</v>
      </c>
      <c r="I117" s="13"/>
      <c r="J117" s="13"/>
      <c r="K117" s="158"/>
      <c r="L117" s="13">
        <v>-227000</v>
      </c>
      <c r="M117" s="47"/>
      <c r="N117" s="13">
        <v>-860000</v>
      </c>
      <c r="O117" s="13"/>
      <c r="P117" s="123"/>
      <c r="Q117" s="283">
        <f t="shared" si="5"/>
        <v>-8270099</v>
      </c>
      <c r="R117" s="106"/>
      <c r="S117" s="106"/>
      <c r="T117" s="106"/>
      <c r="U117" s="800"/>
      <c r="V117" s="800"/>
      <c r="W117" s="800"/>
      <c r="X117" s="800"/>
      <c r="Y117" s="800"/>
    </row>
    <row r="118" spans="1:25" s="10" customFormat="1" ht="25.5" customHeight="1">
      <c r="A118" s="9" t="s">
        <v>186</v>
      </c>
      <c r="B118" s="199" t="s">
        <v>80</v>
      </c>
      <c r="C118" s="13">
        <v>-3439.74</v>
      </c>
      <c r="D118" s="13"/>
      <c r="E118" s="13"/>
      <c r="F118" s="13"/>
      <c r="G118" s="13"/>
      <c r="H118" s="13"/>
      <c r="I118" s="13"/>
      <c r="J118" s="13"/>
      <c r="K118" s="158"/>
      <c r="L118" s="284"/>
      <c r="M118" s="669"/>
      <c r="N118" s="13">
        <v>3439.74</v>
      </c>
      <c r="O118" s="284"/>
      <c r="P118" s="123"/>
      <c r="Q118" s="283">
        <f t="shared" si="5"/>
        <v>0</v>
      </c>
      <c r="R118" s="106"/>
      <c r="S118" s="106"/>
      <c r="T118" s="106"/>
      <c r="U118" s="800"/>
      <c r="V118" s="800"/>
      <c r="W118" s="800"/>
      <c r="X118" s="800"/>
      <c r="Y118" s="800"/>
    </row>
    <row r="119" spans="1:25" s="10" customFormat="1" ht="12.75">
      <c r="A119" s="11" t="s">
        <v>100</v>
      </c>
      <c r="B119" s="201" t="s">
        <v>79</v>
      </c>
      <c r="C119" s="45">
        <f>1500+2000</f>
        <v>3500</v>
      </c>
      <c r="D119" s="45">
        <v>2300</v>
      </c>
      <c r="E119" s="45">
        <f>1500+1400</f>
        <v>2900</v>
      </c>
      <c r="F119" s="45">
        <f>1500+1400</f>
        <v>2900</v>
      </c>
      <c r="G119" s="45">
        <f>1500+1400</f>
        <v>2900</v>
      </c>
      <c r="H119" s="45">
        <f>1500+1400</f>
        <v>2900</v>
      </c>
      <c r="I119" s="281">
        <v>600</v>
      </c>
      <c r="J119" s="45"/>
      <c r="K119" s="660"/>
      <c r="L119" s="45"/>
      <c r="M119" s="46"/>
      <c r="N119" s="45">
        <v>300</v>
      </c>
      <c r="O119" s="45">
        <f>-7500-10800</f>
        <v>-18300</v>
      </c>
      <c r="P119" s="45"/>
      <c r="Q119" s="283">
        <f t="shared" si="5"/>
        <v>0</v>
      </c>
      <c r="R119" s="106"/>
      <c r="S119" s="106"/>
      <c r="T119" s="106"/>
      <c r="U119" s="800"/>
      <c r="V119" s="800"/>
      <c r="W119" s="800"/>
      <c r="X119" s="800"/>
      <c r="Y119" s="800"/>
    </row>
    <row r="120" spans="1:25" s="10" customFormat="1" ht="12.75">
      <c r="A120" s="11" t="s">
        <v>101</v>
      </c>
      <c r="B120" s="201" t="s">
        <v>79</v>
      </c>
      <c r="C120" s="45">
        <f>528+704</f>
        <v>1232</v>
      </c>
      <c r="D120" s="45">
        <v>810</v>
      </c>
      <c r="E120" s="45">
        <f>528+493</f>
        <v>1021</v>
      </c>
      <c r="F120" s="45">
        <f>528+493</f>
        <v>1021</v>
      </c>
      <c r="G120" s="45">
        <f>528+493</f>
        <v>1021</v>
      </c>
      <c r="H120" s="45">
        <f>528+493</f>
        <v>1021</v>
      </c>
      <c r="I120" s="281">
        <v>212</v>
      </c>
      <c r="J120" s="76"/>
      <c r="K120" s="660"/>
      <c r="L120" s="45"/>
      <c r="M120" s="46"/>
      <c r="N120" s="280">
        <v>106</v>
      </c>
      <c r="O120" s="45">
        <f>-2640-3804</f>
        <v>-6444</v>
      </c>
      <c r="P120" s="45"/>
      <c r="Q120" s="283">
        <f t="shared" si="5"/>
        <v>0</v>
      </c>
      <c r="R120" s="106"/>
      <c r="S120" s="106"/>
      <c r="T120" s="106"/>
      <c r="U120" s="800"/>
      <c r="V120" s="800"/>
      <c r="W120" s="800"/>
      <c r="X120" s="800"/>
      <c r="Y120" s="800"/>
    </row>
    <row r="121" spans="1:25" s="10" customFormat="1" ht="14.25" customHeight="1">
      <c r="A121" s="12" t="s">
        <v>60</v>
      </c>
      <c r="B121" s="200" t="s">
        <v>80</v>
      </c>
      <c r="C121" s="13">
        <f>2000+1500+3000</f>
        <v>6500</v>
      </c>
      <c r="D121" s="13">
        <f>2000+1000</f>
        <v>3000</v>
      </c>
      <c r="E121" s="13">
        <f>2000+2000</f>
        <v>4000</v>
      </c>
      <c r="F121" s="13">
        <f>2000+1000+2000</f>
        <v>5000</v>
      </c>
      <c r="G121" s="13">
        <f>2000+1000+2000+1000</f>
        <v>6000</v>
      </c>
      <c r="H121" s="13">
        <f>2000+1000+2000</f>
        <v>5000</v>
      </c>
      <c r="I121" s="13"/>
      <c r="J121" s="13"/>
      <c r="K121" s="158"/>
      <c r="L121" s="13"/>
      <c r="M121" s="47"/>
      <c r="N121" s="13">
        <f>9130+9500</f>
        <v>18630</v>
      </c>
      <c r="O121" s="13">
        <f>-12000-6000-2000-14630-13500</f>
        <v>-48130</v>
      </c>
      <c r="P121" s="13"/>
      <c r="Q121" s="283">
        <f t="shared" si="5"/>
        <v>0</v>
      </c>
      <c r="R121" s="106"/>
      <c r="S121" s="106"/>
      <c r="T121" s="106"/>
      <c r="U121" s="800"/>
      <c r="V121" s="800"/>
      <c r="W121" s="800"/>
      <c r="X121" s="800"/>
      <c r="Y121" s="800"/>
    </row>
    <row r="122" spans="1:25" s="10" customFormat="1" ht="14.25" customHeight="1">
      <c r="A122" s="12" t="s">
        <v>33</v>
      </c>
      <c r="B122" s="200" t="s">
        <v>80</v>
      </c>
      <c r="C122" s="13">
        <f>704+528+1056</f>
        <v>2288</v>
      </c>
      <c r="D122" s="13">
        <f>704+352</f>
        <v>1056</v>
      </c>
      <c r="E122" s="13">
        <f>704+704</f>
        <v>1408</v>
      </c>
      <c r="F122" s="13">
        <f>704+352+704</f>
        <v>1760</v>
      </c>
      <c r="G122" s="13">
        <f>704+352+704+352</f>
        <v>2112</v>
      </c>
      <c r="H122" s="13">
        <f>704+352+704</f>
        <v>1760</v>
      </c>
      <c r="I122" s="13"/>
      <c r="J122" s="13"/>
      <c r="K122" s="158"/>
      <c r="L122" s="13"/>
      <c r="M122" s="47"/>
      <c r="N122" s="13">
        <f>3214+3344</f>
        <v>6558</v>
      </c>
      <c r="O122" s="13">
        <f>-4224-2112-704-5150-4752</f>
        <v>-16942</v>
      </c>
      <c r="P122" s="13"/>
      <c r="Q122" s="283">
        <f t="shared" si="5"/>
        <v>0</v>
      </c>
      <c r="R122" s="106"/>
      <c r="S122" s="106"/>
      <c r="T122" s="106"/>
      <c r="U122" s="800"/>
      <c r="V122" s="800"/>
      <c r="W122" s="800"/>
      <c r="X122" s="800"/>
      <c r="Y122" s="800"/>
    </row>
    <row r="123" spans="1:25" s="10" customFormat="1" ht="14.25" customHeight="1">
      <c r="A123" s="135" t="s">
        <v>176</v>
      </c>
      <c r="B123" s="200" t="s">
        <v>80</v>
      </c>
      <c r="C123" s="13">
        <v>1493</v>
      </c>
      <c r="D123" s="13">
        <v>459</v>
      </c>
      <c r="E123" s="13">
        <v>230</v>
      </c>
      <c r="F123" s="13">
        <v>1330</v>
      </c>
      <c r="G123" s="13">
        <v>1977</v>
      </c>
      <c r="H123" s="13">
        <v>1377</v>
      </c>
      <c r="I123" s="13">
        <v>534</v>
      </c>
      <c r="J123" s="13">
        <v>0</v>
      </c>
      <c r="K123" s="158">
        <v>0</v>
      </c>
      <c r="L123" s="13">
        <v>0</v>
      </c>
      <c r="M123" s="47"/>
      <c r="N123" s="13">
        <v>0</v>
      </c>
      <c r="O123" s="13"/>
      <c r="P123" s="636">
        <v>-7400</v>
      </c>
      <c r="Q123" s="283">
        <f t="shared" si="5"/>
        <v>0</v>
      </c>
      <c r="R123" s="106"/>
      <c r="S123" s="106"/>
      <c r="T123" s="106"/>
      <c r="U123" s="800"/>
      <c r="V123" s="800"/>
      <c r="W123" s="800"/>
      <c r="X123" s="800"/>
      <c r="Y123" s="800"/>
    </row>
    <row r="124" spans="1:25" s="10" customFormat="1" ht="12.75" customHeight="1">
      <c r="A124" s="135" t="s">
        <v>176</v>
      </c>
      <c r="B124" s="199" t="s">
        <v>79</v>
      </c>
      <c r="C124" s="45">
        <v>106</v>
      </c>
      <c r="D124" s="45">
        <v>275</v>
      </c>
      <c r="E124" s="45">
        <v>83</v>
      </c>
      <c r="F124" s="45">
        <v>177</v>
      </c>
      <c r="G124" s="45">
        <v>0</v>
      </c>
      <c r="H124" s="45">
        <v>363</v>
      </c>
      <c r="I124" s="45"/>
      <c r="J124" s="285"/>
      <c r="K124" s="665"/>
      <c r="L124" s="45"/>
      <c r="M124" s="46"/>
      <c r="N124" s="45">
        <v>41</v>
      </c>
      <c r="O124" s="45"/>
      <c r="P124" s="280">
        <v>-1045</v>
      </c>
      <c r="Q124" s="283">
        <f t="shared" si="5"/>
        <v>0</v>
      </c>
      <c r="R124" s="106"/>
      <c r="S124" s="106"/>
      <c r="T124" s="106"/>
      <c r="U124" s="800"/>
      <c r="V124" s="800"/>
      <c r="W124" s="800"/>
      <c r="X124" s="800"/>
      <c r="Y124" s="800"/>
    </row>
    <row r="125" spans="1:25" s="10" customFormat="1" ht="13.5" thickBot="1">
      <c r="A125" s="135" t="s">
        <v>176</v>
      </c>
      <c r="B125" s="202" t="s">
        <v>162</v>
      </c>
      <c r="C125" s="89"/>
      <c r="D125" s="89"/>
      <c r="E125" s="89"/>
      <c r="F125" s="89"/>
      <c r="G125" s="89"/>
      <c r="H125" s="89">
        <v>237</v>
      </c>
      <c r="I125" s="78"/>
      <c r="J125" s="78">
        <v>550</v>
      </c>
      <c r="K125" s="119"/>
      <c r="L125" s="78"/>
      <c r="M125" s="79"/>
      <c r="N125" s="78"/>
      <c r="O125" s="78"/>
      <c r="P125" s="778">
        <v>-787</v>
      </c>
      <c r="Q125" s="286">
        <f t="shared" si="5"/>
        <v>0</v>
      </c>
      <c r="R125" s="106"/>
      <c r="S125" s="106"/>
      <c r="T125" s="106"/>
      <c r="U125" s="800"/>
      <c r="V125" s="800"/>
      <c r="W125" s="800"/>
      <c r="X125" s="800"/>
      <c r="Y125" s="800"/>
    </row>
    <row r="126" spans="1:20" ht="15.75" customHeight="1" thickBot="1">
      <c r="A126" s="116" t="s">
        <v>34</v>
      </c>
      <c r="B126" s="143"/>
      <c r="C126" s="112">
        <f aca="true" t="shared" si="6" ref="C126:P126">SUM(C7:C125)</f>
        <v>1640704.24</v>
      </c>
      <c r="D126" s="112">
        <f t="shared" si="6"/>
        <v>1486892.5300000003</v>
      </c>
      <c r="E126" s="112">
        <f t="shared" si="6"/>
        <v>2824903.9399999995</v>
      </c>
      <c r="F126" s="112">
        <f t="shared" si="6"/>
        <v>2976222.58</v>
      </c>
      <c r="G126" s="112">
        <f t="shared" si="6"/>
        <v>194330.08000000002</v>
      </c>
      <c r="H126" s="112">
        <f t="shared" si="6"/>
        <v>1392284.6</v>
      </c>
      <c r="I126" s="112">
        <f t="shared" si="6"/>
        <v>269684.58</v>
      </c>
      <c r="J126" s="112">
        <f t="shared" si="6"/>
        <v>1880362</v>
      </c>
      <c r="K126" s="112">
        <f t="shared" si="6"/>
        <v>188</v>
      </c>
      <c r="L126" s="112">
        <f t="shared" si="6"/>
        <v>80134</v>
      </c>
      <c r="M126" s="112">
        <f t="shared" si="6"/>
        <v>4115</v>
      </c>
      <c r="N126" s="112">
        <f t="shared" si="6"/>
        <v>469870.06000000006</v>
      </c>
      <c r="O126" s="112">
        <f t="shared" si="6"/>
        <v>-299688</v>
      </c>
      <c r="P126" s="112">
        <f t="shared" si="6"/>
        <v>-148915</v>
      </c>
      <c r="Q126" s="112">
        <f t="shared" si="5"/>
        <v>12771088.61</v>
      </c>
      <c r="R126" s="106"/>
      <c r="S126" s="106"/>
      <c r="T126" s="106"/>
    </row>
    <row r="127" spans="1:20" ht="18" customHeight="1" thickBot="1">
      <c r="A127" s="14" t="s">
        <v>35</v>
      </c>
      <c r="B127" s="144"/>
      <c r="C127" s="113">
        <f>C126-C7-C8-C9</f>
        <v>816311.86</v>
      </c>
      <c r="D127" s="113">
        <f>D126-D7-D8-D9-D65-D68-D69-D10</f>
        <v>450658.3100000003</v>
      </c>
      <c r="E127" s="113">
        <f>E126-E7-E8-E9-E10-E65-E66-E67</f>
        <v>768212.4399999995</v>
      </c>
      <c r="F127" s="113">
        <f>F126-F7-F8-F9-F66-F68</f>
        <v>939287.96</v>
      </c>
      <c r="G127" s="113">
        <f>G126-G7-G8-G9</f>
        <v>99185.08000000002</v>
      </c>
      <c r="H127" s="113">
        <f>H126-H7-H8-H9-H10</f>
        <v>882868.6000000001</v>
      </c>
      <c r="I127" s="113">
        <f>I126-I7-I8-I9-I69</f>
        <v>124954.69</v>
      </c>
      <c r="J127" s="113">
        <f>J126-J7-J8-J9-J69</f>
        <v>1880362</v>
      </c>
      <c r="K127" s="113">
        <f>K126-K7-K8-K9-K69</f>
        <v>188</v>
      </c>
      <c r="L127" s="113">
        <f>L126</f>
        <v>80134</v>
      </c>
      <c r="M127" s="113">
        <f>M126</f>
        <v>4115</v>
      </c>
      <c r="N127" s="113">
        <f>N126-N67-N9</f>
        <v>425835.06000000006</v>
      </c>
      <c r="O127" s="113">
        <f>O74+O75+O78+O79+O80+O82+O83+O84+O85+O108+O109+O110+O111+O112+O113+O119+O120+O121+O122</f>
        <v>-299688</v>
      </c>
      <c r="P127" s="113">
        <f>P15+P16+P19+P20+P23+P24+P25+P26+P27+P77+P123+P124+P125</f>
        <v>-148915</v>
      </c>
      <c r="Q127" s="113">
        <f t="shared" si="5"/>
        <v>6023510</v>
      </c>
      <c r="R127" s="106"/>
      <c r="S127" s="106"/>
      <c r="T127" s="106"/>
    </row>
    <row r="128" spans="1:20" ht="19.5" customHeight="1" thickBot="1">
      <c r="A128" s="56" t="s">
        <v>187</v>
      </c>
      <c r="B128" s="139"/>
      <c r="C128" s="114">
        <f aca="true" t="shared" si="7" ref="C128:Q128">C4+C126</f>
        <v>13863962.24</v>
      </c>
      <c r="D128" s="114">
        <f t="shared" si="7"/>
        <v>6514575.53</v>
      </c>
      <c r="E128" s="114">
        <f t="shared" si="7"/>
        <v>14168442.94</v>
      </c>
      <c r="F128" s="114">
        <f t="shared" si="7"/>
        <v>15224898.58</v>
      </c>
      <c r="G128" s="114">
        <f t="shared" si="7"/>
        <v>4602594.08</v>
      </c>
      <c r="H128" s="114">
        <f t="shared" si="7"/>
        <v>10774074.6</v>
      </c>
      <c r="I128" s="114">
        <f t="shared" si="7"/>
        <v>4010975.58</v>
      </c>
      <c r="J128" s="114">
        <f t="shared" si="7"/>
        <v>4967221</v>
      </c>
      <c r="K128" s="114">
        <f t="shared" si="7"/>
        <v>69018</v>
      </c>
      <c r="L128" s="114">
        <f t="shared" si="7"/>
        <v>1076766</v>
      </c>
      <c r="M128" s="114">
        <f t="shared" si="7"/>
        <v>273118</v>
      </c>
      <c r="N128" s="114">
        <f t="shared" si="7"/>
        <v>3689342.06</v>
      </c>
      <c r="O128" s="114">
        <f t="shared" si="7"/>
        <v>2401724</v>
      </c>
      <c r="P128" s="114">
        <f t="shared" si="7"/>
        <v>51085</v>
      </c>
      <c r="Q128" s="114">
        <f t="shared" si="7"/>
        <v>81687797.61</v>
      </c>
      <c r="R128" s="106"/>
      <c r="S128" s="106"/>
      <c r="T128" s="106"/>
    </row>
    <row r="129" spans="1:20" ht="29.25" customHeight="1" thickBot="1">
      <c r="A129" s="813" t="s">
        <v>188</v>
      </c>
      <c r="B129" s="814"/>
      <c r="C129" s="115">
        <f>C4+C127</f>
        <v>13039569.86</v>
      </c>
      <c r="D129" s="115">
        <f>D127+D4</f>
        <v>5478341.3100000005</v>
      </c>
      <c r="E129" s="115">
        <f>E4+E127</f>
        <v>12111751.44</v>
      </c>
      <c r="F129" s="115">
        <f>F4+F127</f>
        <v>13187963.96</v>
      </c>
      <c r="G129" s="115">
        <f>G127+G4</f>
        <v>4507449.08</v>
      </c>
      <c r="H129" s="115">
        <f aca="true" t="shared" si="8" ref="H129:Q129">H4+H127</f>
        <v>10264658.6</v>
      </c>
      <c r="I129" s="115">
        <f t="shared" si="8"/>
        <v>3866245.69</v>
      </c>
      <c r="J129" s="115">
        <f t="shared" si="8"/>
        <v>4967221</v>
      </c>
      <c r="K129" s="115">
        <f t="shared" si="8"/>
        <v>69018</v>
      </c>
      <c r="L129" s="115">
        <f t="shared" si="8"/>
        <v>1076766</v>
      </c>
      <c r="M129" s="115">
        <f t="shared" si="8"/>
        <v>273118</v>
      </c>
      <c r="N129" s="115">
        <f t="shared" si="8"/>
        <v>3645307.06</v>
      </c>
      <c r="O129" s="115">
        <f t="shared" si="8"/>
        <v>2401724</v>
      </c>
      <c r="P129" s="115">
        <f t="shared" si="8"/>
        <v>51085</v>
      </c>
      <c r="Q129" s="115">
        <f t="shared" si="8"/>
        <v>74940219</v>
      </c>
      <c r="R129" s="801"/>
      <c r="S129" s="106"/>
      <c r="T129" s="106"/>
    </row>
    <row r="130" spans="1:25" s="10" customFormat="1" ht="14.25" customHeight="1">
      <c r="A130" s="3"/>
      <c r="B130" s="15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06"/>
      <c r="S130" s="106"/>
      <c r="T130" s="106"/>
      <c r="U130" s="800"/>
      <c r="V130" s="800"/>
      <c r="W130" s="800"/>
      <c r="X130" s="800"/>
      <c r="Y130" s="800"/>
    </row>
    <row r="131" spans="1:25" s="17" customFormat="1" ht="12.75">
      <c r="A131" s="81"/>
      <c r="B131" s="1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802"/>
      <c r="S131" s="802"/>
      <c r="T131" s="802"/>
      <c r="U131" s="803"/>
      <c r="V131" s="803"/>
      <c r="W131" s="803"/>
      <c r="X131" s="803"/>
      <c r="Y131" s="803"/>
    </row>
    <row r="132" spans="1:20" ht="16.5" customHeight="1" thickBot="1">
      <c r="A132" s="58" t="s">
        <v>36</v>
      </c>
      <c r="B132" s="58"/>
      <c r="C132" s="18"/>
      <c r="D132" s="18"/>
      <c r="E132" s="18"/>
      <c r="F132" s="18"/>
      <c r="G132" s="19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06"/>
      <c r="S132" s="106"/>
      <c r="T132" s="106"/>
    </row>
    <row r="133" spans="1:20" ht="13.5" thickBot="1">
      <c r="A133" s="70"/>
      <c r="B133" s="82"/>
      <c r="C133" s="155" t="s">
        <v>1</v>
      </c>
      <c r="D133" s="162" t="s">
        <v>2</v>
      </c>
      <c r="E133" s="162" t="s">
        <v>3</v>
      </c>
      <c r="F133" s="162" t="s">
        <v>4</v>
      </c>
      <c r="G133" s="162" t="s">
        <v>5</v>
      </c>
      <c r="H133" s="162" t="s">
        <v>6</v>
      </c>
      <c r="I133" s="161" t="s">
        <v>7</v>
      </c>
      <c r="J133" s="83" t="s">
        <v>21</v>
      </c>
      <c r="K133" s="162"/>
      <c r="L133" s="165" t="s">
        <v>9</v>
      </c>
      <c r="M133" s="162"/>
      <c r="N133" s="162" t="s">
        <v>22</v>
      </c>
      <c r="O133" s="162"/>
      <c r="P133" s="165" t="s">
        <v>23</v>
      </c>
      <c r="Q133" s="84" t="s">
        <v>24</v>
      </c>
      <c r="R133" s="106"/>
      <c r="S133" s="106"/>
      <c r="T133" s="106"/>
    </row>
    <row r="134" spans="1:20" ht="21" customHeight="1" thickBot="1">
      <c r="A134" s="56" t="s">
        <v>73</v>
      </c>
      <c r="B134" s="85"/>
      <c r="C134" s="156">
        <v>0</v>
      </c>
      <c r="D134" s="87">
        <v>0</v>
      </c>
      <c r="E134" s="87">
        <v>0</v>
      </c>
      <c r="F134" s="87">
        <v>0</v>
      </c>
      <c r="G134" s="87">
        <v>0</v>
      </c>
      <c r="H134" s="87">
        <v>0</v>
      </c>
      <c r="I134" s="86">
        <v>0</v>
      </c>
      <c r="J134" s="164">
        <v>0</v>
      </c>
      <c r="K134" s="87">
        <v>0</v>
      </c>
      <c r="L134" s="166">
        <v>0</v>
      </c>
      <c r="M134" s="87"/>
      <c r="N134" s="87"/>
      <c r="O134" s="87">
        <v>0</v>
      </c>
      <c r="P134" s="86">
        <v>0</v>
      </c>
      <c r="Q134" s="87">
        <f>SUM(C134:P134)</f>
        <v>0</v>
      </c>
      <c r="R134" s="106"/>
      <c r="S134" s="106"/>
      <c r="T134" s="106"/>
    </row>
    <row r="135" spans="1:20" ht="21" customHeight="1" thickBot="1">
      <c r="A135" s="815" t="s">
        <v>37</v>
      </c>
      <c r="B135" s="816"/>
      <c r="C135" s="74">
        <f>C161</f>
        <v>0</v>
      </c>
      <c r="D135" s="74">
        <f aca="true" t="shared" si="9" ref="D135:Q135">D161</f>
        <v>0</v>
      </c>
      <c r="E135" s="74">
        <f t="shared" si="9"/>
        <v>0</v>
      </c>
      <c r="F135" s="74">
        <f t="shared" si="9"/>
        <v>91500</v>
      </c>
      <c r="G135" s="74">
        <f t="shared" si="9"/>
        <v>250000</v>
      </c>
      <c r="H135" s="74">
        <f t="shared" si="9"/>
        <v>39950</v>
      </c>
      <c r="I135" s="241">
        <f t="shared" si="9"/>
        <v>0</v>
      </c>
      <c r="J135" s="242">
        <f t="shared" si="9"/>
        <v>600000</v>
      </c>
      <c r="K135" s="74">
        <f t="shared" si="9"/>
        <v>0</v>
      </c>
      <c r="L135" s="242">
        <f t="shared" si="9"/>
        <v>0</v>
      </c>
      <c r="M135" s="74"/>
      <c r="N135" s="74"/>
      <c r="O135" s="74">
        <f t="shared" si="9"/>
        <v>0</v>
      </c>
      <c r="P135" s="241">
        <f t="shared" si="9"/>
        <v>0</v>
      </c>
      <c r="Q135" s="243">
        <f t="shared" si="9"/>
        <v>981450</v>
      </c>
      <c r="R135" s="106"/>
      <c r="S135" s="106"/>
      <c r="T135" s="106"/>
    </row>
    <row r="136" spans="1:20" ht="13.5" thickBot="1">
      <c r="A136" s="57" t="s">
        <v>59</v>
      </c>
      <c r="B136" s="75" t="s">
        <v>25</v>
      </c>
      <c r="C136" s="237"/>
      <c r="D136" s="48"/>
      <c r="E136" s="48"/>
      <c r="F136" s="48"/>
      <c r="G136" s="48"/>
      <c r="H136" s="48"/>
      <c r="I136" s="238"/>
      <c r="J136" s="237"/>
      <c r="K136" s="48"/>
      <c r="L136" s="239"/>
      <c r="M136" s="48"/>
      <c r="N136" s="48"/>
      <c r="O136" s="48"/>
      <c r="P136" s="238"/>
      <c r="Q136" s="240"/>
      <c r="R136" s="106"/>
      <c r="S136" s="106"/>
      <c r="T136" s="106"/>
    </row>
    <row r="137" spans="1:20" ht="39" thickBot="1">
      <c r="A137" s="251" t="s">
        <v>167</v>
      </c>
      <c r="B137" s="117" t="s">
        <v>80</v>
      </c>
      <c r="C137" s="157"/>
      <c r="D137" s="88"/>
      <c r="E137" s="88"/>
      <c r="F137" s="88"/>
      <c r="G137" s="88">
        <v>250000</v>
      </c>
      <c r="H137" s="88"/>
      <c r="I137" s="151"/>
      <c r="J137" s="157"/>
      <c r="K137" s="45"/>
      <c r="L137" s="146"/>
      <c r="M137" s="45"/>
      <c r="N137" s="45"/>
      <c r="O137" s="45"/>
      <c r="P137" s="46"/>
      <c r="Q137" s="77">
        <f aca="true" t="shared" si="10" ref="Q137:Q161">SUM(C137:P137)</f>
        <v>250000</v>
      </c>
      <c r="R137" s="106"/>
      <c r="S137" s="106"/>
      <c r="T137" s="106"/>
    </row>
    <row r="138" spans="1:20" ht="40.5" customHeight="1">
      <c r="A138" s="224" t="s">
        <v>191</v>
      </c>
      <c r="B138" s="117" t="s">
        <v>80</v>
      </c>
      <c r="C138" s="131"/>
      <c r="D138" s="89"/>
      <c r="E138" s="89"/>
      <c r="F138" s="89"/>
      <c r="G138" s="89"/>
      <c r="H138" s="89"/>
      <c r="I138" s="136"/>
      <c r="J138" s="131">
        <v>600000</v>
      </c>
      <c r="K138" s="88"/>
      <c r="L138" s="167"/>
      <c r="M138" s="88"/>
      <c r="N138" s="88"/>
      <c r="O138" s="88"/>
      <c r="P138" s="151"/>
      <c r="Q138" s="77">
        <f t="shared" si="10"/>
        <v>600000</v>
      </c>
      <c r="R138" s="106"/>
      <c r="S138" s="106"/>
      <c r="T138" s="106"/>
    </row>
    <row r="139" spans="1:20" ht="12.75" hidden="1">
      <c r="A139" s="252"/>
      <c r="B139" s="247"/>
      <c r="C139" s="158"/>
      <c r="D139" s="13"/>
      <c r="E139" s="13"/>
      <c r="F139" s="13"/>
      <c r="G139" s="13"/>
      <c r="H139" s="13"/>
      <c r="I139" s="47"/>
      <c r="J139" s="158"/>
      <c r="K139" s="13"/>
      <c r="L139" s="147"/>
      <c r="M139" s="13"/>
      <c r="N139" s="13"/>
      <c r="O139" s="13"/>
      <c r="P139" s="47"/>
      <c r="Q139" s="77">
        <f t="shared" si="10"/>
        <v>0</v>
      </c>
      <c r="R139" s="106"/>
      <c r="S139" s="106"/>
      <c r="T139" s="106"/>
    </row>
    <row r="140" spans="1:20" ht="12.75" hidden="1">
      <c r="A140" s="90"/>
      <c r="B140" s="248"/>
      <c r="C140" s="158"/>
      <c r="D140" s="13"/>
      <c r="E140" s="13"/>
      <c r="F140" s="13"/>
      <c r="G140" s="13"/>
      <c r="H140" s="13"/>
      <c r="I140" s="47"/>
      <c r="J140" s="158"/>
      <c r="K140" s="13"/>
      <c r="L140" s="147"/>
      <c r="M140" s="13"/>
      <c r="N140" s="13"/>
      <c r="O140" s="13"/>
      <c r="P140" s="47"/>
      <c r="Q140" s="77">
        <f t="shared" si="10"/>
        <v>0</v>
      </c>
      <c r="R140" s="106"/>
      <c r="S140" s="106"/>
      <c r="T140" s="106"/>
    </row>
    <row r="141" spans="1:20" ht="12.75" hidden="1">
      <c r="A141" s="90"/>
      <c r="B141" s="248"/>
      <c r="C141" s="158"/>
      <c r="D141" s="13"/>
      <c r="E141" s="13"/>
      <c r="F141" s="13"/>
      <c r="G141" s="13"/>
      <c r="H141" s="13"/>
      <c r="I141" s="47"/>
      <c r="J141" s="158"/>
      <c r="K141" s="13"/>
      <c r="L141" s="147"/>
      <c r="M141" s="13"/>
      <c r="N141" s="13"/>
      <c r="O141" s="13"/>
      <c r="P141" s="47"/>
      <c r="Q141" s="77">
        <f t="shared" si="10"/>
        <v>0</v>
      </c>
      <c r="R141" s="106"/>
      <c r="S141" s="106"/>
      <c r="T141" s="106"/>
    </row>
    <row r="142" spans="1:20" ht="12.75" hidden="1">
      <c r="A142" s="90"/>
      <c r="B142" s="248"/>
      <c r="C142" s="158"/>
      <c r="D142" s="13"/>
      <c r="E142" s="13"/>
      <c r="F142" s="13"/>
      <c r="G142" s="13"/>
      <c r="H142" s="13"/>
      <c r="I142" s="47"/>
      <c r="J142" s="158"/>
      <c r="K142" s="13"/>
      <c r="L142" s="147"/>
      <c r="M142" s="13"/>
      <c r="N142" s="13"/>
      <c r="O142" s="13"/>
      <c r="P142" s="47"/>
      <c r="Q142" s="77">
        <f t="shared" si="10"/>
        <v>0</v>
      </c>
      <c r="R142" s="106"/>
      <c r="S142" s="106"/>
      <c r="T142" s="106"/>
    </row>
    <row r="143" spans="1:20" ht="12.75" hidden="1">
      <c r="A143" s="253" t="s">
        <v>28</v>
      </c>
      <c r="B143" s="249" t="s">
        <v>25</v>
      </c>
      <c r="C143" s="158"/>
      <c r="D143" s="13"/>
      <c r="E143" s="13"/>
      <c r="F143" s="13"/>
      <c r="G143" s="13"/>
      <c r="H143" s="13"/>
      <c r="I143" s="47"/>
      <c r="J143" s="158"/>
      <c r="K143" s="13"/>
      <c r="L143" s="147"/>
      <c r="M143" s="13"/>
      <c r="N143" s="13"/>
      <c r="O143" s="13"/>
      <c r="P143" s="47"/>
      <c r="Q143" s="77">
        <f t="shared" si="10"/>
        <v>0</v>
      </c>
      <c r="R143" s="106"/>
      <c r="S143" s="106"/>
      <c r="T143" s="106"/>
    </row>
    <row r="144" spans="1:20" ht="12.75" hidden="1">
      <c r="A144" s="90"/>
      <c r="B144" s="248"/>
      <c r="C144" s="158"/>
      <c r="D144" s="13"/>
      <c r="E144" s="13"/>
      <c r="F144" s="13"/>
      <c r="G144" s="13"/>
      <c r="H144" s="13"/>
      <c r="I144" s="47"/>
      <c r="J144" s="158"/>
      <c r="K144" s="13"/>
      <c r="L144" s="147"/>
      <c r="M144" s="13"/>
      <c r="N144" s="13"/>
      <c r="O144" s="13"/>
      <c r="P144" s="47"/>
      <c r="Q144" s="77">
        <f t="shared" si="10"/>
        <v>0</v>
      </c>
      <c r="R144" s="106"/>
      <c r="S144" s="106"/>
      <c r="T144" s="106"/>
    </row>
    <row r="145" spans="1:20" ht="12.75" hidden="1">
      <c r="A145" s="254"/>
      <c r="B145" s="250"/>
      <c r="C145" s="158"/>
      <c r="D145" s="13"/>
      <c r="E145" s="13"/>
      <c r="F145" s="13"/>
      <c r="G145" s="13"/>
      <c r="H145" s="13"/>
      <c r="I145" s="47"/>
      <c r="J145" s="158"/>
      <c r="K145" s="13"/>
      <c r="L145" s="147"/>
      <c r="M145" s="13"/>
      <c r="N145" s="13"/>
      <c r="O145" s="13"/>
      <c r="P145" s="47"/>
      <c r="Q145" s="77">
        <f t="shared" si="10"/>
        <v>0</v>
      </c>
      <c r="R145" s="106"/>
      <c r="S145" s="106"/>
      <c r="T145" s="106"/>
    </row>
    <row r="146" spans="1:20" ht="15" customHeight="1" hidden="1">
      <c r="A146" s="254"/>
      <c r="B146" s="250"/>
      <c r="C146" s="158"/>
      <c r="D146" s="13"/>
      <c r="E146" s="13"/>
      <c r="F146" s="13"/>
      <c r="G146" s="13"/>
      <c r="H146" s="13"/>
      <c r="I146" s="47"/>
      <c r="J146" s="158"/>
      <c r="K146" s="13"/>
      <c r="L146" s="147"/>
      <c r="M146" s="13"/>
      <c r="N146" s="13"/>
      <c r="O146" s="13"/>
      <c r="P146" s="47"/>
      <c r="Q146" s="77">
        <f t="shared" si="10"/>
        <v>0</v>
      </c>
      <c r="R146" s="106"/>
      <c r="S146" s="106"/>
      <c r="T146" s="106"/>
    </row>
    <row r="147" spans="1:20" ht="15.75" customHeight="1" hidden="1">
      <c r="A147" s="254" t="s">
        <v>38</v>
      </c>
      <c r="B147" s="250"/>
      <c r="C147" s="158"/>
      <c r="D147" s="13"/>
      <c r="E147" s="13"/>
      <c r="F147" s="13"/>
      <c r="G147" s="13"/>
      <c r="H147" s="13"/>
      <c r="I147" s="47"/>
      <c r="J147" s="158"/>
      <c r="K147" s="13"/>
      <c r="L147" s="147"/>
      <c r="M147" s="13"/>
      <c r="N147" s="13"/>
      <c r="O147" s="13"/>
      <c r="P147" s="47"/>
      <c r="Q147" s="77">
        <f t="shared" si="10"/>
        <v>0</v>
      </c>
      <c r="R147" s="106"/>
      <c r="S147" s="106"/>
      <c r="T147" s="106"/>
    </row>
    <row r="148" spans="1:20" ht="12.75" hidden="1">
      <c r="A148" s="90" t="s">
        <v>38</v>
      </c>
      <c r="B148" s="248"/>
      <c r="C148" s="158"/>
      <c r="D148" s="13"/>
      <c r="E148" s="13"/>
      <c r="F148" s="13"/>
      <c r="G148" s="13"/>
      <c r="H148" s="13"/>
      <c r="I148" s="47"/>
      <c r="J148" s="158"/>
      <c r="K148" s="13"/>
      <c r="L148" s="147"/>
      <c r="M148" s="13"/>
      <c r="N148" s="13"/>
      <c r="O148" s="13"/>
      <c r="P148" s="47"/>
      <c r="Q148" s="77">
        <f t="shared" si="10"/>
        <v>0</v>
      </c>
      <c r="R148" s="106"/>
      <c r="S148" s="106"/>
      <c r="T148" s="106"/>
    </row>
    <row r="149" spans="1:20" ht="12.75" hidden="1">
      <c r="A149" s="90" t="s">
        <v>39</v>
      </c>
      <c r="B149" s="248"/>
      <c r="C149" s="158"/>
      <c r="D149" s="13"/>
      <c r="E149" s="13"/>
      <c r="F149" s="13"/>
      <c r="G149" s="13"/>
      <c r="H149" s="13"/>
      <c r="I149" s="47"/>
      <c r="J149" s="158"/>
      <c r="K149" s="13"/>
      <c r="L149" s="147"/>
      <c r="M149" s="13"/>
      <c r="N149" s="13"/>
      <c r="O149" s="13"/>
      <c r="P149" s="47"/>
      <c r="Q149" s="77">
        <f t="shared" si="10"/>
        <v>0</v>
      </c>
      <c r="R149" s="106"/>
      <c r="S149" s="106"/>
      <c r="T149" s="106"/>
    </row>
    <row r="150" spans="1:20" ht="13.5" customHeight="1" hidden="1">
      <c r="A150" s="90"/>
      <c r="B150" s="248"/>
      <c r="C150" s="158"/>
      <c r="D150" s="13"/>
      <c r="E150" s="13"/>
      <c r="F150" s="13"/>
      <c r="G150" s="13"/>
      <c r="H150" s="13"/>
      <c r="I150" s="47"/>
      <c r="J150" s="158"/>
      <c r="K150" s="13"/>
      <c r="L150" s="147"/>
      <c r="M150" s="13"/>
      <c r="N150" s="13"/>
      <c r="O150" s="13"/>
      <c r="P150" s="47"/>
      <c r="Q150" s="77">
        <f t="shared" si="10"/>
        <v>0</v>
      </c>
      <c r="R150" s="106"/>
      <c r="S150" s="106"/>
      <c r="T150" s="106"/>
    </row>
    <row r="151" spans="1:20" ht="0.75" customHeight="1" hidden="1">
      <c r="A151" s="90" t="s">
        <v>40</v>
      </c>
      <c r="B151" s="248" t="s">
        <v>26</v>
      </c>
      <c r="C151" s="158"/>
      <c r="D151" s="13"/>
      <c r="E151" s="13"/>
      <c r="F151" s="13"/>
      <c r="G151" s="13"/>
      <c r="H151" s="13"/>
      <c r="I151" s="47"/>
      <c r="J151" s="158"/>
      <c r="K151" s="13"/>
      <c r="L151" s="147"/>
      <c r="M151" s="13"/>
      <c r="N151" s="13"/>
      <c r="O151" s="13"/>
      <c r="P151" s="47"/>
      <c r="Q151" s="77">
        <f t="shared" si="10"/>
        <v>0</v>
      </c>
      <c r="R151" s="106"/>
      <c r="S151" s="106"/>
      <c r="T151" s="106"/>
    </row>
    <row r="152" spans="1:20" ht="13.5" customHeight="1" hidden="1">
      <c r="A152" s="90" t="s">
        <v>41</v>
      </c>
      <c r="B152" s="248"/>
      <c r="C152" s="158"/>
      <c r="D152" s="13"/>
      <c r="E152" s="13"/>
      <c r="F152" s="13"/>
      <c r="G152" s="13"/>
      <c r="H152" s="13"/>
      <c r="I152" s="47"/>
      <c r="J152" s="158"/>
      <c r="K152" s="13"/>
      <c r="L152" s="147"/>
      <c r="M152" s="13"/>
      <c r="N152" s="13"/>
      <c r="O152" s="13"/>
      <c r="P152" s="47"/>
      <c r="Q152" s="77">
        <f t="shared" si="10"/>
        <v>0</v>
      </c>
      <c r="R152" s="106"/>
      <c r="S152" s="106"/>
      <c r="T152" s="106"/>
    </row>
    <row r="153" spans="1:20" ht="15.75" customHeight="1" hidden="1">
      <c r="A153" s="254"/>
      <c r="B153" s="248"/>
      <c r="C153" s="131"/>
      <c r="D153" s="89"/>
      <c r="E153" s="89"/>
      <c r="F153" s="89"/>
      <c r="G153" s="89"/>
      <c r="H153" s="89"/>
      <c r="I153" s="136"/>
      <c r="J153" s="131"/>
      <c r="K153" s="89"/>
      <c r="L153" s="148"/>
      <c r="M153" s="89"/>
      <c r="N153" s="89"/>
      <c r="O153" s="89"/>
      <c r="P153" s="136"/>
      <c r="Q153" s="77">
        <f t="shared" si="10"/>
        <v>0</v>
      </c>
      <c r="R153" s="106"/>
      <c r="S153" s="106"/>
      <c r="T153" s="106"/>
    </row>
    <row r="154" spans="1:20" ht="12.75" customHeight="1" hidden="1">
      <c r="A154" s="90"/>
      <c r="B154" s="236"/>
      <c r="C154" s="158"/>
      <c r="D154" s="13"/>
      <c r="E154" s="13"/>
      <c r="F154" s="13"/>
      <c r="G154" s="13"/>
      <c r="H154" s="13"/>
      <c r="I154" s="47"/>
      <c r="J154" s="158"/>
      <c r="K154" s="13"/>
      <c r="L154" s="147"/>
      <c r="M154" s="13"/>
      <c r="N154" s="13"/>
      <c r="O154" s="13"/>
      <c r="P154" s="47"/>
      <c r="Q154" s="77">
        <f t="shared" si="10"/>
        <v>0</v>
      </c>
      <c r="R154" s="106"/>
      <c r="S154" s="106"/>
      <c r="T154" s="106"/>
    </row>
    <row r="155" spans="1:20" ht="16.5" customHeight="1" hidden="1">
      <c r="A155" s="254"/>
      <c r="B155" s="250"/>
      <c r="C155" s="131"/>
      <c r="D155" s="89"/>
      <c r="E155" s="44"/>
      <c r="F155" s="44"/>
      <c r="G155" s="89"/>
      <c r="H155" s="89"/>
      <c r="I155" s="136"/>
      <c r="J155" s="131"/>
      <c r="K155" s="89"/>
      <c r="L155" s="148"/>
      <c r="M155" s="89"/>
      <c r="N155" s="89"/>
      <c r="O155" s="89"/>
      <c r="P155" s="136"/>
      <c r="Q155" s="76">
        <f t="shared" si="10"/>
        <v>0</v>
      </c>
      <c r="R155" s="106"/>
      <c r="S155" s="106"/>
      <c r="T155" s="106"/>
    </row>
    <row r="156" spans="1:20" ht="16.5" customHeight="1" hidden="1" thickBot="1">
      <c r="A156" s="254"/>
      <c r="B156" s="250"/>
      <c r="C156" s="119"/>
      <c r="D156" s="78"/>
      <c r="E156" s="78"/>
      <c r="F156" s="92"/>
      <c r="G156" s="78"/>
      <c r="H156" s="78"/>
      <c r="I156" s="79"/>
      <c r="J156" s="119"/>
      <c r="K156" s="78"/>
      <c r="L156" s="128"/>
      <c r="M156" s="78"/>
      <c r="N156" s="78"/>
      <c r="O156" s="78"/>
      <c r="P156" s="79"/>
      <c r="Q156" s="76">
        <f t="shared" si="10"/>
        <v>0</v>
      </c>
      <c r="R156" s="106"/>
      <c r="S156" s="106"/>
      <c r="T156" s="106"/>
    </row>
    <row r="157" spans="1:20" ht="15.75" customHeight="1" thickBot="1">
      <c r="A157" s="255" t="s">
        <v>169</v>
      </c>
      <c r="B157" s="647" t="s">
        <v>66</v>
      </c>
      <c r="C157" s="159"/>
      <c r="D157" s="153"/>
      <c r="E157" s="163"/>
      <c r="F157" s="163">
        <v>91500</v>
      </c>
      <c r="G157" s="153"/>
      <c r="H157" s="153">
        <v>39950</v>
      </c>
      <c r="I157" s="93"/>
      <c r="J157" s="94"/>
      <c r="K157" s="153"/>
      <c r="L157" s="94"/>
      <c r="M157" s="153"/>
      <c r="N157" s="153"/>
      <c r="O157" s="153"/>
      <c r="P157" s="94"/>
      <c r="Q157" s="95">
        <f t="shared" si="10"/>
        <v>131450</v>
      </c>
      <c r="R157" s="106"/>
      <c r="S157" s="106"/>
      <c r="T157" s="106"/>
    </row>
    <row r="158" spans="1:20" ht="18" customHeight="1" thickBot="1">
      <c r="A158" s="96" t="s">
        <v>34</v>
      </c>
      <c r="B158" s="97"/>
      <c r="C158" s="160">
        <f aca="true" t="shared" si="11" ref="C158:J158">SUM(C137:C157)</f>
        <v>0</v>
      </c>
      <c r="D158" s="154">
        <f t="shared" si="11"/>
        <v>0</v>
      </c>
      <c r="E158" s="154">
        <f t="shared" si="11"/>
        <v>0</v>
      </c>
      <c r="F158" s="154">
        <f t="shared" si="11"/>
        <v>91500</v>
      </c>
      <c r="G158" s="154">
        <f t="shared" si="11"/>
        <v>250000</v>
      </c>
      <c r="H158" s="154">
        <f t="shared" si="11"/>
        <v>39950</v>
      </c>
      <c r="I158" s="152">
        <f t="shared" si="11"/>
        <v>0</v>
      </c>
      <c r="J158" s="160">
        <f t="shared" si="11"/>
        <v>600000</v>
      </c>
      <c r="K158" s="154"/>
      <c r="L158" s="168">
        <f>SUM(L137:L157)</f>
        <v>0</v>
      </c>
      <c r="M158" s="154"/>
      <c r="N158" s="154">
        <f>SUM(N137:N157)</f>
        <v>0</v>
      </c>
      <c r="O158" s="154">
        <f>SUM(O137:O157)</f>
        <v>0</v>
      </c>
      <c r="P158" s="152">
        <f>SUM(P137:P157)</f>
        <v>0</v>
      </c>
      <c r="Q158" s="177">
        <f t="shared" si="10"/>
        <v>981450</v>
      </c>
      <c r="R158" s="106"/>
      <c r="S158" s="106"/>
      <c r="T158" s="106"/>
    </row>
    <row r="159" spans="1:20" ht="18" customHeight="1" thickBot="1">
      <c r="A159" s="98" t="s">
        <v>35</v>
      </c>
      <c r="B159" s="99"/>
      <c r="C159" s="120">
        <f>C158-C139</f>
        <v>0</v>
      </c>
      <c r="D159" s="113">
        <f aca="true" t="shared" si="12" ref="D159:P159">D158-D139</f>
        <v>0</v>
      </c>
      <c r="E159" s="113">
        <v>0</v>
      </c>
      <c r="F159" s="113">
        <v>0</v>
      </c>
      <c r="G159" s="113">
        <f t="shared" si="12"/>
        <v>250000</v>
      </c>
      <c r="H159" s="113">
        <f t="shared" si="12"/>
        <v>39950</v>
      </c>
      <c r="I159" s="137">
        <f t="shared" si="12"/>
        <v>0</v>
      </c>
      <c r="J159" s="120">
        <f t="shared" si="12"/>
        <v>600000</v>
      </c>
      <c r="K159" s="113">
        <f t="shared" si="12"/>
        <v>0</v>
      </c>
      <c r="L159" s="149">
        <f t="shared" si="12"/>
        <v>0</v>
      </c>
      <c r="M159" s="113"/>
      <c r="N159" s="113">
        <f>N158</f>
        <v>0</v>
      </c>
      <c r="O159" s="113">
        <f t="shared" si="12"/>
        <v>0</v>
      </c>
      <c r="P159" s="137">
        <f t="shared" si="12"/>
        <v>0</v>
      </c>
      <c r="Q159" s="113">
        <f t="shared" si="10"/>
        <v>889950</v>
      </c>
      <c r="R159" s="106"/>
      <c r="S159" s="106"/>
      <c r="T159" s="106"/>
    </row>
    <row r="160" spans="1:20" ht="21" customHeight="1" thickBot="1">
      <c r="A160" s="56" t="s">
        <v>185</v>
      </c>
      <c r="B160" s="72"/>
      <c r="C160" s="121">
        <f aca="true" t="shared" si="13" ref="C160:O160">C134+C158</f>
        <v>0</v>
      </c>
      <c r="D160" s="114">
        <f t="shared" si="13"/>
        <v>0</v>
      </c>
      <c r="E160" s="114">
        <f t="shared" si="13"/>
        <v>0</v>
      </c>
      <c r="F160" s="114">
        <f t="shared" si="13"/>
        <v>91500</v>
      </c>
      <c r="G160" s="114">
        <f t="shared" si="13"/>
        <v>250000</v>
      </c>
      <c r="H160" s="114">
        <f t="shared" si="13"/>
        <v>39950</v>
      </c>
      <c r="I160" s="110">
        <f t="shared" si="13"/>
        <v>0</v>
      </c>
      <c r="J160" s="121">
        <f t="shared" si="13"/>
        <v>600000</v>
      </c>
      <c r="K160" s="114">
        <f t="shared" si="13"/>
        <v>0</v>
      </c>
      <c r="L160" s="129">
        <f t="shared" si="13"/>
        <v>0</v>
      </c>
      <c r="M160" s="114">
        <f t="shared" si="13"/>
        <v>0</v>
      </c>
      <c r="N160" s="114">
        <f t="shared" si="13"/>
        <v>0</v>
      </c>
      <c r="O160" s="114">
        <f t="shared" si="13"/>
        <v>0</v>
      </c>
      <c r="P160" s="110">
        <f>P136+P158</f>
        <v>0</v>
      </c>
      <c r="Q160" s="80">
        <f t="shared" si="10"/>
        <v>981450</v>
      </c>
      <c r="R160" s="106"/>
      <c r="S160" s="106"/>
      <c r="T160" s="106"/>
    </row>
    <row r="161" spans="1:20" ht="20.25" customHeight="1" thickBot="1">
      <c r="A161" s="813" t="s">
        <v>189</v>
      </c>
      <c r="B161" s="814"/>
      <c r="C161" s="122">
        <f aca="true" t="shared" si="14" ref="C161:L161">C134+C159</f>
        <v>0</v>
      </c>
      <c r="D161" s="115">
        <f t="shared" si="14"/>
        <v>0</v>
      </c>
      <c r="E161" s="115">
        <f t="shared" si="14"/>
        <v>0</v>
      </c>
      <c r="F161" s="115">
        <f>F160</f>
        <v>91500</v>
      </c>
      <c r="G161" s="115">
        <f t="shared" si="14"/>
        <v>250000</v>
      </c>
      <c r="H161" s="115">
        <f t="shared" si="14"/>
        <v>39950</v>
      </c>
      <c r="I161" s="111">
        <f t="shared" si="14"/>
        <v>0</v>
      </c>
      <c r="J161" s="122">
        <f t="shared" si="14"/>
        <v>600000</v>
      </c>
      <c r="K161" s="115">
        <f t="shared" si="14"/>
        <v>0</v>
      </c>
      <c r="L161" s="130">
        <f t="shared" si="14"/>
        <v>0</v>
      </c>
      <c r="M161" s="115"/>
      <c r="N161" s="115">
        <f>N134+N159</f>
        <v>0</v>
      </c>
      <c r="O161" s="115">
        <f>O134+O159</f>
        <v>0</v>
      </c>
      <c r="P161" s="111">
        <f>P134+P159</f>
        <v>0</v>
      </c>
      <c r="Q161" s="115">
        <f t="shared" si="10"/>
        <v>981450</v>
      </c>
      <c r="R161" s="801"/>
      <c r="S161" s="106"/>
      <c r="T161" s="106"/>
    </row>
    <row r="162" spans="1:25" s="19" customFormat="1" ht="12.75">
      <c r="A162" s="100"/>
      <c r="B162" s="806"/>
      <c r="C162" s="804"/>
      <c r="D162" s="804"/>
      <c r="E162" s="804"/>
      <c r="F162" s="804"/>
      <c r="G162" s="804"/>
      <c r="H162" s="804"/>
      <c r="I162" s="804"/>
      <c r="J162" s="804"/>
      <c r="K162" s="804"/>
      <c r="L162" s="804"/>
      <c r="M162" s="804"/>
      <c r="N162" s="804"/>
      <c r="O162" s="804"/>
      <c r="P162" s="804"/>
      <c r="Q162" s="804"/>
      <c r="R162" s="804"/>
      <c r="S162" s="804"/>
      <c r="T162" s="804"/>
      <c r="U162" s="805"/>
      <c r="V162" s="805"/>
      <c r="W162" s="805"/>
      <c r="X162" s="805"/>
      <c r="Y162" s="805"/>
    </row>
    <row r="163" spans="1:20" ht="12.75">
      <c r="A163" s="69"/>
      <c r="B163" s="780"/>
      <c r="C163" s="807"/>
      <c r="D163" s="807"/>
      <c r="E163" s="807"/>
      <c r="F163" s="807"/>
      <c r="G163" s="807"/>
      <c r="H163" s="807"/>
      <c r="I163" s="807"/>
      <c r="J163" s="807"/>
      <c r="K163" s="807"/>
      <c r="L163" s="807"/>
      <c r="M163" s="807"/>
      <c r="N163" s="807"/>
      <c r="O163" s="807"/>
      <c r="P163" s="807"/>
      <c r="Q163" s="807"/>
      <c r="R163" s="106"/>
      <c r="S163" s="106"/>
      <c r="T163" s="106"/>
    </row>
    <row r="164" spans="1:20" ht="12.75">
      <c r="A164" s="69"/>
      <c r="B164" s="780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</row>
    <row r="165" spans="1:20" ht="12.75">
      <c r="A165" s="69"/>
      <c r="B165" s="780"/>
      <c r="C165" s="106"/>
      <c r="D165" s="106"/>
      <c r="E165" s="221"/>
      <c r="F165" s="808"/>
      <c r="G165" s="809"/>
      <c r="H165" s="221"/>
      <c r="I165" s="221"/>
      <c r="J165" s="221"/>
      <c r="K165" s="221"/>
      <c r="L165" s="106"/>
      <c r="M165" s="106"/>
      <c r="N165" s="106"/>
      <c r="O165" s="106"/>
      <c r="P165" s="106"/>
      <c r="Q165" s="106"/>
      <c r="R165" s="106"/>
      <c r="S165" s="106"/>
      <c r="T165" s="106"/>
    </row>
    <row r="166" spans="1:20" ht="12.75">
      <c r="A166" s="69"/>
      <c r="B166" s="780"/>
      <c r="C166" s="106"/>
      <c r="D166" s="106"/>
      <c r="E166" s="106"/>
      <c r="F166" s="106"/>
      <c r="G166" s="106"/>
      <c r="H166" s="106"/>
      <c r="I166" s="106"/>
      <c r="J166" s="221"/>
      <c r="K166" s="221"/>
      <c r="L166" s="221"/>
      <c r="M166" s="221"/>
      <c r="N166" s="221"/>
      <c r="O166" s="221"/>
      <c r="P166" s="221"/>
      <c r="Q166" s="106"/>
      <c r="R166" s="106"/>
      <c r="S166" s="106"/>
      <c r="T166" s="106"/>
    </row>
    <row r="167" spans="1:20" ht="12.75">
      <c r="A167" s="69"/>
      <c r="B167" s="780"/>
      <c r="C167" s="106"/>
      <c r="D167" s="106"/>
      <c r="E167" s="106"/>
      <c r="F167" s="106"/>
      <c r="G167" s="106"/>
      <c r="H167" s="106"/>
      <c r="I167" s="106"/>
      <c r="J167" s="221"/>
      <c r="K167" s="221"/>
      <c r="L167" s="221"/>
      <c r="M167" s="221"/>
      <c r="N167" s="221"/>
      <c r="O167" s="221"/>
      <c r="P167" s="221"/>
      <c r="Q167" s="106"/>
      <c r="R167" s="106"/>
      <c r="S167" s="106"/>
      <c r="T167" s="106"/>
    </row>
    <row r="168" spans="1:20" ht="12.75">
      <c r="A168" s="69"/>
      <c r="B168" s="780"/>
      <c r="C168" s="810"/>
      <c r="D168" s="810"/>
      <c r="E168" s="810"/>
      <c r="F168" s="810"/>
      <c r="G168" s="810"/>
      <c r="H168" s="810"/>
      <c r="I168" s="810"/>
      <c r="J168" s="810"/>
      <c r="K168" s="810"/>
      <c r="L168" s="810"/>
      <c r="M168" s="810"/>
      <c r="N168" s="810"/>
      <c r="O168" s="810"/>
      <c r="P168" s="810"/>
      <c r="Q168" s="810"/>
      <c r="R168" s="106"/>
      <c r="S168" s="106"/>
      <c r="T168" s="106"/>
    </row>
    <row r="169" spans="1:20" ht="12.75">
      <c r="A169" s="69"/>
      <c r="B169" s="780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</row>
    <row r="170" spans="1:20" ht="12.75">
      <c r="A170" s="69"/>
      <c r="B170" s="780"/>
      <c r="C170" s="106"/>
      <c r="D170" s="106"/>
      <c r="E170" s="221"/>
      <c r="F170" s="221"/>
      <c r="G170" s="221"/>
      <c r="H170" s="221"/>
      <c r="I170" s="221"/>
      <c r="J170" s="221"/>
      <c r="K170" s="221"/>
      <c r="L170" s="106"/>
      <c r="M170" s="106"/>
      <c r="N170" s="106"/>
      <c r="O170" s="106"/>
      <c r="P170" s="106"/>
      <c r="Q170" s="106"/>
      <c r="R170" s="106"/>
      <c r="S170" s="106"/>
      <c r="T170" s="106"/>
    </row>
    <row r="171" spans="1:20" ht="12.75">
      <c r="A171" s="69"/>
      <c r="B171" s="780"/>
      <c r="C171" s="106"/>
      <c r="D171" s="106"/>
      <c r="E171" s="221"/>
      <c r="F171" s="221"/>
      <c r="G171" s="221"/>
      <c r="H171" s="221"/>
      <c r="I171" s="221"/>
      <c r="J171" s="221"/>
      <c r="K171" s="221"/>
      <c r="L171" s="106"/>
      <c r="M171" s="106"/>
      <c r="N171" s="106"/>
      <c r="O171" s="106"/>
      <c r="P171" s="106"/>
      <c r="Q171" s="106"/>
      <c r="R171" s="106"/>
      <c r="S171" s="106"/>
      <c r="T171" s="106"/>
    </row>
    <row r="172" spans="1:20" ht="12.75">
      <c r="A172" s="69"/>
      <c r="B172" s="780"/>
      <c r="C172" s="106"/>
      <c r="D172" s="106"/>
      <c r="E172" s="221"/>
      <c r="F172" s="221"/>
      <c r="G172" s="221"/>
      <c r="H172" s="221"/>
      <c r="I172" s="221"/>
      <c r="J172" s="221"/>
      <c r="K172" s="221"/>
      <c r="L172" s="106"/>
      <c r="M172" s="106"/>
      <c r="N172" s="106"/>
      <c r="O172" s="106"/>
      <c r="P172" s="106"/>
      <c r="Q172" s="106"/>
      <c r="R172" s="106"/>
      <c r="S172" s="106"/>
      <c r="T172" s="106"/>
    </row>
    <row r="173" spans="1:20" ht="12.75">
      <c r="A173" s="69"/>
      <c r="B173" s="780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</row>
    <row r="174" spans="1:20" ht="12.75">
      <c r="A174" s="69"/>
      <c r="B174" s="780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</row>
    <row r="175" spans="1:20" ht="12.75">
      <c r="A175" s="69"/>
      <c r="B175" s="780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780"/>
      <c r="S175" s="780"/>
      <c r="T175" s="780"/>
    </row>
    <row r="176" spans="2:17" ht="12.75">
      <c r="B176" s="107"/>
      <c r="C176" s="811"/>
      <c r="D176" s="811"/>
      <c r="E176" s="811"/>
      <c r="F176" s="811"/>
      <c r="G176" s="811"/>
      <c r="H176" s="811"/>
      <c r="I176" s="811"/>
      <c r="J176" s="811"/>
      <c r="K176" s="811"/>
      <c r="L176" s="811"/>
      <c r="M176" s="811"/>
      <c r="N176" s="811"/>
      <c r="O176" s="811"/>
      <c r="P176" s="811"/>
      <c r="Q176" s="811"/>
    </row>
  </sheetData>
  <sheetProtection/>
  <mergeCells count="3">
    <mergeCell ref="A161:B161"/>
    <mergeCell ref="A135:B135"/>
    <mergeCell ref="A129:B129"/>
  </mergeCells>
  <printOptions horizontalCentered="1" verticalCentered="1"/>
  <pageMargins left="0.5118110236220472" right="0.31496062992125984" top="0.2362204724409449" bottom="0.3937007874015748" header="0.31496062992125984" footer="0.11811023622047245"/>
  <pageSetup fitToHeight="1" fitToWidth="1" horizontalDpi="600" verticalDpi="600" orientation="portrait" paperSize="9" scale="36" r:id="rId1"/>
  <headerFooter alignWithMargins="0">
    <oddHeader>&amp;RPríloha č. 1</oddHeader>
    <oddFooter>&amp;L&amp;Z&amp;F&amp;R&amp;D</oddFooter>
  </headerFooter>
  <rowBreaks count="1" manualBreakCount="1">
    <brk id="1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135"/>
  <sheetViews>
    <sheetView zoomScaleSheetLayoutView="75" zoomScalePageLayoutView="0" workbookViewId="0" topLeftCell="A1">
      <pane xSplit="1" ySplit="4" topLeftCell="J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24" sqref="L24"/>
    </sheetView>
  </sheetViews>
  <sheetFormatPr defaultColWidth="9.140625" defaultRowHeight="12.75"/>
  <cols>
    <col min="1" max="1" width="48.28125" style="20" customWidth="1"/>
    <col min="2" max="2" width="15.140625" style="40" bestFit="1" customWidth="1"/>
    <col min="3" max="3" width="14.421875" style="40" bestFit="1" customWidth="1"/>
    <col min="4" max="4" width="15.140625" style="40" bestFit="1" customWidth="1"/>
    <col min="5" max="5" width="15.7109375" style="40" bestFit="1" customWidth="1"/>
    <col min="6" max="6" width="14.421875" style="40" bestFit="1" customWidth="1"/>
    <col min="7" max="7" width="15.7109375" style="40" bestFit="1" customWidth="1"/>
    <col min="8" max="9" width="14.421875" style="40" bestFit="1" customWidth="1"/>
    <col min="10" max="10" width="12.421875" style="40" bestFit="1" customWidth="1"/>
    <col min="11" max="11" width="17.421875" style="105" bestFit="1" customWidth="1"/>
    <col min="12" max="12" width="17.8515625" style="40" bestFit="1" customWidth="1"/>
    <col min="13" max="13" width="11.140625" style="40" bestFit="1" customWidth="1"/>
    <col min="14" max="14" width="22.421875" style="40" customWidth="1"/>
    <col min="15" max="15" width="21.7109375" style="40" customWidth="1"/>
    <col min="16" max="16" width="18.28125" style="40" customWidth="1"/>
    <col min="17" max="17" width="17.8515625" style="40" bestFit="1" customWidth="1"/>
    <col min="18" max="18" width="16.7109375" style="105" bestFit="1" customWidth="1"/>
    <col min="19" max="16384" width="9.140625" style="20" customWidth="1"/>
  </cols>
  <sheetData>
    <row r="1" spans="1:18" ht="24" customHeight="1">
      <c r="A1" s="817" t="s">
        <v>183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</row>
    <row r="2" spans="1:18" ht="18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458" t="s">
        <v>42</v>
      </c>
    </row>
    <row r="3" spans="1:18" s="23" customFormat="1" ht="13.5" thickBot="1">
      <c r="A3" s="43"/>
      <c r="B3" s="183"/>
      <c r="C3" s="183"/>
      <c r="D3" s="183"/>
      <c r="E3" s="183"/>
      <c r="F3" s="183"/>
      <c r="G3" s="183"/>
      <c r="H3" s="183"/>
      <c r="I3" s="183"/>
      <c r="J3" s="183"/>
      <c r="K3" s="184"/>
      <c r="L3" s="183"/>
      <c r="M3" s="183"/>
      <c r="N3" s="184"/>
      <c r="O3" s="184"/>
      <c r="P3" s="184"/>
      <c r="Q3" s="183"/>
      <c r="R3" s="459" t="s">
        <v>43</v>
      </c>
    </row>
    <row r="4" spans="1:18" ht="28.5" customHeight="1" thickBot="1">
      <c r="A4" s="54" t="s">
        <v>0</v>
      </c>
      <c r="B4" s="387" t="s">
        <v>1</v>
      </c>
      <c r="C4" s="387" t="s">
        <v>2</v>
      </c>
      <c r="D4" s="387" t="s">
        <v>3</v>
      </c>
      <c r="E4" s="387" t="s">
        <v>4</v>
      </c>
      <c r="F4" s="101" t="s">
        <v>192</v>
      </c>
      <c r="G4" s="101" t="s">
        <v>6</v>
      </c>
      <c r="H4" s="388" t="s">
        <v>7</v>
      </c>
      <c r="I4" s="101" t="s">
        <v>9</v>
      </c>
      <c r="J4" s="765" t="s">
        <v>83</v>
      </c>
      <c r="K4" s="541" t="s">
        <v>84</v>
      </c>
      <c r="L4" s="101" t="s">
        <v>8</v>
      </c>
      <c r="M4" s="388" t="s">
        <v>64</v>
      </c>
      <c r="N4" s="500" t="s">
        <v>10</v>
      </c>
      <c r="O4" s="25" t="s">
        <v>11</v>
      </c>
      <c r="P4" s="609" t="s">
        <v>68</v>
      </c>
      <c r="Q4" s="591" t="s">
        <v>69</v>
      </c>
      <c r="R4" s="460" t="s">
        <v>12</v>
      </c>
    </row>
    <row r="5" spans="1:21" s="26" customFormat="1" ht="23.25" customHeight="1" thickBot="1">
      <c r="A5" s="60" t="s">
        <v>13</v>
      </c>
      <c r="B5" s="287">
        <f aca="true" t="shared" si="0" ref="B5:J5">B7+B100</f>
        <v>13863962.24</v>
      </c>
      <c r="C5" s="287">
        <f t="shared" si="0"/>
        <v>6514575.53</v>
      </c>
      <c r="D5" s="287">
        <f>D7+D100</f>
        <v>14168442.940000001</v>
      </c>
      <c r="E5" s="287">
        <f t="shared" si="0"/>
        <v>15316398.580000002</v>
      </c>
      <c r="F5" s="288">
        <f t="shared" si="0"/>
        <v>4852594.08</v>
      </c>
      <c r="G5" s="288">
        <f t="shared" si="0"/>
        <v>10814024.6</v>
      </c>
      <c r="H5" s="289">
        <f t="shared" si="0"/>
        <v>4010975.58</v>
      </c>
      <c r="I5" s="288">
        <f t="shared" si="0"/>
        <v>1076766</v>
      </c>
      <c r="J5" s="719">
        <f t="shared" si="0"/>
        <v>273118</v>
      </c>
      <c r="K5" s="289">
        <f>K7+K100</f>
        <v>69668745.05000001</v>
      </c>
      <c r="L5" s="481">
        <f aca="true" t="shared" si="1" ref="L5:Q5">L7+L100</f>
        <v>5567221</v>
      </c>
      <c r="M5" s="289">
        <f t="shared" si="1"/>
        <v>69018</v>
      </c>
      <c r="N5" s="288">
        <f t="shared" si="1"/>
        <v>3689342.0600000005</v>
      </c>
      <c r="O5" s="288">
        <f t="shared" si="1"/>
        <v>2401724</v>
      </c>
      <c r="P5" s="288">
        <f t="shared" si="1"/>
        <v>0</v>
      </c>
      <c r="Q5" s="592">
        <f t="shared" si="1"/>
        <v>51085</v>
      </c>
      <c r="R5" s="368">
        <f>R7+R100</f>
        <v>82669247.61</v>
      </c>
      <c r="S5" s="174"/>
      <c r="T5" s="174"/>
      <c r="U5" s="174"/>
    </row>
    <row r="6" spans="1:21" ht="20.25" customHeight="1" thickBot="1">
      <c r="A6" s="61"/>
      <c r="B6" s="211"/>
      <c r="C6" s="211"/>
      <c r="D6" s="211"/>
      <c r="E6" s="211"/>
      <c r="F6" s="24"/>
      <c r="G6" s="24"/>
      <c r="H6" s="191"/>
      <c r="I6" s="24"/>
      <c r="J6" s="720"/>
      <c r="K6" s="191"/>
      <c r="L6" s="288"/>
      <c r="M6" s="191"/>
      <c r="N6" s="24"/>
      <c r="O6" s="24"/>
      <c r="P6" s="370"/>
      <c r="Q6" s="369"/>
      <c r="R6" s="181"/>
      <c r="S6" s="40"/>
      <c r="T6" s="40"/>
      <c r="U6" s="40"/>
    </row>
    <row r="7" spans="1:21" s="26" customFormat="1" ht="26.25" customHeight="1" thickBot="1">
      <c r="A7" s="502" t="s">
        <v>14</v>
      </c>
      <c r="B7" s="290">
        <f aca="true" t="shared" si="2" ref="B7:J7">B10+B48+B77+B79+B93+B94+B97+B98</f>
        <v>13863962.24</v>
      </c>
      <c r="C7" s="290">
        <f t="shared" si="2"/>
        <v>6514575.53</v>
      </c>
      <c r="D7" s="675">
        <f t="shared" si="2"/>
        <v>14168442.940000001</v>
      </c>
      <c r="E7" s="675">
        <f t="shared" si="2"/>
        <v>15224898.580000002</v>
      </c>
      <c r="F7" s="290">
        <f t="shared" si="2"/>
        <v>4602594.08</v>
      </c>
      <c r="G7" s="290">
        <f t="shared" si="2"/>
        <v>10774074.6</v>
      </c>
      <c r="H7" s="291">
        <f t="shared" si="2"/>
        <v>4010975.58</v>
      </c>
      <c r="I7" s="290">
        <f t="shared" si="2"/>
        <v>1076766</v>
      </c>
      <c r="J7" s="721">
        <f t="shared" si="2"/>
        <v>273118</v>
      </c>
      <c r="K7" s="291">
        <f aca="true" t="shared" si="3" ref="K7:Q7">K9+K93+K95+K97+K98</f>
        <v>69287295.05000001</v>
      </c>
      <c r="L7" s="290">
        <f t="shared" si="3"/>
        <v>4967221</v>
      </c>
      <c r="M7" s="291">
        <f t="shared" si="3"/>
        <v>69018</v>
      </c>
      <c r="N7" s="290">
        <f t="shared" si="3"/>
        <v>3689342.0600000005</v>
      </c>
      <c r="O7" s="290">
        <f t="shared" si="3"/>
        <v>2401724</v>
      </c>
      <c r="P7" s="290">
        <f t="shared" si="3"/>
        <v>0</v>
      </c>
      <c r="Q7" s="291">
        <f t="shared" si="3"/>
        <v>51085</v>
      </c>
      <c r="R7" s="290">
        <f>R9+R93+R95+R97+R98+R94</f>
        <v>81687797.61</v>
      </c>
      <c r="S7" s="174"/>
      <c r="T7" s="174"/>
      <c r="U7" s="174"/>
    </row>
    <row r="8" spans="1:21" s="27" customFormat="1" ht="25.5" customHeight="1" thickBot="1">
      <c r="A8" s="503" t="s">
        <v>15</v>
      </c>
      <c r="B8" s="292">
        <f>B48</f>
        <v>3301627</v>
      </c>
      <c r="C8" s="293">
        <f aca="true" t="shared" si="4" ref="C8:Q8">C48</f>
        <v>1063074.31</v>
      </c>
      <c r="D8" s="676">
        <f t="shared" si="4"/>
        <v>3541554</v>
      </c>
      <c r="E8" s="676">
        <f t="shared" si="4"/>
        <v>4505506</v>
      </c>
      <c r="F8" s="292">
        <f t="shared" si="4"/>
        <v>1178878</v>
      </c>
      <c r="G8" s="292">
        <f t="shared" si="4"/>
        <v>2437900</v>
      </c>
      <c r="H8" s="293">
        <f t="shared" si="4"/>
        <v>782365.69</v>
      </c>
      <c r="I8" s="292">
        <f t="shared" si="4"/>
        <v>177130</v>
      </c>
      <c r="J8" s="722">
        <f t="shared" si="4"/>
        <v>176019</v>
      </c>
      <c r="K8" s="542">
        <f>K48</f>
        <v>17164054</v>
      </c>
      <c r="L8" s="292">
        <f t="shared" si="4"/>
        <v>0</v>
      </c>
      <c r="M8" s="293">
        <f t="shared" si="4"/>
        <v>0</v>
      </c>
      <c r="N8" s="292">
        <f t="shared" si="4"/>
        <v>53236</v>
      </c>
      <c r="O8" s="292">
        <f t="shared" si="4"/>
        <v>1090776</v>
      </c>
      <c r="P8" s="292">
        <f t="shared" si="4"/>
        <v>0</v>
      </c>
      <c r="Q8" s="293">
        <f t="shared" si="4"/>
        <v>0</v>
      </c>
      <c r="R8" s="104">
        <f>K8+L8+M8+N8+O8+P8+Q8</f>
        <v>18308066</v>
      </c>
      <c r="S8" s="258"/>
      <c r="T8" s="258"/>
      <c r="U8" s="258"/>
    </row>
    <row r="9" spans="1:21" s="26" customFormat="1" ht="22.5" customHeight="1" thickBot="1">
      <c r="A9" s="504" t="s">
        <v>16</v>
      </c>
      <c r="B9" s="294">
        <f aca="true" t="shared" si="5" ref="B9:J9">B10+B48+B77+B79</f>
        <v>13039569.86</v>
      </c>
      <c r="C9" s="295">
        <f>C10+C48+C77+C79</f>
        <v>5478341.3100000005</v>
      </c>
      <c r="D9" s="677">
        <f t="shared" si="5"/>
        <v>12111751.440000001</v>
      </c>
      <c r="E9" s="677">
        <f t="shared" si="5"/>
        <v>13187963.96</v>
      </c>
      <c r="F9" s="294">
        <f t="shared" si="5"/>
        <v>4507449.08</v>
      </c>
      <c r="G9" s="294">
        <f t="shared" si="5"/>
        <v>10264658.6</v>
      </c>
      <c r="H9" s="295">
        <f t="shared" si="5"/>
        <v>3866245.69</v>
      </c>
      <c r="I9" s="294">
        <f t="shared" si="5"/>
        <v>1076766</v>
      </c>
      <c r="J9" s="723">
        <f t="shared" si="5"/>
        <v>273118</v>
      </c>
      <c r="K9" s="295">
        <f>SUM(B9:J9)</f>
        <v>63805863.940000005</v>
      </c>
      <c r="L9" s="294">
        <f>L10+L48+L77+L79</f>
        <v>4967221</v>
      </c>
      <c r="M9" s="295">
        <f>M10+M49+M75+M76+M77+M79</f>
        <v>69018</v>
      </c>
      <c r="N9" s="294">
        <f>N10+N49+N75+N76+N77+N79</f>
        <v>3645307.0600000005</v>
      </c>
      <c r="O9" s="294">
        <f>O10+O49+O75+O76+O77+O79</f>
        <v>2401724</v>
      </c>
      <c r="P9" s="294">
        <f>P10+P49+P75+P76+P77+P79</f>
        <v>0</v>
      </c>
      <c r="Q9" s="295">
        <f>Q10+Q49+Q75+Q76+Q77+Q79</f>
        <v>51085</v>
      </c>
      <c r="R9" s="294">
        <f>SUM(K9:Q9)</f>
        <v>74940219</v>
      </c>
      <c r="S9" s="174"/>
      <c r="T9" s="174"/>
      <c r="U9" s="174"/>
    </row>
    <row r="10" spans="1:21" s="27" customFormat="1" ht="24.75" customHeight="1" thickBot="1">
      <c r="A10" s="505" t="s">
        <v>56</v>
      </c>
      <c r="B10" s="296">
        <f>B11+B17+B23+B42+133172</f>
        <v>9253256.86</v>
      </c>
      <c r="C10" s="297">
        <f>C11+C17+C23+C42+54946</f>
        <v>4186791</v>
      </c>
      <c r="D10" s="678">
        <f>D11+D17+D23+D42+108764</f>
        <v>8029401.44</v>
      </c>
      <c r="E10" s="678">
        <f>E11+E17+E23+E42+120946</f>
        <v>8184038.960000001</v>
      </c>
      <c r="F10" s="296">
        <f>F11+F17+F23+F42+59081</f>
        <v>3222354.08</v>
      </c>
      <c r="G10" s="296">
        <f>G11+G17+G23+G42+106241</f>
        <v>6210871.6</v>
      </c>
      <c r="H10" s="297">
        <f>H11+H17+H23+H42+50207</f>
        <v>2744239</v>
      </c>
      <c r="I10" s="296">
        <f>I11+I17+I23+I42+11627</f>
        <v>889370</v>
      </c>
      <c r="J10" s="724">
        <f>J11+J17+J23+J42+1780</f>
        <v>97099</v>
      </c>
      <c r="K10" s="297">
        <f>SUM(B10:J10)</f>
        <v>42817421.940000005</v>
      </c>
      <c r="L10" s="296">
        <f aca="true" t="shared" si="6" ref="L10:Q10">L11+L17+L23+L42</f>
        <v>0</v>
      </c>
      <c r="M10" s="297">
        <f>M11+M17+M23+M42+188</f>
        <v>10188</v>
      </c>
      <c r="N10" s="296">
        <f>N11+N17+N23+N42+43824</f>
        <v>3394906.0600000005</v>
      </c>
      <c r="O10" s="296">
        <f t="shared" si="6"/>
        <v>1343973</v>
      </c>
      <c r="P10" s="296">
        <f t="shared" si="6"/>
        <v>0</v>
      </c>
      <c r="Q10" s="297">
        <f t="shared" si="6"/>
        <v>51085</v>
      </c>
      <c r="R10" s="296">
        <f>SUM(K10:Q10)</f>
        <v>47617574.00000001</v>
      </c>
      <c r="S10" s="258"/>
      <c r="T10" s="258"/>
      <c r="U10" s="258"/>
    </row>
    <row r="11" spans="1:21" s="103" customFormat="1" ht="18.75" customHeight="1" thickBot="1">
      <c r="A11" s="506" t="s">
        <v>57</v>
      </c>
      <c r="B11" s="389">
        <f>4546070+29735+12954+B13+1400000</f>
        <v>5995259</v>
      </c>
      <c r="C11" s="390">
        <f>1814602+9375-1250-1183+1577+844752+C13+664+2587</f>
        <v>2674124</v>
      </c>
      <c r="D11" s="679">
        <f>3679779+1183+12881.4+D13+1486686</f>
        <v>5184529.4</v>
      </c>
      <c r="E11" s="679">
        <f>4239039-914+11936.4+E13-664-29200+665907.56</f>
        <v>4891104.960000001</v>
      </c>
      <c r="F11" s="389">
        <f>2021534-20764-9375+11701.2+F13</f>
        <v>2009096.2</v>
      </c>
      <c r="G11" s="389">
        <f>3602838+12954+G13+335000</f>
        <v>3955792</v>
      </c>
      <c r="H11" s="390">
        <f>1615342-2470</f>
        <v>1612872</v>
      </c>
      <c r="I11" s="389">
        <f>403562-6807-1577-2587+29200+2470+174000</f>
        <v>598261</v>
      </c>
      <c r="J11" s="725">
        <f>69244</f>
        <v>69244</v>
      </c>
      <c r="K11" s="543">
        <f>SUM(B11:J11)</f>
        <v>26990282.56</v>
      </c>
      <c r="L11" s="298">
        <v>0</v>
      </c>
      <c r="M11" s="567">
        <v>0</v>
      </c>
      <c r="N11" s="299">
        <f>1437364-62427+9130+9500+650000</f>
        <v>2043567</v>
      </c>
      <c r="O11" s="300">
        <f>141860+38000+40000-12000+36982-6000-2000-14630-13500</f>
        <v>208712</v>
      </c>
      <c r="P11" s="300">
        <v>0</v>
      </c>
      <c r="Q11" s="593">
        <v>0</v>
      </c>
      <c r="R11" s="371">
        <f>SUM(K11:Q11)</f>
        <v>29242561.56</v>
      </c>
      <c r="S11" s="170"/>
      <c r="T11" s="170"/>
      <c r="U11" s="170"/>
    </row>
    <row r="12" spans="1:21" s="29" customFormat="1" ht="12.75">
      <c r="A12" s="385" t="s">
        <v>115</v>
      </c>
      <c r="B12" s="386">
        <v>3914102</v>
      </c>
      <c r="C12" s="524">
        <v>1521744</v>
      </c>
      <c r="D12" s="680">
        <v>3192657</v>
      </c>
      <c r="E12" s="680">
        <v>3677526</v>
      </c>
      <c r="F12" s="386">
        <v>1764775</v>
      </c>
      <c r="G12" s="386">
        <v>3150696</v>
      </c>
      <c r="H12" s="524">
        <v>1473413</v>
      </c>
      <c r="I12" s="386">
        <v>327272</v>
      </c>
      <c r="J12" s="726">
        <v>69244</v>
      </c>
      <c r="K12" s="524">
        <f>SUM(B12:J12)</f>
        <v>19091429</v>
      </c>
      <c r="L12" s="386"/>
      <c r="M12" s="524"/>
      <c r="N12" s="386">
        <v>1231901</v>
      </c>
      <c r="O12" s="386">
        <v>141860</v>
      </c>
      <c r="P12" s="386"/>
      <c r="Q12" s="524"/>
      <c r="R12" s="386">
        <f>SUM(K12:P12)</f>
        <v>20465190</v>
      </c>
      <c r="S12" s="259"/>
      <c r="T12" s="259"/>
      <c r="U12" s="259"/>
    </row>
    <row r="13" spans="1:21" s="29" customFormat="1" ht="15.75">
      <c r="A13" s="218" t="s">
        <v>86</v>
      </c>
      <c r="B13" s="301">
        <f>2000+1500+3000</f>
        <v>6500</v>
      </c>
      <c r="C13" s="302">
        <f>2000+1000</f>
        <v>3000</v>
      </c>
      <c r="D13" s="681">
        <f>2000+2000</f>
        <v>4000</v>
      </c>
      <c r="E13" s="681">
        <f>2000+1000+2000</f>
        <v>5000</v>
      </c>
      <c r="F13" s="301">
        <f>2000+1000+2000+1000</f>
        <v>6000</v>
      </c>
      <c r="G13" s="301">
        <f>2000+1000+2000</f>
        <v>5000</v>
      </c>
      <c r="H13" s="302"/>
      <c r="I13" s="301"/>
      <c r="J13" s="766"/>
      <c r="K13" s="372">
        <f>SUM(B13:I13)</f>
        <v>29500</v>
      </c>
      <c r="L13" s="303"/>
      <c r="M13" s="568"/>
      <c r="N13" s="303">
        <f>9130+9500</f>
        <v>18630</v>
      </c>
      <c r="O13" s="303">
        <f>81860-12000+36982-6000-2000-14630-13500</f>
        <v>70712</v>
      </c>
      <c r="P13" s="303"/>
      <c r="Q13" s="568"/>
      <c r="R13" s="461">
        <f>SUM(K13:Q13)</f>
        <v>118842</v>
      </c>
      <c r="S13" s="259"/>
      <c r="T13" s="259"/>
      <c r="U13" s="259"/>
    </row>
    <row r="14" spans="1:21" s="29" customFormat="1" ht="15.75">
      <c r="A14" s="218" t="s">
        <v>82</v>
      </c>
      <c r="B14" s="301">
        <v>14400</v>
      </c>
      <c r="C14" s="302"/>
      <c r="D14" s="681">
        <v>14400</v>
      </c>
      <c r="E14" s="681"/>
      <c r="F14" s="301"/>
      <c r="G14" s="301">
        <v>14400</v>
      </c>
      <c r="H14" s="302">
        <v>14400</v>
      </c>
      <c r="I14" s="301"/>
      <c r="J14" s="727"/>
      <c r="K14" s="544">
        <f>SUM(B14:I14)</f>
        <v>57600</v>
      </c>
      <c r="L14" s="301"/>
      <c r="M14" s="317"/>
      <c r="N14" s="301"/>
      <c r="O14" s="304">
        <v>60000</v>
      </c>
      <c r="P14" s="301"/>
      <c r="Q14" s="317"/>
      <c r="R14" s="461">
        <f>SUM(K14:Q14)</f>
        <v>117600</v>
      </c>
      <c r="S14" s="259"/>
      <c r="T14" s="259"/>
      <c r="U14" s="259"/>
    </row>
    <row r="15" spans="1:21" s="29" customFormat="1" ht="12.75">
      <c r="A15" s="382" t="s">
        <v>113</v>
      </c>
      <c r="B15" s="383">
        <v>600820</v>
      </c>
      <c r="C15" s="525">
        <v>280037</v>
      </c>
      <c r="D15" s="682">
        <v>466985</v>
      </c>
      <c r="E15" s="682">
        <v>534325</v>
      </c>
      <c r="F15" s="383">
        <v>246495</v>
      </c>
      <c r="G15" s="383">
        <v>431383</v>
      </c>
      <c r="H15" s="525">
        <v>133942</v>
      </c>
      <c r="I15" s="383">
        <v>72161</v>
      </c>
      <c r="J15" s="728"/>
      <c r="K15" s="545">
        <f>SUM(B15:J15)</f>
        <v>2766148</v>
      </c>
      <c r="L15" s="383"/>
      <c r="M15" s="525"/>
      <c r="N15" s="383">
        <v>205463</v>
      </c>
      <c r="O15" s="383"/>
      <c r="P15" s="383"/>
      <c r="Q15" s="525"/>
      <c r="R15" s="384">
        <f>SUM(K15:P15)</f>
        <v>2971611</v>
      </c>
      <c r="S15" s="259"/>
      <c r="T15" s="259"/>
      <c r="U15" s="259"/>
    </row>
    <row r="16" spans="1:21" s="29" customFormat="1" ht="13.5" thickBot="1">
      <c r="A16" s="484" t="s">
        <v>114</v>
      </c>
      <c r="B16" s="485">
        <v>31148</v>
      </c>
      <c r="C16" s="526">
        <v>12821</v>
      </c>
      <c r="D16" s="683">
        <v>20137</v>
      </c>
      <c r="E16" s="683">
        <v>27188</v>
      </c>
      <c r="F16" s="485">
        <v>10264</v>
      </c>
      <c r="G16" s="485">
        <v>20759</v>
      </c>
      <c r="H16" s="526">
        <v>7987</v>
      </c>
      <c r="I16" s="485">
        <v>4129</v>
      </c>
      <c r="J16" s="729"/>
      <c r="K16" s="546">
        <f>SUM(B16:J16)</f>
        <v>134433</v>
      </c>
      <c r="L16" s="485"/>
      <c r="M16" s="526"/>
      <c r="N16" s="485"/>
      <c r="O16" s="485"/>
      <c r="P16" s="485"/>
      <c r="Q16" s="526"/>
      <c r="R16" s="486">
        <f>SUM(K16:P16)</f>
        <v>134433</v>
      </c>
      <c r="S16" s="259"/>
      <c r="T16" s="259"/>
      <c r="U16" s="259"/>
    </row>
    <row r="17" spans="1:21" s="103" customFormat="1" ht="21" customHeight="1" thickBot="1">
      <c r="A17" s="215" t="s">
        <v>54</v>
      </c>
      <c r="B17" s="487">
        <f>1600217+10467+4041.6+B18+492800</f>
        <v>2109813.6</v>
      </c>
      <c r="C17" s="488">
        <f>638739+3300-440-416+555+297352+C18+233+910</f>
        <v>941289</v>
      </c>
      <c r="D17" s="684">
        <f>1295282+416+4019.04+D18+523314</f>
        <v>1824439.04</v>
      </c>
      <c r="E17" s="684">
        <f>1492142-321+4201.56+E18-233-10278+332888.44</f>
        <v>1820160</v>
      </c>
      <c r="F17" s="487">
        <f>711580-7310-3300+4118.88+F18</f>
        <v>707200.88</v>
      </c>
      <c r="G17" s="487">
        <f>1268199+4041.6+G18+180000</f>
        <v>1454000.6</v>
      </c>
      <c r="H17" s="488">
        <f>568601-869</f>
        <v>567732</v>
      </c>
      <c r="I17" s="487">
        <f>142054-2396-555-910+10278+869+61000</f>
        <v>210340</v>
      </c>
      <c r="J17" s="730">
        <v>24374</v>
      </c>
      <c r="K17" s="547">
        <f>SUM(B17:J17)</f>
        <v>9659349.120000001</v>
      </c>
      <c r="L17" s="305">
        <v>0</v>
      </c>
      <c r="M17" s="569">
        <v>0</v>
      </c>
      <c r="N17" s="305">
        <f>505951-20422.68+3214+3344+210000</f>
        <v>702086.3200000001</v>
      </c>
      <c r="O17" s="305">
        <f>49935+13000+15000-4224+13018-2112-704-5150-4752</f>
        <v>74011</v>
      </c>
      <c r="P17" s="305">
        <v>0</v>
      </c>
      <c r="Q17" s="594">
        <v>0</v>
      </c>
      <c r="R17" s="373">
        <f aca="true" t="shared" si="7" ref="R17:R25">SUM(K17:Q17)</f>
        <v>10435446.440000001</v>
      </c>
      <c r="S17" s="170"/>
      <c r="T17" s="170"/>
      <c r="U17" s="170"/>
    </row>
    <row r="18" spans="1:21" s="30" customFormat="1" ht="15.75">
      <c r="A18" s="218" t="s">
        <v>86</v>
      </c>
      <c r="B18" s="301">
        <f>704+528+1056</f>
        <v>2288</v>
      </c>
      <c r="C18" s="302">
        <f>704+352</f>
        <v>1056</v>
      </c>
      <c r="D18" s="681">
        <f>704+704</f>
        <v>1408</v>
      </c>
      <c r="E18" s="681">
        <f>704+352+704</f>
        <v>1760</v>
      </c>
      <c r="F18" s="301">
        <f>704+352+704+352</f>
        <v>2112</v>
      </c>
      <c r="G18" s="760">
        <f>704+352+704</f>
        <v>1760</v>
      </c>
      <c r="H18" s="302"/>
      <c r="I18" s="301"/>
      <c r="J18" s="727"/>
      <c r="K18" s="544">
        <f>SUM(B18:I18)</f>
        <v>10384</v>
      </c>
      <c r="L18" s="301"/>
      <c r="M18" s="317"/>
      <c r="N18" s="307">
        <f>3214+3344</f>
        <v>6558</v>
      </c>
      <c r="O18" s="307">
        <f>28815-4224+13018-2112-704-5150-4752</f>
        <v>24891</v>
      </c>
      <c r="P18" s="307"/>
      <c r="Q18" s="317"/>
      <c r="R18" s="461">
        <f t="shared" si="7"/>
        <v>41833</v>
      </c>
      <c r="S18" s="185"/>
      <c r="T18" s="185"/>
      <c r="U18" s="185"/>
    </row>
    <row r="19" spans="1:21" s="214" customFormat="1" ht="16.5" thickBot="1">
      <c r="A19" s="234" t="s">
        <v>82</v>
      </c>
      <c r="B19" s="308"/>
      <c r="C19" s="309"/>
      <c r="D19" s="685"/>
      <c r="E19" s="685"/>
      <c r="F19" s="308"/>
      <c r="G19" s="308"/>
      <c r="H19" s="309"/>
      <c r="I19" s="308"/>
      <c r="J19" s="731"/>
      <c r="K19" s="548">
        <f>SUM(B19:I19)</f>
        <v>0</v>
      </c>
      <c r="L19" s="586"/>
      <c r="M19" s="531"/>
      <c r="N19" s="311"/>
      <c r="O19" s="311"/>
      <c r="P19" s="311"/>
      <c r="Q19" s="531"/>
      <c r="R19" s="462">
        <f t="shared" si="7"/>
        <v>0</v>
      </c>
      <c r="S19" s="213"/>
      <c r="T19" s="213"/>
      <c r="U19" s="213"/>
    </row>
    <row r="20" spans="1:21" s="30" customFormat="1" ht="16.5" hidden="1" thickBot="1">
      <c r="A20" s="234"/>
      <c r="B20" s="308"/>
      <c r="C20" s="309"/>
      <c r="D20" s="685"/>
      <c r="E20" s="685"/>
      <c r="F20" s="308"/>
      <c r="G20" s="308"/>
      <c r="H20" s="309"/>
      <c r="I20" s="308"/>
      <c r="J20" s="731"/>
      <c r="K20" s="548">
        <f>SUM(B20:I20)</f>
        <v>0</v>
      </c>
      <c r="L20" s="308"/>
      <c r="M20" s="346"/>
      <c r="N20" s="308"/>
      <c r="O20" s="304"/>
      <c r="P20" s="304"/>
      <c r="Q20" s="346"/>
      <c r="R20" s="462">
        <f t="shared" si="7"/>
        <v>0</v>
      </c>
      <c r="S20" s="185"/>
      <c r="T20" s="185"/>
      <c r="U20" s="185"/>
    </row>
    <row r="21" spans="1:21" s="30" customFormat="1" ht="16.5" hidden="1" thickBot="1">
      <c r="A21" s="234"/>
      <c r="B21" s="308"/>
      <c r="C21" s="309"/>
      <c r="D21" s="685"/>
      <c r="E21" s="685"/>
      <c r="F21" s="308"/>
      <c r="G21" s="308"/>
      <c r="H21" s="309"/>
      <c r="I21" s="308"/>
      <c r="J21" s="731"/>
      <c r="K21" s="548">
        <f>SUM(B21:I21)</f>
        <v>0</v>
      </c>
      <c r="L21" s="308"/>
      <c r="M21" s="346"/>
      <c r="N21" s="308"/>
      <c r="O21" s="304"/>
      <c r="P21" s="304"/>
      <c r="Q21" s="346"/>
      <c r="R21" s="462">
        <f t="shared" si="7"/>
        <v>0</v>
      </c>
      <c r="S21" s="185"/>
      <c r="T21" s="185"/>
      <c r="U21" s="185"/>
    </row>
    <row r="22" spans="1:21" s="30" customFormat="1" ht="16.5" hidden="1" thickBot="1">
      <c r="A22" s="235"/>
      <c r="B22" s="313"/>
      <c r="C22" s="314"/>
      <c r="D22" s="686"/>
      <c r="E22" s="686"/>
      <c r="F22" s="313"/>
      <c r="G22" s="313"/>
      <c r="H22" s="314"/>
      <c r="I22" s="313"/>
      <c r="J22" s="732"/>
      <c r="K22" s="549">
        <f>SUM(B22:I22)</f>
        <v>0</v>
      </c>
      <c r="L22" s="313"/>
      <c r="M22" s="321"/>
      <c r="N22" s="313"/>
      <c r="O22" s="489"/>
      <c r="P22" s="489"/>
      <c r="Q22" s="321"/>
      <c r="R22" s="463">
        <f t="shared" si="7"/>
        <v>0</v>
      </c>
      <c r="S22" s="185"/>
      <c r="T22" s="185"/>
      <c r="U22" s="185"/>
    </row>
    <row r="23" spans="1:21" s="103" customFormat="1" ht="18.75" customHeight="1" thickBot="1">
      <c r="A23" s="216" t="s">
        <v>55</v>
      </c>
      <c r="B23" s="490">
        <f>948238+17027+1493+13582+38112-3439.74</f>
        <v>1015012.26</v>
      </c>
      <c r="C23" s="491">
        <f>473807+7836+13000+459+5605+15725</f>
        <v>516432</v>
      </c>
      <c r="D23" s="687">
        <f>819147+15070+35000+230+11095+31127</f>
        <v>911669</v>
      </c>
      <c r="E23" s="687">
        <f>712032+15116+576399+1330+12338+34613</f>
        <v>1351828</v>
      </c>
      <c r="F23" s="490">
        <f>414340+7724+1977+6027+16908</f>
        <v>446976</v>
      </c>
      <c r="G23" s="490">
        <f>788800-152000+15418+1377+10838+30405</f>
        <v>694838</v>
      </c>
      <c r="H23" s="491">
        <f>490756+2647+534+5122+14369</f>
        <v>513428</v>
      </c>
      <c r="I23" s="490">
        <f>73814-8000+3328</f>
        <v>69142</v>
      </c>
      <c r="J23" s="767">
        <f>1193+508</f>
        <v>1701</v>
      </c>
      <c r="K23" s="496">
        <f>SUM(B23:J23)</f>
        <v>5521026.26</v>
      </c>
      <c r="L23" s="587">
        <v>0</v>
      </c>
      <c r="M23" s="491">
        <v>10000</v>
      </c>
      <c r="N23" s="490">
        <f>391361-1+152000+10526+244+47859+3439.74</f>
        <v>605428.74</v>
      </c>
      <c r="O23" s="316">
        <f>961250+75000+25000</f>
        <v>1061250</v>
      </c>
      <c r="P23" s="316">
        <v>0</v>
      </c>
      <c r="Q23" s="496">
        <f>1381552-690776+244+60317-244-578310-112466-9232</f>
        <v>51085</v>
      </c>
      <c r="R23" s="374">
        <f t="shared" si="7"/>
        <v>7248790</v>
      </c>
      <c r="S23" s="170"/>
      <c r="T23" s="170"/>
      <c r="U23" s="170"/>
    </row>
    <row r="24" spans="1:21" s="102" customFormat="1" ht="15">
      <c r="A24" s="391" t="s">
        <v>116</v>
      </c>
      <c r="B24" s="381"/>
      <c r="C24" s="527">
        <v>59000</v>
      </c>
      <c r="D24" s="688"/>
      <c r="E24" s="688"/>
      <c r="F24" s="381"/>
      <c r="G24" s="381"/>
      <c r="H24" s="527"/>
      <c r="I24" s="381"/>
      <c r="J24" s="733"/>
      <c r="K24" s="550">
        <f aca="true" t="shared" si="8" ref="K24:K37">SUM(B24:I24)</f>
        <v>59000</v>
      </c>
      <c r="L24" s="301"/>
      <c r="M24" s="302"/>
      <c r="N24" s="301"/>
      <c r="O24" s="301"/>
      <c r="P24" s="301"/>
      <c r="Q24" s="302"/>
      <c r="R24" s="464">
        <f t="shared" si="7"/>
        <v>59000</v>
      </c>
      <c r="S24" s="260"/>
      <c r="T24" s="260"/>
      <c r="U24" s="260"/>
    </row>
    <row r="25" spans="1:21" s="102" customFormat="1" ht="15">
      <c r="A25" s="391" t="s">
        <v>117</v>
      </c>
      <c r="B25" s="381"/>
      <c r="C25" s="527"/>
      <c r="D25" s="688"/>
      <c r="E25" s="688"/>
      <c r="F25" s="381"/>
      <c r="G25" s="381"/>
      <c r="H25" s="527"/>
      <c r="I25" s="381"/>
      <c r="J25" s="733"/>
      <c r="K25" s="550">
        <f t="shared" si="8"/>
        <v>0</v>
      </c>
      <c r="L25" s="301"/>
      <c r="M25" s="302"/>
      <c r="N25" s="301"/>
      <c r="O25" s="304">
        <v>34566</v>
      </c>
      <c r="P25" s="301"/>
      <c r="Q25" s="326">
        <f>33107-33107</f>
        <v>0</v>
      </c>
      <c r="R25" s="464">
        <f t="shared" si="7"/>
        <v>34566</v>
      </c>
      <c r="S25" s="260"/>
      <c r="T25" s="260"/>
      <c r="U25" s="260"/>
    </row>
    <row r="26" spans="1:21" s="102" customFormat="1" ht="25.5">
      <c r="A26" s="392" t="s">
        <v>118</v>
      </c>
      <c r="B26" s="381"/>
      <c r="C26" s="527"/>
      <c r="D26" s="688"/>
      <c r="E26" s="688"/>
      <c r="F26" s="381"/>
      <c r="G26" s="381"/>
      <c r="H26" s="527"/>
      <c r="I26" s="381"/>
      <c r="J26" s="733"/>
      <c r="K26" s="550">
        <f t="shared" si="8"/>
        <v>0</v>
      </c>
      <c r="L26" s="301"/>
      <c r="M26" s="302"/>
      <c r="N26" s="301"/>
      <c r="O26" s="301">
        <v>25000</v>
      </c>
      <c r="P26" s="301"/>
      <c r="Q26" s="302"/>
      <c r="R26" s="465">
        <f aca="true" t="shared" si="9" ref="R26:R35">K26+O26</f>
        <v>25000</v>
      </c>
      <c r="S26" s="260"/>
      <c r="T26" s="260"/>
      <c r="U26" s="260"/>
    </row>
    <row r="27" spans="1:21" s="102" customFormat="1" ht="15">
      <c r="A27" s="392" t="s">
        <v>87</v>
      </c>
      <c r="B27" s="381"/>
      <c r="C27" s="527"/>
      <c r="D27" s="688"/>
      <c r="E27" s="688"/>
      <c r="F27" s="381"/>
      <c r="G27" s="381"/>
      <c r="H27" s="527"/>
      <c r="I27" s="381"/>
      <c r="J27" s="733"/>
      <c r="K27" s="550">
        <f t="shared" si="8"/>
        <v>0</v>
      </c>
      <c r="L27" s="301"/>
      <c r="M27" s="302"/>
      <c r="N27" s="301"/>
      <c r="O27" s="301">
        <v>5000</v>
      </c>
      <c r="P27" s="301"/>
      <c r="Q27" s="302"/>
      <c r="R27" s="465">
        <f t="shared" si="9"/>
        <v>5000</v>
      </c>
      <c r="S27" s="260"/>
      <c r="T27" s="260"/>
      <c r="U27" s="260"/>
    </row>
    <row r="28" spans="1:21" s="102" customFormat="1" ht="51">
      <c r="A28" s="392" t="s">
        <v>119</v>
      </c>
      <c r="B28" s="381"/>
      <c r="C28" s="527"/>
      <c r="D28" s="688"/>
      <c r="E28" s="688"/>
      <c r="F28" s="381"/>
      <c r="G28" s="381"/>
      <c r="H28" s="527"/>
      <c r="I28" s="381"/>
      <c r="J28" s="733"/>
      <c r="K28" s="550">
        <f t="shared" si="8"/>
        <v>0</v>
      </c>
      <c r="L28" s="301"/>
      <c r="M28" s="302"/>
      <c r="N28" s="301"/>
      <c r="O28" s="304">
        <v>20000</v>
      </c>
      <c r="P28" s="301"/>
      <c r="Q28" s="302"/>
      <c r="R28" s="465">
        <f t="shared" si="9"/>
        <v>20000</v>
      </c>
      <c r="S28" s="260"/>
      <c r="T28" s="260"/>
      <c r="U28" s="260"/>
    </row>
    <row r="29" spans="1:21" s="102" customFormat="1" ht="51">
      <c r="A29" s="392" t="s">
        <v>120</v>
      </c>
      <c r="B29" s="381"/>
      <c r="C29" s="527"/>
      <c r="D29" s="688"/>
      <c r="E29" s="688"/>
      <c r="F29" s="381"/>
      <c r="G29" s="381"/>
      <c r="H29" s="527"/>
      <c r="I29" s="381"/>
      <c r="J29" s="733"/>
      <c r="K29" s="550">
        <f t="shared" si="8"/>
        <v>0</v>
      </c>
      <c r="L29" s="301"/>
      <c r="M29" s="302"/>
      <c r="N29" s="301"/>
      <c r="O29" s="311">
        <v>110000</v>
      </c>
      <c r="P29" s="301"/>
      <c r="Q29" s="302"/>
      <c r="R29" s="465">
        <f t="shared" si="9"/>
        <v>110000</v>
      </c>
      <c r="S29" s="260"/>
      <c r="T29" s="260"/>
      <c r="U29" s="260"/>
    </row>
    <row r="30" spans="1:21" s="102" customFormat="1" ht="15">
      <c r="A30" s="392" t="s">
        <v>121</v>
      </c>
      <c r="B30" s="381"/>
      <c r="C30" s="527"/>
      <c r="D30" s="688"/>
      <c r="E30" s="688"/>
      <c r="F30" s="381"/>
      <c r="G30" s="381"/>
      <c r="H30" s="527"/>
      <c r="I30" s="381"/>
      <c r="J30" s="733"/>
      <c r="K30" s="550">
        <f t="shared" si="8"/>
        <v>0</v>
      </c>
      <c r="L30" s="308"/>
      <c r="M30" s="309"/>
      <c r="N30" s="308"/>
      <c r="O30" s="304">
        <v>220000</v>
      </c>
      <c r="P30" s="304"/>
      <c r="Q30" s="309"/>
      <c r="R30" s="465">
        <f t="shared" si="9"/>
        <v>220000</v>
      </c>
      <c r="S30" s="260"/>
      <c r="T30" s="260"/>
      <c r="U30" s="260"/>
    </row>
    <row r="31" spans="1:21" s="102" customFormat="1" ht="15">
      <c r="A31" s="392" t="s">
        <v>63</v>
      </c>
      <c r="B31" s="381"/>
      <c r="C31" s="527"/>
      <c r="D31" s="688"/>
      <c r="E31" s="688"/>
      <c r="F31" s="381"/>
      <c r="G31" s="381"/>
      <c r="H31" s="527"/>
      <c r="I31" s="381"/>
      <c r="J31" s="733"/>
      <c r="K31" s="550">
        <f t="shared" si="8"/>
        <v>0</v>
      </c>
      <c r="L31" s="308"/>
      <c r="M31" s="309"/>
      <c r="N31" s="308"/>
      <c r="O31" s="307">
        <v>509684</v>
      </c>
      <c r="P31" s="610"/>
      <c r="Q31" s="309"/>
      <c r="R31" s="465">
        <f t="shared" si="9"/>
        <v>509684</v>
      </c>
      <c r="S31" s="260"/>
      <c r="T31" s="260"/>
      <c r="U31" s="260"/>
    </row>
    <row r="32" spans="1:21" s="102" customFormat="1" ht="15">
      <c r="A32" s="392" t="s">
        <v>122</v>
      </c>
      <c r="B32" s="381"/>
      <c r="C32" s="527"/>
      <c r="D32" s="688"/>
      <c r="E32" s="688"/>
      <c r="F32" s="381"/>
      <c r="G32" s="381"/>
      <c r="H32" s="527"/>
      <c r="I32" s="381"/>
      <c r="J32" s="733"/>
      <c r="K32" s="550">
        <f t="shared" si="8"/>
        <v>0</v>
      </c>
      <c r="L32" s="308"/>
      <c r="M32" s="309"/>
      <c r="N32" s="308"/>
      <c r="O32" s="307">
        <v>35000</v>
      </c>
      <c r="P32" s="610"/>
      <c r="Q32" s="309"/>
      <c r="R32" s="465">
        <f t="shared" si="9"/>
        <v>35000</v>
      </c>
      <c r="S32" s="260"/>
      <c r="T32" s="260"/>
      <c r="U32" s="260"/>
    </row>
    <row r="33" spans="1:21" s="102" customFormat="1" ht="15">
      <c r="A33" s="393" t="s">
        <v>85</v>
      </c>
      <c r="B33" s="396"/>
      <c r="C33" s="528"/>
      <c r="D33" s="689"/>
      <c r="E33" s="689"/>
      <c r="F33" s="396"/>
      <c r="G33" s="396"/>
      <c r="H33" s="528"/>
      <c r="I33" s="396"/>
      <c r="J33" s="734"/>
      <c r="K33" s="550">
        <f t="shared" si="8"/>
        <v>0</v>
      </c>
      <c r="L33" s="308"/>
      <c r="M33" s="309"/>
      <c r="N33" s="308"/>
      <c r="O33" s="307">
        <v>2000</v>
      </c>
      <c r="P33" s="610"/>
      <c r="Q33" s="309"/>
      <c r="R33" s="465">
        <f t="shared" si="9"/>
        <v>2000</v>
      </c>
      <c r="S33" s="260"/>
      <c r="T33" s="260"/>
      <c r="U33" s="260"/>
    </row>
    <row r="34" spans="1:21" s="102" customFormat="1" ht="18.75" customHeight="1">
      <c r="A34" s="393" t="s">
        <v>88</v>
      </c>
      <c r="B34" s="396"/>
      <c r="C34" s="528"/>
      <c r="D34" s="689"/>
      <c r="E34" s="689"/>
      <c r="F34" s="396"/>
      <c r="G34" s="396"/>
      <c r="H34" s="528"/>
      <c r="I34" s="396"/>
      <c r="J34" s="734"/>
      <c r="K34" s="550">
        <f t="shared" si="8"/>
        <v>0</v>
      </c>
      <c r="L34" s="308"/>
      <c r="M34" s="309"/>
      <c r="N34" s="308"/>
      <c r="O34" s="497"/>
      <c r="P34" s="610"/>
      <c r="Q34" s="309"/>
      <c r="R34" s="465">
        <f t="shared" si="9"/>
        <v>0</v>
      </c>
      <c r="S34" s="260"/>
      <c r="T34" s="260"/>
      <c r="U34" s="260"/>
    </row>
    <row r="35" spans="1:21" s="102" customFormat="1" ht="18.75" customHeight="1">
      <c r="A35" s="394" t="s">
        <v>92</v>
      </c>
      <c r="B35" s="397"/>
      <c r="C35" s="529">
        <v>29000</v>
      </c>
      <c r="D35" s="690"/>
      <c r="E35" s="690"/>
      <c r="F35" s="397"/>
      <c r="G35" s="397"/>
      <c r="H35" s="529"/>
      <c r="I35" s="397"/>
      <c r="J35" s="735"/>
      <c r="K35" s="550">
        <f t="shared" si="8"/>
        <v>29000</v>
      </c>
      <c r="L35" s="308"/>
      <c r="M35" s="309"/>
      <c r="N35" s="308"/>
      <c r="O35" s="498"/>
      <c r="P35" s="610"/>
      <c r="Q35" s="309"/>
      <c r="R35" s="465">
        <f t="shared" si="9"/>
        <v>29000</v>
      </c>
      <c r="S35" s="260"/>
      <c r="T35" s="260"/>
      <c r="U35" s="260"/>
    </row>
    <row r="36" spans="1:21" s="102" customFormat="1" ht="18.75" customHeight="1">
      <c r="A36" s="394" t="s">
        <v>123</v>
      </c>
      <c r="B36" s="397"/>
      <c r="C36" s="529"/>
      <c r="D36" s="690"/>
      <c r="E36" s="690"/>
      <c r="F36" s="397"/>
      <c r="G36" s="397"/>
      <c r="H36" s="529"/>
      <c r="I36" s="397"/>
      <c r="J36" s="735"/>
      <c r="K36" s="550">
        <f t="shared" si="8"/>
        <v>0</v>
      </c>
      <c r="L36" s="308"/>
      <c r="M36" s="309"/>
      <c r="N36" s="308"/>
      <c r="O36" s="307"/>
      <c r="P36" s="610"/>
      <c r="Q36" s="309"/>
      <c r="R36" s="465">
        <f>SUM(M36:Q36)</f>
        <v>0</v>
      </c>
      <c r="S36" s="260"/>
      <c r="T36" s="260"/>
      <c r="U36" s="260"/>
    </row>
    <row r="37" spans="1:21" s="31" customFormat="1" ht="18.75" customHeight="1" thickBot="1">
      <c r="A37" s="395" t="s">
        <v>64</v>
      </c>
      <c r="B37" s="398"/>
      <c r="C37" s="530"/>
      <c r="D37" s="691"/>
      <c r="E37" s="691"/>
      <c r="F37" s="398"/>
      <c r="G37" s="398"/>
      <c r="H37" s="530"/>
      <c r="I37" s="398"/>
      <c r="J37" s="736"/>
      <c r="K37" s="550">
        <f t="shared" si="8"/>
        <v>0</v>
      </c>
      <c r="L37" s="28"/>
      <c r="M37" s="317">
        <v>10000</v>
      </c>
      <c r="N37" s="28"/>
      <c r="O37" s="28"/>
      <c r="P37" s="611"/>
      <c r="Q37" s="317"/>
      <c r="R37" s="461">
        <f aca="true" t="shared" si="10" ref="R37:R45">SUM(K37:Q37)</f>
        <v>10000</v>
      </c>
      <c r="S37" s="260"/>
      <c r="T37" s="260"/>
      <c r="U37" s="260"/>
    </row>
    <row r="38" spans="1:21" s="31" customFormat="1" ht="18.75" customHeight="1" hidden="1">
      <c r="A38" s="507"/>
      <c r="B38" s="28"/>
      <c r="C38" s="317"/>
      <c r="D38" s="692"/>
      <c r="E38" s="692"/>
      <c r="F38" s="28"/>
      <c r="G38" s="28"/>
      <c r="H38" s="317"/>
      <c r="I38" s="28"/>
      <c r="J38" s="737"/>
      <c r="K38" s="551"/>
      <c r="L38" s="28"/>
      <c r="M38" s="317"/>
      <c r="N38" s="28"/>
      <c r="O38" s="28"/>
      <c r="P38" s="612"/>
      <c r="Q38" s="317"/>
      <c r="R38" s="461">
        <f t="shared" si="10"/>
        <v>0</v>
      </c>
      <c r="S38" s="260"/>
      <c r="T38" s="260"/>
      <c r="U38" s="260"/>
    </row>
    <row r="39" spans="1:21" s="29" customFormat="1" ht="15.75" hidden="1">
      <c r="A39" s="507"/>
      <c r="B39" s="28"/>
      <c r="C39" s="317"/>
      <c r="D39" s="692"/>
      <c r="E39" s="692"/>
      <c r="F39" s="28"/>
      <c r="G39" s="28"/>
      <c r="H39" s="317"/>
      <c r="I39" s="28"/>
      <c r="J39" s="737"/>
      <c r="K39" s="551"/>
      <c r="L39" s="28"/>
      <c r="M39" s="317"/>
      <c r="N39" s="28"/>
      <c r="O39" s="28"/>
      <c r="P39" s="612"/>
      <c r="Q39" s="317"/>
      <c r="R39" s="461">
        <f t="shared" si="10"/>
        <v>0</v>
      </c>
      <c r="S39" s="259"/>
      <c r="T39" s="259"/>
      <c r="U39" s="259"/>
    </row>
    <row r="40" spans="1:21" s="29" customFormat="1" ht="15" customHeight="1" hidden="1">
      <c r="A40" s="507"/>
      <c r="B40" s="28"/>
      <c r="C40" s="317"/>
      <c r="D40" s="692"/>
      <c r="E40" s="692"/>
      <c r="F40" s="28"/>
      <c r="G40" s="28"/>
      <c r="H40" s="317"/>
      <c r="I40" s="28"/>
      <c r="J40" s="737"/>
      <c r="K40" s="551"/>
      <c r="L40" s="28"/>
      <c r="M40" s="317"/>
      <c r="N40" s="28"/>
      <c r="O40" s="28"/>
      <c r="P40" s="612"/>
      <c r="Q40" s="317"/>
      <c r="R40" s="461">
        <f t="shared" si="10"/>
        <v>0</v>
      </c>
      <c r="S40" s="259"/>
      <c r="T40" s="259"/>
      <c r="U40" s="259"/>
    </row>
    <row r="41" spans="1:21" s="29" customFormat="1" ht="15.75" hidden="1">
      <c r="A41" s="507"/>
      <c r="B41" s="28"/>
      <c r="C41" s="317"/>
      <c r="D41" s="692"/>
      <c r="E41" s="692"/>
      <c r="F41" s="28"/>
      <c r="G41" s="28"/>
      <c r="H41" s="317"/>
      <c r="I41" s="28"/>
      <c r="J41" s="737"/>
      <c r="K41" s="551"/>
      <c r="L41" s="28"/>
      <c r="M41" s="317"/>
      <c r="N41" s="28"/>
      <c r="O41" s="28"/>
      <c r="P41" s="612"/>
      <c r="Q41" s="317"/>
      <c r="R41" s="461">
        <f t="shared" si="10"/>
        <v>0</v>
      </c>
      <c r="S41" s="259"/>
      <c r="T41" s="259"/>
      <c r="U41" s="259"/>
    </row>
    <row r="42" spans="1:21" s="29" customFormat="1" ht="15.75" hidden="1">
      <c r="A42" s="508"/>
      <c r="B42" s="318">
        <f aca="true" t="shared" si="11" ref="B42:H42">B43+B44</f>
        <v>0</v>
      </c>
      <c r="C42" s="319">
        <f t="shared" si="11"/>
        <v>0</v>
      </c>
      <c r="D42" s="693">
        <f t="shared" si="11"/>
        <v>0</v>
      </c>
      <c r="E42" s="693">
        <f t="shared" si="11"/>
        <v>0</v>
      </c>
      <c r="F42" s="318">
        <f t="shared" si="11"/>
        <v>0</v>
      </c>
      <c r="G42" s="318">
        <f t="shared" si="11"/>
        <v>0</v>
      </c>
      <c r="H42" s="319">
        <f t="shared" si="11"/>
        <v>0</v>
      </c>
      <c r="I42" s="318"/>
      <c r="J42" s="738"/>
      <c r="K42" s="552">
        <f>SUM(B42:H42)</f>
        <v>0</v>
      </c>
      <c r="L42" s="318"/>
      <c r="M42" s="319"/>
      <c r="N42" s="318">
        <f>N43+N44</f>
        <v>0</v>
      </c>
      <c r="O42" s="318">
        <f>O43+O44</f>
        <v>0</v>
      </c>
      <c r="P42" s="38">
        <f>P43+P44</f>
        <v>0</v>
      </c>
      <c r="Q42" s="319">
        <f>Q43+Q44</f>
        <v>0</v>
      </c>
      <c r="R42" s="466">
        <f t="shared" si="10"/>
        <v>0</v>
      </c>
      <c r="S42" s="259"/>
      <c r="T42" s="259"/>
      <c r="U42" s="259"/>
    </row>
    <row r="43" spans="1:21" s="29" customFormat="1" ht="15.75" hidden="1">
      <c r="A43" s="509"/>
      <c r="B43" s="32"/>
      <c r="C43" s="531"/>
      <c r="D43" s="225"/>
      <c r="E43" s="776"/>
      <c r="F43" s="32"/>
      <c r="G43" s="28"/>
      <c r="H43" s="192"/>
      <c r="I43" s="320"/>
      <c r="J43" s="768"/>
      <c r="K43" s="551"/>
      <c r="L43" s="310"/>
      <c r="M43" s="531"/>
      <c r="N43" s="310"/>
      <c r="O43" s="310"/>
      <c r="P43" s="613"/>
      <c r="Q43" s="531"/>
      <c r="R43" s="467">
        <f t="shared" si="10"/>
        <v>0</v>
      </c>
      <c r="S43" s="259"/>
      <c r="T43" s="259"/>
      <c r="U43" s="259"/>
    </row>
    <row r="44" spans="1:21" s="27" customFormat="1" ht="15" customHeight="1" hidden="1">
      <c r="A44" s="510"/>
      <c r="B44" s="315"/>
      <c r="C44" s="321"/>
      <c r="D44" s="694"/>
      <c r="E44" s="694"/>
      <c r="F44" s="315"/>
      <c r="G44" s="28"/>
      <c r="H44" s="321"/>
      <c r="I44" s="312"/>
      <c r="J44" s="758"/>
      <c r="K44" s="551"/>
      <c r="L44" s="315"/>
      <c r="M44" s="321"/>
      <c r="N44" s="315"/>
      <c r="O44" s="315"/>
      <c r="P44" s="614"/>
      <c r="Q44" s="595"/>
      <c r="R44" s="375">
        <f t="shared" si="10"/>
        <v>0</v>
      </c>
      <c r="S44" s="258"/>
      <c r="T44" s="258"/>
      <c r="U44" s="258"/>
    </row>
    <row r="45" spans="1:21" s="33" customFormat="1" ht="15.75" hidden="1">
      <c r="A45" s="511"/>
      <c r="B45" s="315"/>
      <c r="C45" s="321"/>
      <c r="D45" s="694"/>
      <c r="E45" s="694"/>
      <c r="F45" s="315"/>
      <c r="G45" s="28"/>
      <c r="H45" s="321"/>
      <c r="I45" s="312"/>
      <c r="J45" s="758"/>
      <c r="K45" s="551"/>
      <c r="L45" s="315"/>
      <c r="M45" s="321"/>
      <c r="N45" s="315"/>
      <c r="O45" s="315"/>
      <c r="P45" s="614"/>
      <c r="Q45" s="595"/>
      <c r="R45" s="375">
        <f t="shared" si="10"/>
        <v>0</v>
      </c>
      <c r="S45" s="186"/>
      <c r="T45" s="186"/>
      <c r="U45" s="186"/>
    </row>
    <row r="46" spans="1:21" s="27" customFormat="1" ht="16.5" hidden="1" thickBot="1">
      <c r="A46" s="512"/>
      <c r="B46" s="59"/>
      <c r="C46" s="532"/>
      <c r="D46" s="695"/>
      <c r="E46" s="227"/>
      <c r="F46" s="169"/>
      <c r="G46" s="354"/>
      <c r="H46" s="762"/>
      <c r="I46" s="322"/>
      <c r="J46" s="739"/>
      <c r="K46" s="553"/>
      <c r="L46" s="59"/>
      <c r="M46" s="532"/>
      <c r="N46" s="59"/>
      <c r="O46" s="59"/>
      <c r="P46" s="615"/>
      <c r="Q46" s="596"/>
      <c r="R46" s="468"/>
      <c r="S46" s="258"/>
      <c r="T46" s="258"/>
      <c r="U46" s="258"/>
    </row>
    <row r="47" spans="1:21" s="27" customFormat="1" ht="15.75" thickBot="1">
      <c r="A47" s="640" t="s">
        <v>149</v>
      </c>
      <c r="B47" s="354"/>
      <c r="C47" s="355"/>
      <c r="D47" s="696"/>
      <c r="E47" s="718"/>
      <c r="F47" s="638"/>
      <c r="G47" s="354"/>
      <c r="H47" s="763"/>
      <c r="I47" s="322"/>
      <c r="J47" s="739"/>
      <c r="K47" s="553"/>
      <c r="L47" s="354"/>
      <c r="M47" s="355"/>
      <c r="N47" s="354"/>
      <c r="O47" s="354">
        <v>80000</v>
      </c>
      <c r="P47" s="633"/>
      <c r="Q47" s="608"/>
      <c r="R47" s="639"/>
      <c r="S47" s="258"/>
      <c r="T47" s="258"/>
      <c r="U47" s="258"/>
    </row>
    <row r="48" spans="1:21" s="27" customFormat="1" ht="26.25" customHeight="1" thickBot="1">
      <c r="A48" s="513" t="s">
        <v>17</v>
      </c>
      <c r="B48" s="323">
        <f aca="true" t="shared" si="12" ref="B48:J48">B49+B75+B76</f>
        <v>3301627</v>
      </c>
      <c r="C48" s="324">
        <f t="shared" si="12"/>
        <v>1063074.31</v>
      </c>
      <c r="D48" s="697">
        <f t="shared" si="12"/>
        <v>3541554</v>
      </c>
      <c r="E48" s="697">
        <f t="shared" si="12"/>
        <v>4505506</v>
      </c>
      <c r="F48" s="323">
        <f t="shared" si="12"/>
        <v>1178878</v>
      </c>
      <c r="G48" s="323">
        <f t="shared" si="12"/>
        <v>2437900</v>
      </c>
      <c r="H48" s="324">
        <f t="shared" si="12"/>
        <v>782365.69</v>
      </c>
      <c r="I48" s="323">
        <f t="shared" si="12"/>
        <v>177130</v>
      </c>
      <c r="J48" s="740">
        <f t="shared" si="12"/>
        <v>176019</v>
      </c>
      <c r="K48" s="324">
        <f aca="true" t="shared" si="13" ref="K48:K58">SUM(B48:J48)</f>
        <v>17164054</v>
      </c>
      <c r="L48" s="323">
        <f>L49+L50+L55+L56+L57</f>
        <v>0</v>
      </c>
      <c r="M48" s="324">
        <f>M49+M50+M55+M56+M57</f>
        <v>0</v>
      </c>
      <c r="N48" s="323">
        <f>N49+N50+N55+N56+N57</f>
        <v>53236</v>
      </c>
      <c r="O48" s="323">
        <f>O49+O50+O55+O56+O57</f>
        <v>1090776</v>
      </c>
      <c r="P48" s="323">
        <f>P49+P50+P55+P56+P57</f>
        <v>0</v>
      </c>
      <c r="Q48" s="324">
        <f>Q49</f>
        <v>0</v>
      </c>
      <c r="R48" s="323">
        <f>SUM(K48:Q48)</f>
        <v>18308066</v>
      </c>
      <c r="S48" s="258"/>
      <c r="T48" s="258"/>
      <c r="U48" s="258"/>
    </row>
    <row r="49" spans="1:21" s="27" customFormat="1" ht="27" customHeight="1" thickBot="1">
      <c r="A49" s="492" t="s">
        <v>93</v>
      </c>
      <c r="B49" s="482">
        <f>4560038+4056+B64+42366+2028+300+106+30+11-1400000-492800+1681+2000+704+106+4899</f>
        <v>2761375</v>
      </c>
      <c r="C49" s="483">
        <f>1891180+136+758+300+106+C64-1142104+17758+200+71+1758+170+60+1383-13000+1196.31+422+2300+810+275+2032</f>
        <v>786601.31</v>
      </c>
      <c r="D49" s="698">
        <f>4959016+136+406+D64+46978+300+106+2028+136-2010000+2946-35000+200+71+1400+493+83+5327</f>
        <v>2995626</v>
      </c>
      <c r="E49" s="698">
        <f>5392857+406+68+1352+300+106+E64+47792+300+106+2028+406+300+106+6572-1575195+1400+493+177+5793</f>
        <v>3928937</v>
      </c>
      <c r="F49" s="482">
        <f>1153003+2704+F64+10335+2028+1400+493+1239</f>
        <v>1176202</v>
      </c>
      <c r="G49" s="482">
        <f>2549055+1623+2434+1352+G64+22681+600+212+2028+812+400+141+100+36+3303+300+106+800+282+1400+493-515000+363+2738</f>
        <v>2086259</v>
      </c>
      <c r="H49" s="483">
        <f>718320+55+H64+6571+3.69+2+600+212+772</f>
        <v>738325.69</v>
      </c>
      <c r="I49" s="482">
        <f>366936+I64+3370-227000+394</f>
        <v>145700</v>
      </c>
      <c r="J49" s="741">
        <f>174192+1641+186</f>
        <v>176019</v>
      </c>
      <c r="K49" s="554">
        <f t="shared" si="13"/>
        <v>14795045</v>
      </c>
      <c r="L49" s="493"/>
      <c r="M49" s="570"/>
      <c r="N49" s="482">
        <f>884796+1+508+722-22000+300+106+41-860000</f>
        <v>4474</v>
      </c>
      <c r="O49" s="494">
        <f>1478570-8111-7374-600-212-126000-110000-40000-80000-1400-495-50000-7500-2640-2300-812-1000-353-300-107-300-106+22000-2200-777-10800-3804</f>
        <v>1043379</v>
      </c>
      <c r="P49" s="616">
        <v>0</v>
      </c>
      <c r="Q49" s="597">
        <f>200000-200000</f>
        <v>0</v>
      </c>
      <c r="R49" s="495">
        <f>SUM(K49:Q49)</f>
        <v>15842898</v>
      </c>
      <c r="S49" s="258"/>
      <c r="T49" s="258"/>
      <c r="U49" s="258"/>
    </row>
    <row r="50" spans="1:21" s="27" customFormat="1" ht="14.25">
      <c r="A50" s="429" t="s">
        <v>124</v>
      </c>
      <c r="B50" s="399">
        <v>4051021</v>
      </c>
      <c r="C50" s="405">
        <v>1698010</v>
      </c>
      <c r="D50" s="699">
        <v>4492064</v>
      </c>
      <c r="E50" s="699">
        <v>4569879</v>
      </c>
      <c r="F50" s="399">
        <v>988182</v>
      </c>
      <c r="G50" s="399">
        <v>2168737</v>
      </c>
      <c r="H50" s="405">
        <v>628290</v>
      </c>
      <c r="I50" s="399">
        <v>322221</v>
      </c>
      <c r="J50" s="742">
        <v>156916</v>
      </c>
      <c r="K50" s="405">
        <f t="shared" si="13"/>
        <v>19075320</v>
      </c>
      <c r="L50" s="399"/>
      <c r="M50" s="405"/>
      <c r="N50" s="501">
        <v>48603</v>
      </c>
      <c r="O50" s="399"/>
      <c r="P50" s="399"/>
      <c r="Q50" s="405"/>
      <c r="R50" s="424">
        <f>K50+N50+O50</f>
        <v>19123923</v>
      </c>
      <c r="S50" s="258"/>
      <c r="T50" s="258"/>
      <c r="U50" s="258"/>
    </row>
    <row r="51" spans="1:21" s="27" customFormat="1" ht="14.25">
      <c r="A51" s="430">
        <v>0</v>
      </c>
      <c r="B51" s="400">
        <v>52000</v>
      </c>
      <c r="C51" s="413">
        <v>0</v>
      </c>
      <c r="D51" s="700">
        <v>20000</v>
      </c>
      <c r="E51" s="700">
        <v>80000</v>
      </c>
      <c r="F51" s="400"/>
      <c r="G51" s="400"/>
      <c r="H51" s="413"/>
      <c r="I51" s="400"/>
      <c r="J51" s="743">
        <v>0</v>
      </c>
      <c r="K51" s="406">
        <f t="shared" si="13"/>
        <v>152000</v>
      </c>
      <c r="L51" s="400"/>
      <c r="M51" s="413"/>
      <c r="N51" s="412"/>
      <c r="O51" s="412"/>
      <c r="P51" s="400">
        <v>0</v>
      </c>
      <c r="Q51" s="413"/>
      <c r="R51" s="425">
        <f>SUM(K51:P51)</f>
        <v>152000</v>
      </c>
      <c r="S51" s="258"/>
      <c r="T51" s="258"/>
      <c r="U51" s="258"/>
    </row>
    <row r="52" spans="1:21" s="27" customFormat="1" ht="14.25">
      <c r="A52" s="431" t="s">
        <v>125</v>
      </c>
      <c r="B52" s="401">
        <v>95002</v>
      </c>
      <c r="C52" s="415">
        <v>46506</v>
      </c>
      <c r="D52" s="701">
        <v>166204</v>
      </c>
      <c r="E52" s="701">
        <v>266721</v>
      </c>
      <c r="F52" s="401">
        <v>49304</v>
      </c>
      <c r="G52" s="401">
        <v>144930</v>
      </c>
      <c r="H52" s="415">
        <v>11471</v>
      </c>
      <c r="I52" s="401">
        <v>3625</v>
      </c>
      <c r="J52" s="744">
        <v>15675</v>
      </c>
      <c r="K52" s="407">
        <f t="shared" si="13"/>
        <v>799438</v>
      </c>
      <c r="L52" s="401"/>
      <c r="M52" s="415"/>
      <c r="N52" s="414">
        <v>1631</v>
      </c>
      <c r="O52" s="414"/>
      <c r="P52" s="401"/>
      <c r="Q52" s="415"/>
      <c r="R52" s="426">
        <f>K52+N52</f>
        <v>801069</v>
      </c>
      <c r="S52" s="258"/>
      <c r="T52" s="258"/>
      <c r="U52" s="258"/>
    </row>
    <row r="53" spans="1:21" s="27" customFormat="1" ht="14.25">
      <c r="A53" s="431" t="s">
        <v>126</v>
      </c>
      <c r="B53" s="401">
        <v>10683</v>
      </c>
      <c r="C53" s="415">
        <v>7578</v>
      </c>
      <c r="D53" s="701">
        <v>26443</v>
      </c>
      <c r="E53" s="701">
        <v>34654</v>
      </c>
      <c r="F53" s="401">
        <v>8982</v>
      </c>
      <c r="G53" s="401">
        <v>16240</v>
      </c>
      <c r="H53" s="415">
        <v>3848</v>
      </c>
      <c r="I53" s="401">
        <v>917</v>
      </c>
      <c r="J53" s="744">
        <v>1128</v>
      </c>
      <c r="K53" s="407">
        <f t="shared" si="13"/>
        <v>110473</v>
      </c>
      <c r="L53" s="401"/>
      <c r="M53" s="415"/>
      <c r="N53" s="414">
        <v>262</v>
      </c>
      <c r="O53" s="414"/>
      <c r="P53" s="401"/>
      <c r="Q53" s="415"/>
      <c r="R53" s="426">
        <f>K53+N53</f>
        <v>110735</v>
      </c>
      <c r="S53" s="258"/>
      <c r="T53" s="258"/>
      <c r="U53" s="258"/>
    </row>
    <row r="54" spans="1:21" s="27" customFormat="1" ht="14.25">
      <c r="A54" s="431" t="s">
        <v>127</v>
      </c>
      <c r="B54" s="401">
        <v>148173</v>
      </c>
      <c r="C54" s="415">
        <v>46398</v>
      </c>
      <c r="D54" s="701">
        <v>86808</v>
      </c>
      <c r="E54" s="701">
        <v>157153</v>
      </c>
      <c r="F54" s="401">
        <v>58372</v>
      </c>
      <c r="G54" s="401">
        <v>64358</v>
      </c>
      <c r="H54" s="415">
        <v>34424</v>
      </c>
      <c r="I54" s="401">
        <v>14967</v>
      </c>
      <c r="J54" s="744">
        <v>0</v>
      </c>
      <c r="K54" s="407">
        <f t="shared" si="13"/>
        <v>610653</v>
      </c>
      <c r="L54" s="401"/>
      <c r="M54" s="415"/>
      <c r="N54" s="414"/>
      <c r="O54" s="414"/>
      <c r="P54" s="401"/>
      <c r="Q54" s="415"/>
      <c r="R54" s="426">
        <f>K54</f>
        <v>610653</v>
      </c>
      <c r="S54" s="258"/>
      <c r="T54" s="258"/>
      <c r="U54" s="258"/>
    </row>
    <row r="55" spans="1:21" s="27" customFormat="1" ht="14.25">
      <c r="A55" s="431" t="s">
        <v>128</v>
      </c>
      <c r="B55" s="401">
        <v>66516</v>
      </c>
      <c r="C55" s="415">
        <v>21176</v>
      </c>
      <c r="D55" s="701">
        <v>38539</v>
      </c>
      <c r="E55" s="701">
        <v>71470</v>
      </c>
      <c r="F55" s="401">
        <v>26416</v>
      </c>
      <c r="G55" s="401">
        <v>28481</v>
      </c>
      <c r="H55" s="415">
        <v>15626</v>
      </c>
      <c r="I55" s="401">
        <v>6886</v>
      </c>
      <c r="J55" s="744">
        <v>0</v>
      </c>
      <c r="K55" s="407">
        <f t="shared" si="13"/>
        <v>275110</v>
      </c>
      <c r="L55" s="401"/>
      <c r="M55" s="415"/>
      <c r="N55" s="414">
        <v>159</v>
      </c>
      <c r="O55" s="414"/>
      <c r="P55" s="401"/>
      <c r="Q55" s="415"/>
      <c r="R55" s="426">
        <f>K55</f>
        <v>275110</v>
      </c>
      <c r="S55" s="258"/>
      <c r="T55" s="258"/>
      <c r="U55" s="258"/>
    </row>
    <row r="56" spans="1:21" s="27" customFormat="1" ht="14.25">
      <c r="A56" s="430" t="s">
        <v>71</v>
      </c>
      <c r="B56" s="400">
        <v>60129</v>
      </c>
      <c r="C56" s="413">
        <v>28820</v>
      </c>
      <c r="D56" s="700">
        <v>54555</v>
      </c>
      <c r="E56" s="700">
        <v>95322</v>
      </c>
      <c r="F56" s="400">
        <v>0</v>
      </c>
      <c r="G56" s="400">
        <v>26777</v>
      </c>
      <c r="H56" s="413">
        <v>0</v>
      </c>
      <c r="I56" s="400">
        <v>0</v>
      </c>
      <c r="J56" s="743">
        <v>0</v>
      </c>
      <c r="K56" s="406">
        <f t="shared" si="13"/>
        <v>265603</v>
      </c>
      <c r="L56" s="400"/>
      <c r="M56" s="413"/>
      <c r="N56" s="416"/>
      <c r="O56" s="416">
        <v>39397</v>
      </c>
      <c r="P56" s="400"/>
      <c r="Q56" s="413"/>
      <c r="R56" s="425">
        <f>K56+O56</f>
        <v>305000</v>
      </c>
      <c r="S56" s="258"/>
      <c r="T56" s="258"/>
      <c r="U56" s="258"/>
    </row>
    <row r="57" spans="1:21" s="27" customFormat="1" ht="14.25">
      <c r="A57" s="430" t="s">
        <v>129</v>
      </c>
      <c r="B57" s="400">
        <v>8000</v>
      </c>
      <c r="C57" s="413">
        <v>0</v>
      </c>
      <c r="D57" s="700">
        <v>8000</v>
      </c>
      <c r="E57" s="700">
        <v>40000</v>
      </c>
      <c r="F57" s="400">
        <v>0</v>
      </c>
      <c r="G57" s="400">
        <v>12000</v>
      </c>
      <c r="H57" s="413">
        <v>4000</v>
      </c>
      <c r="I57" s="400">
        <v>4000</v>
      </c>
      <c r="J57" s="769">
        <v>0</v>
      </c>
      <c r="K57" s="408">
        <f t="shared" si="13"/>
        <v>76000</v>
      </c>
      <c r="L57" s="400"/>
      <c r="M57" s="413"/>
      <c r="N57" s="417"/>
      <c r="O57" s="417">
        <v>8000</v>
      </c>
      <c r="P57" s="400"/>
      <c r="Q57" s="413"/>
      <c r="R57" s="425">
        <f>K57+N57+O57</f>
        <v>84000</v>
      </c>
      <c r="S57" s="258"/>
      <c r="T57" s="258"/>
      <c r="U57" s="258"/>
    </row>
    <row r="58" spans="1:21" s="27" customFormat="1" ht="14.25">
      <c r="A58" s="432" t="s">
        <v>83</v>
      </c>
      <c r="B58" s="402">
        <f>12214+42366</f>
        <v>54580</v>
      </c>
      <c r="C58" s="419">
        <f>5119+17758</f>
        <v>22877</v>
      </c>
      <c r="D58" s="702">
        <f>13543+46978</f>
        <v>60521</v>
      </c>
      <c r="E58" s="702">
        <f>13778+47792</f>
        <v>61570</v>
      </c>
      <c r="F58" s="402">
        <f>2979+10335</f>
        <v>13314</v>
      </c>
      <c r="G58" s="402">
        <f>50000+22681</f>
        <v>72681</v>
      </c>
      <c r="H58" s="419">
        <f>1894+6571</f>
        <v>8465</v>
      </c>
      <c r="I58" s="402">
        <v>3370</v>
      </c>
      <c r="J58" s="745">
        <f>473+1641</f>
        <v>2114</v>
      </c>
      <c r="K58" s="409">
        <f t="shared" si="13"/>
        <v>299492</v>
      </c>
      <c r="L58" s="402"/>
      <c r="M58" s="419"/>
      <c r="N58" s="418">
        <v>508</v>
      </c>
      <c r="O58" s="418"/>
      <c r="P58" s="402"/>
      <c r="Q58" s="419">
        <f>200000-200000</f>
        <v>0</v>
      </c>
      <c r="R58" s="425">
        <f>K58+Q58</f>
        <v>299492</v>
      </c>
      <c r="S58" s="258"/>
      <c r="T58" s="258"/>
      <c r="U58" s="258"/>
    </row>
    <row r="59" spans="1:21" s="27" customFormat="1" ht="15" thickBot="1">
      <c r="A59" s="433" t="s">
        <v>130</v>
      </c>
      <c r="B59" s="403"/>
      <c r="C59" s="421"/>
      <c r="D59" s="703"/>
      <c r="E59" s="703"/>
      <c r="F59" s="403"/>
      <c r="G59" s="403"/>
      <c r="H59" s="421"/>
      <c r="I59" s="403"/>
      <c r="J59" s="746"/>
      <c r="K59" s="410"/>
      <c r="L59" s="403"/>
      <c r="M59" s="421"/>
      <c r="N59" s="420"/>
      <c r="O59" s="420">
        <v>90000</v>
      </c>
      <c r="P59" s="403"/>
      <c r="Q59" s="421"/>
      <c r="R59" s="427">
        <f>K59+O59</f>
        <v>90000</v>
      </c>
      <c r="S59" s="258"/>
      <c r="T59" s="258"/>
      <c r="U59" s="258"/>
    </row>
    <row r="60" spans="1:21" s="27" customFormat="1" ht="14.25">
      <c r="A60" s="434" t="s">
        <v>131</v>
      </c>
      <c r="B60" s="404">
        <v>56300</v>
      </c>
      <c r="C60" s="423">
        <v>37573</v>
      </c>
      <c r="D60" s="704">
        <v>52860</v>
      </c>
      <c r="E60" s="704">
        <v>63880</v>
      </c>
      <c r="F60" s="404">
        <v>18768</v>
      </c>
      <c r="G60" s="404">
        <v>37532</v>
      </c>
      <c r="H60" s="423">
        <v>18767</v>
      </c>
      <c r="I60" s="404">
        <v>14320</v>
      </c>
      <c r="J60" s="747">
        <v>0</v>
      </c>
      <c r="K60" s="411">
        <f>SUM(B60:J60)</f>
        <v>300000</v>
      </c>
      <c r="L60" s="404"/>
      <c r="M60" s="423"/>
      <c r="N60" s="422"/>
      <c r="O60" s="422"/>
      <c r="P60" s="404"/>
      <c r="Q60" s="423"/>
      <c r="R60" s="428">
        <f>K60</f>
        <v>300000</v>
      </c>
      <c r="S60" s="258"/>
      <c r="T60" s="258"/>
      <c r="U60" s="258"/>
    </row>
    <row r="61" spans="1:21" s="27" customFormat="1" ht="15">
      <c r="A61" s="637" t="s">
        <v>150</v>
      </c>
      <c r="B61" s="304">
        <v>4056</v>
      </c>
      <c r="C61" s="326"/>
      <c r="D61" s="705"/>
      <c r="E61" s="705">
        <v>1352</v>
      </c>
      <c r="F61" s="304">
        <v>2704</v>
      </c>
      <c r="G61" s="304"/>
      <c r="H61" s="326"/>
      <c r="I61" s="304"/>
      <c r="J61" s="748"/>
      <c r="K61" s="555">
        <f aca="true" t="shared" si="14" ref="K61:K73">B61+C61+D61+E61+F61+G61+H61+I61+J61</f>
        <v>8112</v>
      </c>
      <c r="L61" s="28"/>
      <c r="M61" s="317"/>
      <c r="N61" s="28"/>
      <c r="O61" s="301">
        <f>20000-8112</f>
        <v>11888</v>
      </c>
      <c r="P61" s="617"/>
      <c r="Q61" s="317"/>
      <c r="R61" s="375">
        <f aca="true" t="shared" si="15" ref="R61:R77">SUM(K61:Q61)</f>
        <v>20000</v>
      </c>
      <c r="S61" s="258"/>
      <c r="T61" s="258"/>
      <c r="U61" s="258"/>
    </row>
    <row r="62" spans="1:21" s="27" customFormat="1" ht="15.75">
      <c r="A62" s="218" t="s">
        <v>89</v>
      </c>
      <c r="B62" s="301"/>
      <c r="C62" s="302"/>
      <c r="D62" s="681"/>
      <c r="E62" s="681"/>
      <c r="F62" s="301"/>
      <c r="G62" s="301"/>
      <c r="H62" s="302"/>
      <c r="I62" s="301"/>
      <c r="J62" s="727"/>
      <c r="K62" s="555">
        <f t="shared" si="14"/>
        <v>0</v>
      </c>
      <c r="L62" s="28"/>
      <c r="M62" s="317"/>
      <c r="N62" s="28"/>
      <c r="O62" s="301">
        <v>220000</v>
      </c>
      <c r="P62" s="611"/>
      <c r="Q62" s="317"/>
      <c r="R62" s="375">
        <f t="shared" si="15"/>
        <v>220000</v>
      </c>
      <c r="S62" s="258"/>
      <c r="T62" s="258"/>
      <c r="U62" s="258"/>
    </row>
    <row r="63" spans="1:21" s="27" customFormat="1" ht="15">
      <c r="A63" s="435" t="s">
        <v>132</v>
      </c>
      <c r="B63" s="301"/>
      <c r="C63" s="302"/>
      <c r="D63" s="681"/>
      <c r="E63" s="681"/>
      <c r="F63" s="301"/>
      <c r="G63" s="301"/>
      <c r="H63" s="302"/>
      <c r="I63" s="301"/>
      <c r="J63" s="727"/>
      <c r="K63" s="555">
        <f t="shared" si="14"/>
        <v>0</v>
      </c>
      <c r="L63" s="28"/>
      <c r="M63" s="317"/>
      <c r="N63" s="28"/>
      <c r="O63" s="301">
        <v>130000</v>
      </c>
      <c r="P63" s="611"/>
      <c r="Q63" s="317"/>
      <c r="R63" s="375">
        <f t="shared" si="15"/>
        <v>130000</v>
      </c>
      <c r="S63" s="258"/>
      <c r="T63" s="258"/>
      <c r="U63" s="258"/>
    </row>
    <row r="64" spans="1:21" s="27" customFormat="1" ht="15">
      <c r="A64" s="435" t="s">
        <v>133</v>
      </c>
      <c r="B64" s="301">
        <f>28850+7000</f>
        <v>35850</v>
      </c>
      <c r="C64" s="302">
        <f>6790+14000</f>
        <v>20790</v>
      </c>
      <c r="D64" s="681">
        <f>14000+7000</f>
        <v>21000</v>
      </c>
      <c r="E64" s="681">
        <f>31570+12000</f>
        <v>43570</v>
      </c>
      <c r="F64" s="301">
        <v>5000</v>
      </c>
      <c r="G64" s="301">
        <v>10000</v>
      </c>
      <c r="H64" s="302">
        <v>11790</v>
      </c>
      <c r="I64" s="301">
        <v>2000</v>
      </c>
      <c r="J64" s="727"/>
      <c r="K64" s="555">
        <f t="shared" si="14"/>
        <v>150000</v>
      </c>
      <c r="L64" s="28"/>
      <c r="M64" s="317"/>
      <c r="N64" s="28"/>
      <c r="O64" s="301">
        <f>150000-110000-40000</f>
        <v>0</v>
      </c>
      <c r="P64" s="611"/>
      <c r="Q64" s="317"/>
      <c r="R64" s="375">
        <f t="shared" si="15"/>
        <v>150000</v>
      </c>
      <c r="S64" s="258"/>
      <c r="T64" s="258"/>
      <c r="U64" s="258"/>
    </row>
    <row r="65" spans="1:21" s="29" customFormat="1" ht="15">
      <c r="A65" s="435" t="s">
        <v>134</v>
      </c>
      <c r="B65" s="301"/>
      <c r="C65" s="302"/>
      <c r="D65" s="681"/>
      <c r="E65" s="681"/>
      <c r="F65" s="301"/>
      <c r="G65" s="301"/>
      <c r="H65" s="302"/>
      <c r="I65" s="301"/>
      <c r="J65" s="727"/>
      <c r="K65" s="555">
        <f t="shared" si="14"/>
        <v>0</v>
      </c>
      <c r="L65" s="28"/>
      <c r="M65" s="317"/>
      <c r="N65" s="28"/>
      <c r="O65" s="301">
        <v>8000</v>
      </c>
      <c r="P65" s="618"/>
      <c r="Q65" s="317"/>
      <c r="R65" s="375">
        <f t="shared" si="15"/>
        <v>8000</v>
      </c>
      <c r="S65" s="259"/>
      <c r="T65" s="259"/>
      <c r="U65" s="259"/>
    </row>
    <row r="66" spans="1:21" s="27" customFormat="1" ht="15">
      <c r="A66" s="435" t="s">
        <v>135</v>
      </c>
      <c r="B66" s="301"/>
      <c r="C66" s="302"/>
      <c r="D66" s="681"/>
      <c r="E66" s="681"/>
      <c r="F66" s="301"/>
      <c r="G66" s="301"/>
      <c r="H66" s="302"/>
      <c r="I66" s="301"/>
      <c r="J66" s="727"/>
      <c r="K66" s="555">
        <f t="shared" si="14"/>
        <v>0</v>
      </c>
      <c r="L66" s="28"/>
      <c r="M66" s="317"/>
      <c r="N66" s="28"/>
      <c r="O66" s="301">
        <f>126000-126000</f>
        <v>0</v>
      </c>
      <c r="P66" s="611"/>
      <c r="Q66" s="317"/>
      <c r="R66" s="375">
        <f t="shared" si="15"/>
        <v>0</v>
      </c>
      <c r="S66" s="258"/>
      <c r="T66" s="258"/>
      <c r="U66" s="258"/>
    </row>
    <row r="67" spans="1:21" s="27" customFormat="1" ht="15">
      <c r="A67" s="435" t="s">
        <v>18</v>
      </c>
      <c r="B67" s="301"/>
      <c r="C67" s="302"/>
      <c r="D67" s="681"/>
      <c r="E67" s="681"/>
      <c r="F67" s="301"/>
      <c r="G67" s="301"/>
      <c r="H67" s="302"/>
      <c r="I67" s="301"/>
      <c r="J67" s="727"/>
      <c r="K67" s="555">
        <f t="shared" si="14"/>
        <v>0</v>
      </c>
      <c r="L67" s="28"/>
      <c r="M67" s="317"/>
      <c r="N67" s="28"/>
      <c r="O67" s="301">
        <f>50000-50000</f>
        <v>0</v>
      </c>
      <c r="P67" s="611"/>
      <c r="Q67" s="317"/>
      <c r="R67" s="375">
        <f t="shared" si="15"/>
        <v>0</v>
      </c>
      <c r="S67" s="258"/>
      <c r="T67" s="258"/>
      <c r="U67" s="258"/>
    </row>
    <row r="68" spans="1:21" s="29" customFormat="1" ht="15">
      <c r="A68" s="435" t="s">
        <v>81</v>
      </c>
      <c r="B68" s="301"/>
      <c r="C68" s="302"/>
      <c r="D68" s="681"/>
      <c r="E68" s="681"/>
      <c r="F68" s="301"/>
      <c r="G68" s="301"/>
      <c r="H68" s="302"/>
      <c r="I68" s="301"/>
      <c r="J68" s="727"/>
      <c r="K68" s="555">
        <f t="shared" si="14"/>
        <v>0</v>
      </c>
      <c r="L68" s="28"/>
      <c r="M68" s="317"/>
      <c r="N68" s="28"/>
      <c r="O68" s="301">
        <v>10000</v>
      </c>
      <c r="P68" s="618"/>
      <c r="Q68" s="317"/>
      <c r="R68" s="375">
        <f t="shared" si="15"/>
        <v>10000</v>
      </c>
      <c r="S68" s="259"/>
      <c r="T68" s="259"/>
      <c r="U68" s="259"/>
    </row>
    <row r="69" spans="1:21" s="27" customFormat="1" ht="15.75">
      <c r="A69" s="218" t="s">
        <v>70</v>
      </c>
      <c r="B69" s="301">
        <f>300+106+30+11</f>
        <v>447</v>
      </c>
      <c r="C69" s="302">
        <f>136+758+300+106+200+71+1300+458+170+60+1196.31+422</f>
        <v>5177.3099999999995</v>
      </c>
      <c r="D69" s="681">
        <f>136+406+300+106+100+36+200+71</f>
        <v>1355</v>
      </c>
      <c r="E69" s="681">
        <f>406+68+300+106+300+106+300+106+300+106</f>
        <v>2098</v>
      </c>
      <c r="F69" s="301"/>
      <c r="G69" s="301">
        <f>1623+2434+1352+600+212+600+212+400+141+100+36+300+106+800+282</f>
        <v>9198</v>
      </c>
      <c r="H69" s="302">
        <f>55+3.69+2</f>
        <v>60.69</v>
      </c>
      <c r="I69" s="301"/>
      <c r="J69" s="727"/>
      <c r="K69" s="555">
        <f t="shared" si="14"/>
        <v>18335.999999999996</v>
      </c>
      <c r="L69" s="28"/>
      <c r="M69" s="317"/>
      <c r="N69" s="28">
        <v>-22000</v>
      </c>
      <c r="O69" s="499">
        <f>70000-2165-2638-2571-600-212-1400-495-1000-353-300-107-300-106+22000-2200-777</f>
        <v>76776</v>
      </c>
      <c r="P69" s="28"/>
      <c r="Q69" s="317"/>
      <c r="R69" s="375">
        <f t="shared" si="15"/>
        <v>73112</v>
      </c>
      <c r="S69" s="258"/>
      <c r="T69" s="258"/>
      <c r="U69" s="258"/>
    </row>
    <row r="70" spans="1:21" s="27" customFormat="1" ht="15">
      <c r="A70" s="391" t="s">
        <v>136</v>
      </c>
      <c r="B70" s="301"/>
      <c r="C70" s="302"/>
      <c r="D70" s="681"/>
      <c r="E70" s="681"/>
      <c r="F70" s="301"/>
      <c r="G70" s="301"/>
      <c r="H70" s="302"/>
      <c r="I70" s="301"/>
      <c r="J70" s="727"/>
      <c r="K70" s="555">
        <f t="shared" si="14"/>
        <v>0</v>
      </c>
      <c r="L70" s="28"/>
      <c r="M70" s="317"/>
      <c r="N70" s="28"/>
      <c r="O70" s="327">
        <v>247174</v>
      </c>
      <c r="P70" s="28"/>
      <c r="Q70" s="317"/>
      <c r="R70" s="375">
        <f t="shared" si="15"/>
        <v>247174</v>
      </c>
      <c r="S70" s="258"/>
      <c r="T70" s="258"/>
      <c r="U70" s="258"/>
    </row>
    <row r="71" spans="1:21" s="27" customFormat="1" ht="15">
      <c r="A71" s="391" t="s">
        <v>137</v>
      </c>
      <c r="B71" s="301"/>
      <c r="C71" s="302"/>
      <c r="D71" s="681"/>
      <c r="E71" s="681"/>
      <c r="F71" s="301"/>
      <c r="G71" s="301"/>
      <c r="H71" s="302"/>
      <c r="I71" s="301"/>
      <c r="J71" s="727"/>
      <c r="K71" s="555">
        <f t="shared" si="14"/>
        <v>0</v>
      </c>
      <c r="L71" s="28"/>
      <c r="M71" s="317"/>
      <c r="N71" s="28"/>
      <c r="O71" s="327">
        <v>105000</v>
      </c>
      <c r="P71" s="28"/>
      <c r="Q71" s="317"/>
      <c r="R71" s="375">
        <f t="shared" si="15"/>
        <v>105000</v>
      </c>
      <c r="S71" s="258"/>
      <c r="T71" s="258"/>
      <c r="U71" s="258"/>
    </row>
    <row r="72" spans="1:21" s="27" customFormat="1" ht="15">
      <c r="A72" s="436" t="s">
        <v>138</v>
      </c>
      <c r="B72" s="301"/>
      <c r="C72" s="302"/>
      <c r="D72" s="681"/>
      <c r="E72" s="681"/>
      <c r="F72" s="301"/>
      <c r="G72" s="301"/>
      <c r="H72" s="302"/>
      <c r="I72" s="301"/>
      <c r="J72" s="727"/>
      <c r="K72" s="555">
        <f t="shared" si="14"/>
        <v>0</v>
      </c>
      <c r="L72" s="28"/>
      <c r="M72" s="317"/>
      <c r="N72" s="28"/>
      <c r="O72" s="327">
        <v>100000</v>
      </c>
      <c r="P72" s="28"/>
      <c r="Q72" s="317"/>
      <c r="R72" s="375">
        <f t="shared" si="15"/>
        <v>100000</v>
      </c>
      <c r="S72" s="258"/>
      <c r="T72" s="258"/>
      <c r="U72" s="258"/>
    </row>
    <row r="73" spans="1:21" s="27" customFormat="1" ht="15">
      <c r="A73" s="435" t="s">
        <v>85</v>
      </c>
      <c r="B73" s="396">
        <f>1500+528+2000+704</f>
        <v>4732</v>
      </c>
      <c r="C73" s="528">
        <f>2300+810</f>
        <v>3110</v>
      </c>
      <c r="D73" s="689">
        <f>1500+528+1400+493</f>
        <v>3921</v>
      </c>
      <c r="E73" s="689">
        <f>1500+528+1400+493</f>
        <v>3921</v>
      </c>
      <c r="F73" s="396">
        <f>1500+528+1400+493</f>
        <v>3921</v>
      </c>
      <c r="G73" s="396">
        <f>1500+528+1400+493</f>
        <v>3921</v>
      </c>
      <c r="H73" s="302">
        <f>600+212</f>
        <v>812</v>
      </c>
      <c r="I73" s="301"/>
      <c r="J73" s="727"/>
      <c r="K73" s="555">
        <f t="shared" si="14"/>
        <v>24338</v>
      </c>
      <c r="L73" s="28"/>
      <c r="M73" s="317"/>
      <c r="N73" s="28">
        <f>300+106</f>
        <v>406</v>
      </c>
      <c r="O73" s="327">
        <f>25000-7500-2640-10800-3804</f>
        <v>256</v>
      </c>
      <c r="P73" s="28"/>
      <c r="Q73" s="317"/>
      <c r="R73" s="375">
        <f t="shared" si="15"/>
        <v>25000</v>
      </c>
      <c r="S73" s="258"/>
      <c r="T73" s="258"/>
      <c r="U73" s="258"/>
    </row>
    <row r="74" spans="1:21" s="27" customFormat="1" ht="15">
      <c r="A74" s="437" t="s">
        <v>149</v>
      </c>
      <c r="B74" s="328"/>
      <c r="C74" s="329"/>
      <c r="D74" s="706"/>
      <c r="E74" s="706"/>
      <c r="F74" s="328"/>
      <c r="G74" s="328"/>
      <c r="H74" s="329"/>
      <c r="I74" s="328"/>
      <c r="J74" s="749"/>
      <c r="K74" s="555"/>
      <c r="L74" s="28"/>
      <c r="M74" s="317"/>
      <c r="N74" s="28"/>
      <c r="O74" s="327">
        <f>80000-80000</f>
        <v>0</v>
      </c>
      <c r="P74" s="28"/>
      <c r="Q74" s="317"/>
      <c r="R74" s="375">
        <f t="shared" si="15"/>
        <v>0</v>
      </c>
      <c r="S74" s="258"/>
      <c r="T74" s="258"/>
      <c r="U74" s="258"/>
    </row>
    <row r="75" spans="1:21" s="27" customFormat="1" ht="18.75">
      <c r="A75" s="219" t="s">
        <v>52</v>
      </c>
      <c r="B75" s="330">
        <f>492068+6405+3500</f>
        <v>501973</v>
      </c>
      <c r="C75" s="533">
        <v>87650</v>
      </c>
      <c r="D75" s="707">
        <v>464087</v>
      </c>
      <c r="E75" s="707">
        <v>560985</v>
      </c>
      <c r="F75" s="332">
        <v>0</v>
      </c>
      <c r="G75" s="332">
        <v>237849</v>
      </c>
      <c r="H75" s="331">
        <v>44040</v>
      </c>
      <c r="I75" s="333">
        <v>15455</v>
      </c>
      <c r="J75" s="770"/>
      <c r="K75" s="555">
        <f>B75+C75+D75+E75+F75+G75+H75+I75+J75</f>
        <v>1912039</v>
      </c>
      <c r="L75" s="332"/>
      <c r="M75" s="331"/>
      <c r="N75" s="332"/>
      <c r="O75" s="332"/>
      <c r="P75" s="619"/>
      <c r="Q75" s="598"/>
      <c r="R75" s="375">
        <f t="shared" si="15"/>
        <v>1912039</v>
      </c>
      <c r="S75" s="258"/>
      <c r="T75" s="258"/>
      <c r="U75" s="258"/>
    </row>
    <row r="76" spans="1:21" s="27" customFormat="1" ht="19.5" thickBot="1">
      <c r="A76" s="220" t="s">
        <v>53</v>
      </c>
      <c r="B76" s="330">
        <v>38279</v>
      </c>
      <c r="C76" s="533">
        <v>188823</v>
      </c>
      <c r="D76" s="707">
        <v>81841</v>
      </c>
      <c r="E76" s="707">
        <v>15584</v>
      </c>
      <c r="F76" s="332">
        <v>2676</v>
      </c>
      <c r="G76" s="332">
        <v>113792</v>
      </c>
      <c r="H76" s="331">
        <v>0</v>
      </c>
      <c r="I76" s="333">
        <v>15975</v>
      </c>
      <c r="J76" s="770"/>
      <c r="K76" s="555">
        <f>B76+C76+D76+E76+F76+G76+H76+I76+J76</f>
        <v>456970</v>
      </c>
      <c r="L76" s="334"/>
      <c r="M76" s="571"/>
      <c r="N76" s="334"/>
      <c r="O76" s="334"/>
      <c r="P76" s="620"/>
      <c r="Q76" s="599"/>
      <c r="R76" s="375">
        <f t="shared" si="15"/>
        <v>456970</v>
      </c>
      <c r="S76" s="258"/>
      <c r="T76" s="258"/>
      <c r="U76" s="258"/>
    </row>
    <row r="77" spans="1:21" s="34" customFormat="1" ht="21" customHeight="1" thickBot="1">
      <c r="A77" s="514" t="s">
        <v>19</v>
      </c>
      <c r="B77" s="323"/>
      <c r="C77" s="324"/>
      <c r="D77" s="697"/>
      <c r="E77" s="697"/>
      <c r="F77" s="323"/>
      <c r="G77" s="323"/>
      <c r="H77" s="324"/>
      <c r="I77" s="323"/>
      <c r="J77" s="740"/>
      <c r="K77" s="556">
        <f>SUM(B77:I77)</f>
        <v>0</v>
      </c>
      <c r="L77" s="323"/>
      <c r="M77" s="324"/>
      <c r="N77" s="324">
        <f>82949+149045</f>
        <v>231994</v>
      </c>
      <c r="O77" s="323"/>
      <c r="P77" s="621"/>
      <c r="Q77" s="324"/>
      <c r="R77" s="338">
        <f t="shared" si="15"/>
        <v>231994</v>
      </c>
      <c r="S77" s="105"/>
      <c r="T77" s="105"/>
      <c r="U77" s="105"/>
    </row>
    <row r="78" spans="1:21" s="35" customFormat="1" ht="16.5" thickBot="1">
      <c r="A78" s="515"/>
      <c r="B78" s="335"/>
      <c r="C78" s="336"/>
      <c r="D78" s="708"/>
      <c r="E78" s="708"/>
      <c r="F78" s="335"/>
      <c r="G78" s="335"/>
      <c r="H78" s="336"/>
      <c r="I78" s="337"/>
      <c r="J78" s="771"/>
      <c r="K78" s="557"/>
      <c r="L78" s="335"/>
      <c r="M78" s="336"/>
      <c r="N78" s="335"/>
      <c r="O78" s="335"/>
      <c r="P78" s="622"/>
      <c r="Q78" s="600"/>
      <c r="R78" s="469">
        <f>SUM(K78:P78)</f>
        <v>0</v>
      </c>
      <c r="S78" s="187"/>
      <c r="T78" s="187"/>
      <c r="U78" s="187"/>
    </row>
    <row r="79" spans="1:21" ht="23.25" customHeight="1" thickBot="1">
      <c r="A79" s="514" t="s">
        <v>58</v>
      </c>
      <c r="B79" s="338">
        <f>B80+B81+B82+B83+B91</f>
        <v>484686</v>
      </c>
      <c r="C79" s="339">
        <f>C80+C81+C82+C92</f>
        <v>228476</v>
      </c>
      <c r="D79" s="709">
        <f>D80+D81+D82+D83+D91</f>
        <v>540796</v>
      </c>
      <c r="E79" s="709">
        <f>E80+E81+E82+E83+E91</f>
        <v>498419</v>
      </c>
      <c r="F79" s="338">
        <f>F80+F81+F82+F83+F91</f>
        <v>106217</v>
      </c>
      <c r="G79" s="338">
        <f>G80+G81+G82+G83</f>
        <v>1615887</v>
      </c>
      <c r="H79" s="339">
        <f>H80+H81+H82+H83+H91</f>
        <v>339641</v>
      </c>
      <c r="I79" s="338">
        <f>I80+I81+I82+I83+I91</f>
        <v>10266</v>
      </c>
      <c r="J79" s="750">
        <f>J80+J81+J82+J83+J91</f>
        <v>0</v>
      </c>
      <c r="K79" s="558">
        <f>SUM(B79:I79)</f>
        <v>3824388</v>
      </c>
      <c r="L79" s="338">
        <f>L84</f>
        <v>4967221</v>
      </c>
      <c r="M79" s="339">
        <f>M80+M81+M82+M83+M91</f>
        <v>58830</v>
      </c>
      <c r="N79" s="338">
        <f>N80+N81+N82+N83+N91</f>
        <v>13933</v>
      </c>
      <c r="O79" s="338">
        <f>O80+O81+O82+O83+O91</f>
        <v>14372</v>
      </c>
      <c r="P79" s="338">
        <v>0</v>
      </c>
      <c r="Q79" s="339">
        <f>Q80+Q81+Q82+Q84+Q91</f>
        <v>0</v>
      </c>
      <c r="R79" s="338">
        <f aca="true" t="shared" si="16" ref="R79:R92">SUM(K79:Q79)</f>
        <v>8878744</v>
      </c>
      <c r="S79" s="40"/>
      <c r="T79" s="40"/>
      <c r="U79" s="40"/>
    </row>
    <row r="80" spans="1:21" s="35" customFormat="1" ht="15.75">
      <c r="A80" s="516" t="s">
        <v>20</v>
      </c>
      <c r="B80" s="438">
        <f>148475-84009</f>
        <v>64466</v>
      </c>
      <c r="C80" s="534">
        <f>26020-7098</f>
        <v>18922</v>
      </c>
      <c r="D80" s="710">
        <f>97683-54217</f>
        <v>43466</v>
      </c>
      <c r="E80" s="710">
        <f>94681+85813</f>
        <v>180494</v>
      </c>
      <c r="F80" s="438">
        <f>65873-1590</f>
        <v>64283</v>
      </c>
      <c r="G80" s="438">
        <f>45925+19732</f>
        <v>65657</v>
      </c>
      <c r="H80" s="534">
        <f>68309-8631</f>
        <v>59678</v>
      </c>
      <c r="I80" s="438">
        <f>3804</f>
        <v>3804</v>
      </c>
      <c r="J80" s="772">
        <v>0</v>
      </c>
      <c r="K80" s="559">
        <f>SUM(B80:I80)</f>
        <v>500770</v>
      </c>
      <c r="L80" s="340"/>
      <c r="M80" s="572"/>
      <c r="N80" s="340"/>
      <c r="O80" s="341"/>
      <c r="P80" s="623"/>
      <c r="Q80" s="601">
        <v>0</v>
      </c>
      <c r="R80" s="470">
        <f t="shared" si="16"/>
        <v>500770</v>
      </c>
      <c r="S80" s="187"/>
      <c r="T80" s="187"/>
      <c r="U80" s="187"/>
    </row>
    <row r="81" spans="1:21" s="36" customFormat="1" ht="31.5">
      <c r="A81" s="517" t="s">
        <v>90</v>
      </c>
      <c r="B81" s="396">
        <v>322052</v>
      </c>
      <c r="C81" s="528">
        <v>144380</v>
      </c>
      <c r="D81" s="689">
        <v>387957</v>
      </c>
      <c r="E81" s="689">
        <v>250372</v>
      </c>
      <c r="F81" s="396">
        <v>0</v>
      </c>
      <c r="G81" s="396">
        <f>296743-860</f>
        <v>295883</v>
      </c>
      <c r="H81" s="528">
        <v>220476</v>
      </c>
      <c r="I81" s="396">
        <v>0</v>
      </c>
      <c r="J81" s="772">
        <v>0</v>
      </c>
      <c r="K81" s="560">
        <f>SUM(B81:I81)</f>
        <v>1621120</v>
      </c>
      <c r="L81" s="342"/>
      <c r="M81" s="573"/>
      <c r="N81" s="342"/>
      <c r="O81" s="343"/>
      <c r="P81" s="624"/>
      <c r="Q81" s="346"/>
      <c r="R81" s="471">
        <f t="shared" si="16"/>
        <v>1621120</v>
      </c>
      <c r="S81" s="261"/>
      <c r="T81" s="261"/>
      <c r="U81" s="261"/>
    </row>
    <row r="82" spans="1:21" s="36" customFormat="1" ht="16.5" thickBot="1">
      <c r="A82" s="517" t="s">
        <v>72</v>
      </c>
      <c r="B82" s="397">
        <v>98168</v>
      </c>
      <c r="C82" s="529">
        <v>38955</v>
      </c>
      <c r="D82" s="690">
        <v>104675</v>
      </c>
      <c r="E82" s="690">
        <v>67553</v>
      </c>
      <c r="F82" s="397">
        <v>41934</v>
      </c>
      <c r="G82" s="397">
        <v>85794</v>
      </c>
      <c r="H82" s="529">
        <v>59487</v>
      </c>
      <c r="I82" s="397">
        <v>6462</v>
      </c>
      <c r="J82" s="772">
        <v>0</v>
      </c>
      <c r="K82" s="560">
        <f>SUM(B82:I82)</f>
        <v>503028</v>
      </c>
      <c r="L82" s="344"/>
      <c r="M82" s="574"/>
      <c r="N82" s="344"/>
      <c r="O82" s="344">
        <v>14372</v>
      </c>
      <c r="P82" s="625"/>
      <c r="Q82" s="602"/>
      <c r="R82" s="471">
        <f t="shared" si="16"/>
        <v>517400</v>
      </c>
      <c r="S82" s="261"/>
      <c r="T82" s="261"/>
      <c r="U82" s="261"/>
    </row>
    <row r="83" spans="1:21" s="118" customFormat="1" ht="19.5" customHeight="1" thickBot="1">
      <c r="A83" s="439" t="s">
        <v>139</v>
      </c>
      <c r="B83" s="535">
        <f>B84+B92</f>
        <v>0</v>
      </c>
      <c r="C83" s="535">
        <f>C84+C92</f>
        <v>26219</v>
      </c>
      <c r="D83" s="535">
        <f>D84+D92</f>
        <v>4698</v>
      </c>
      <c r="E83" s="777">
        <f aca="true" t="shared" si="17" ref="E83:J83">E84+E92</f>
        <v>0</v>
      </c>
      <c r="F83" s="445">
        <f t="shared" si="17"/>
        <v>0</v>
      </c>
      <c r="G83" s="445">
        <f t="shared" si="17"/>
        <v>1168553</v>
      </c>
      <c r="H83" s="535">
        <f t="shared" si="17"/>
        <v>0</v>
      </c>
      <c r="I83" s="445">
        <f t="shared" si="17"/>
        <v>0</v>
      </c>
      <c r="J83" s="535">
        <f t="shared" si="17"/>
        <v>0</v>
      </c>
      <c r="K83" s="535">
        <f>SUM(B83:J83)</f>
        <v>1199470</v>
      </c>
      <c r="L83" s="445">
        <f>L84</f>
        <v>4967221</v>
      </c>
      <c r="M83" s="535">
        <f>M84+M92</f>
        <v>58830</v>
      </c>
      <c r="N83" s="535">
        <f>N84+N92</f>
        <v>13933</v>
      </c>
      <c r="O83" s="445">
        <f>O84+O92</f>
        <v>0</v>
      </c>
      <c r="P83" s="445"/>
      <c r="Q83" s="535"/>
      <c r="R83" s="451">
        <f t="shared" si="16"/>
        <v>6239454</v>
      </c>
      <c r="S83" s="173"/>
      <c r="T83" s="173"/>
      <c r="U83" s="173"/>
    </row>
    <row r="84" spans="1:21" s="27" customFormat="1" ht="18.75" customHeight="1" thickBot="1">
      <c r="A84" s="452" t="s">
        <v>140</v>
      </c>
      <c r="B84" s="446"/>
      <c r="C84" s="536"/>
      <c r="D84" s="711"/>
      <c r="E84" s="711"/>
      <c r="F84" s="446"/>
      <c r="G84" s="446">
        <f>G85+G86+G87+G88+G89+G90+G91</f>
        <v>1157979</v>
      </c>
      <c r="H84" s="536"/>
      <c r="I84" s="446"/>
      <c r="J84" s="751">
        <v>0</v>
      </c>
      <c r="K84" s="536">
        <f>K85+K86+K87+K88+K89+K90+K91</f>
        <v>1157979</v>
      </c>
      <c r="L84" s="446">
        <f>L85+L86+L87+L88+L89+L90+L91</f>
        <v>4967221</v>
      </c>
      <c r="M84" s="575">
        <f>M85+M87+M88+M89+M90</f>
        <v>0</v>
      </c>
      <c r="N84" s="325">
        <f>N85+N87+N88+N89+N90</f>
        <v>0</v>
      </c>
      <c r="O84" s="325">
        <f>O85+O87+O88+O89+O90</f>
        <v>0</v>
      </c>
      <c r="P84" s="325">
        <f>P85+P87+P88+P89+P90</f>
        <v>0</v>
      </c>
      <c r="Q84" s="575">
        <f>Q85+Q87+Q88+Q89+Q90</f>
        <v>0</v>
      </c>
      <c r="R84" s="472">
        <f t="shared" si="16"/>
        <v>6125200</v>
      </c>
      <c r="S84" s="258"/>
      <c r="T84" s="258"/>
      <c r="U84" s="258"/>
    </row>
    <row r="85" spans="1:21" s="27" customFormat="1" ht="18.75" customHeight="1">
      <c r="A85" s="440" t="s">
        <v>141</v>
      </c>
      <c r="B85" s="447"/>
      <c r="C85" s="537"/>
      <c r="D85" s="712"/>
      <c r="E85" s="712"/>
      <c r="F85" s="447"/>
      <c r="G85" s="761">
        <v>335867</v>
      </c>
      <c r="H85" s="537"/>
      <c r="I85" s="447"/>
      <c r="J85" s="773"/>
      <c r="K85" s="561">
        <f aca="true" t="shared" si="18" ref="K85:K91">G85</f>
        <v>335867</v>
      </c>
      <c r="L85" s="447">
        <v>1407825</v>
      </c>
      <c r="M85" s="576"/>
      <c r="N85" s="345"/>
      <c r="O85" s="345"/>
      <c r="P85" s="626"/>
      <c r="Q85" s="603"/>
      <c r="R85" s="473">
        <f t="shared" si="16"/>
        <v>1743692</v>
      </c>
      <c r="S85" s="258"/>
      <c r="T85" s="258"/>
      <c r="U85" s="258"/>
    </row>
    <row r="86" spans="1:21" s="27" customFormat="1" ht="19.5" customHeight="1">
      <c r="A86" s="441" t="s">
        <v>142</v>
      </c>
      <c r="B86" s="448"/>
      <c r="C86" s="538"/>
      <c r="D86" s="713"/>
      <c r="E86" s="713"/>
      <c r="F86" s="448"/>
      <c r="G86" s="448">
        <v>118225</v>
      </c>
      <c r="H86" s="538"/>
      <c r="I86" s="448"/>
      <c r="J86" s="774"/>
      <c r="K86" s="562">
        <f t="shared" si="18"/>
        <v>118225</v>
      </c>
      <c r="L86" s="588">
        <v>495555</v>
      </c>
      <c r="M86" s="577"/>
      <c r="N86" s="453"/>
      <c r="O86" s="453"/>
      <c r="P86" s="627"/>
      <c r="Q86" s="604"/>
      <c r="R86" s="474">
        <f t="shared" si="16"/>
        <v>613780</v>
      </c>
      <c r="S86" s="258"/>
      <c r="T86" s="258"/>
      <c r="U86" s="258"/>
    </row>
    <row r="87" spans="1:21" s="27" customFormat="1" ht="19.5" customHeight="1">
      <c r="A87" s="442" t="s">
        <v>143</v>
      </c>
      <c r="B87" s="449"/>
      <c r="C87" s="539"/>
      <c r="D87" s="714"/>
      <c r="E87" s="714"/>
      <c r="F87" s="449"/>
      <c r="G87" s="449">
        <v>37445</v>
      </c>
      <c r="H87" s="539"/>
      <c r="I87" s="449"/>
      <c r="J87" s="775"/>
      <c r="K87" s="563">
        <f t="shared" si="18"/>
        <v>37445</v>
      </c>
      <c r="L87" s="449">
        <v>140597</v>
      </c>
      <c r="M87" s="578"/>
      <c r="N87" s="454"/>
      <c r="O87" s="454"/>
      <c r="P87" s="628"/>
      <c r="Q87" s="605"/>
      <c r="R87" s="475">
        <f t="shared" si="16"/>
        <v>178042</v>
      </c>
      <c r="S87" s="258"/>
      <c r="T87" s="258"/>
      <c r="U87" s="258"/>
    </row>
    <row r="88" spans="1:21" s="27" customFormat="1" ht="18.75" customHeight="1">
      <c r="A88" s="442" t="s">
        <v>144</v>
      </c>
      <c r="B88" s="449"/>
      <c r="C88" s="539"/>
      <c r="D88" s="714"/>
      <c r="E88" s="714"/>
      <c r="F88" s="449"/>
      <c r="G88" s="449">
        <v>13181</v>
      </c>
      <c r="H88" s="539"/>
      <c r="I88" s="449"/>
      <c r="J88" s="775"/>
      <c r="K88" s="563">
        <f t="shared" si="18"/>
        <v>13181</v>
      </c>
      <c r="L88" s="449">
        <v>49490</v>
      </c>
      <c r="M88" s="578"/>
      <c r="N88" s="454"/>
      <c r="O88" s="454"/>
      <c r="P88" s="628"/>
      <c r="Q88" s="605"/>
      <c r="R88" s="475">
        <f t="shared" si="16"/>
        <v>62671</v>
      </c>
      <c r="S88" s="258"/>
      <c r="T88" s="258"/>
      <c r="U88" s="258"/>
    </row>
    <row r="89" spans="1:21" s="27" customFormat="1" ht="18.75" customHeight="1">
      <c r="A89" s="443" t="s">
        <v>145</v>
      </c>
      <c r="B89" s="450"/>
      <c r="C89" s="540"/>
      <c r="D89" s="715"/>
      <c r="E89" s="715"/>
      <c r="F89" s="450"/>
      <c r="G89" s="450">
        <v>88202</v>
      </c>
      <c r="H89" s="540"/>
      <c r="I89" s="450"/>
      <c r="J89" s="752"/>
      <c r="K89" s="540">
        <f t="shared" si="18"/>
        <v>88202</v>
      </c>
      <c r="L89" s="589">
        <v>362892</v>
      </c>
      <c r="M89" s="579"/>
      <c r="N89" s="455"/>
      <c r="O89" s="455"/>
      <c r="P89" s="629"/>
      <c r="Q89" s="606"/>
      <c r="R89" s="456">
        <f t="shared" si="16"/>
        <v>451094</v>
      </c>
      <c r="S89" s="258"/>
      <c r="T89" s="258"/>
      <c r="U89" s="258"/>
    </row>
    <row r="90" spans="1:21" s="103" customFormat="1" ht="19.5" customHeight="1">
      <c r="A90" s="444" t="s">
        <v>146</v>
      </c>
      <c r="B90" s="450"/>
      <c r="C90" s="540"/>
      <c r="D90" s="715"/>
      <c r="E90" s="715"/>
      <c r="F90" s="450"/>
      <c r="G90" s="450">
        <f>100080+300000+991+163751+237</f>
        <v>565059</v>
      </c>
      <c r="H90" s="540"/>
      <c r="I90" s="450"/>
      <c r="J90" s="752"/>
      <c r="K90" s="540">
        <f t="shared" si="18"/>
        <v>565059</v>
      </c>
      <c r="L90" s="589">
        <f>410288+1500000+4366+414559+550</f>
        <v>2329763</v>
      </c>
      <c r="M90" s="580"/>
      <c r="N90" s="456"/>
      <c r="O90" s="456"/>
      <c r="P90" s="630"/>
      <c r="Q90" s="580"/>
      <c r="R90" s="457">
        <f t="shared" si="16"/>
        <v>2894822</v>
      </c>
      <c r="S90" s="170"/>
      <c r="T90" s="170"/>
      <c r="U90" s="170"/>
    </row>
    <row r="91" spans="1:21" s="27" customFormat="1" ht="19.5" customHeight="1">
      <c r="A91" s="634" t="s">
        <v>147</v>
      </c>
      <c r="B91" s="396"/>
      <c r="C91" s="528"/>
      <c r="D91" s="689"/>
      <c r="E91" s="689"/>
      <c r="F91" s="396"/>
      <c r="G91" s="590">
        <f>51436-51436</f>
        <v>0</v>
      </c>
      <c r="H91" s="528"/>
      <c r="I91" s="396"/>
      <c r="J91" s="734"/>
      <c r="K91" s="528">
        <f t="shared" si="18"/>
        <v>0</v>
      </c>
      <c r="L91" s="590">
        <f>220212-39113</f>
        <v>181099</v>
      </c>
      <c r="M91" s="309"/>
      <c r="N91" s="308"/>
      <c r="O91" s="308"/>
      <c r="P91" s="614"/>
      <c r="Q91" s="309"/>
      <c r="R91" s="376">
        <f t="shared" si="16"/>
        <v>181099</v>
      </c>
      <c r="S91" s="258"/>
      <c r="T91" s="258"/>
      <c r="U91" s="258"/>
    </row>
    <row r="92" spans="1:21" s="27" customFormat="1" ht="19.5" customHeight="1" thickBot="1">
      <c r="A92" s="635" t="s">
        <v>148</v>
      </c>
      <c r="B92" s="396"/>
      <c r="C92" s="528">
        <f>21527+2000+1100+824+768</f>
        <v>26219</v>
      </c>
      <c r="D92" s="689">
        <v>4698</v>
      </c>
      <c r="E92" s="689"/>
      <c r="F92" s="396"/>
      <c r="G92" s="590">
        <f>10574+768-768</f>
        <v>10574</v>
      </c>
      <c r="H92" s="528"/>
      <c r="I92" s="396"/>
      <c r="J92" s="734"/>
      <c r="K92" s="528">
        <f>SUM(B92:J92)</f>
        <v>41491</v>
      </c>
      <c r="L92" s="396"/>
      <c r="M92" s="309">
        <v>58830</v>
      </c>
      <c r="N92" s="308">
        <v>13933</v>
      </c>
      <c r="O92" s="308">
        <f>55424-21527-3768-824-13933-10574-4698-100</f>
        <v>0</v>
      </c>
      <c r="P92" s="614"/>
      <c r="Q92" s="309"/>
      <c r="R92" s="376">
        <f t="shared" si="16"/>
        <v>114254</v>
      </c>
      <c r="S92" s="258"/>
      <c r="T92" s="258"/>
      <c r="U92" s="258"/>
    </row>
    <row r="93" spans="1:21" s="27" customFormat="1" ht="18.75" customHeight="1" thickBot="1">
      <c r="A93" s="518" t="s">
        <v>44</v>
      </c>
      <c r="B93" s="347">
        <f>197892+398340+60576+78300+22746.71-250.99-1.34</f>
        <v>757602.38</v>
      </c>
      <c r="C93" s="348">
        <f>56444+558083-60576+17895+2000-25000+190321-19161-211.78</f>
        <v>719794.22</v>
      </c>
      <c r="D93" s="716">
        <f>354437+238498-17895-7500+9075+5000+127425+130539+145745</f>
        <v>985324</v>
      </c>
      <c r="E93" s="716">
        <f>626763+935401+7500+10000+7650+25000+268813+93291-8.38</f>
        <v>1974409.62</v>
      </c>
      <c r="F93" s="347">
        <f>2000+54905</f>
        <v>56905</v>
      </c>
      <c r="G93" s="347">
        <f>162756+266697+2650+6250+45073</f>
        <v>483426</v>
      </c>
      <c r="H93" s="348">
        <f>85013+65501+19161-35205.91-40254.2</f>
        <v>94214.89</v>
      </c>
      <c r="I93" s="347"/>
      <c r="J93" s="753"/>
      <c r="K93" s="564">
        <f>SUM(B93:I93)</f>
        <v>5071676.11</v>
      </c>
      <c r="L93" s="349"/>
      <c r="M93" s="581"/>
      <c r="N93" s="349">
        <f>53110-9075</f>
        <v>44035</v>
      </c>
      <c r="O93" s="349"/>
      <c r="P93" s="349"/>
      <c r="Q93" s="581">
        <f>258444-258444</f>
        <v>0</v>
      </c>
      <c r="R93" s="377">
        <f>K93+N93+Q93</f>
        <v>5115711.11</v>
      </c>
      <c r="S93" s="258"/>
      <c r="T93" s="258"/>
      <c r="U93" s="258"/>
    </row>
    <row r="94" spans="1:21" s="27" customFormat="1" ht="20.25" customHeight="1" thickBot="1">
      <c r="A94" s="519" t="s">
        <v>45</v>
      </c>
      <c r="B94" s="350"/>
      <c r="C94" s="351">
        <v>300000</v>
      </c>
      <c r="D94" s="717">
        <f>113750+121826+134500+121687+140367+182487.5+26800+55695</f>
        <v>897112.5</v>
      </c>
      <c r="E94" s="717"/>
      <c r="F94" s="350"/>
      <c r="G94" s="350">
        <f>25000</f>
        <v>25000</v>
      </c>
      <c r="H94" s="351"/>
      <c r="I94" s="350"/>
      <c r="J94" s="754"/>
      <c r="K94" s="564">
        <f>SUM(B94:J94)</f>
        <v>1222112.5</v>
      </c>
      <c r="L94" s="352"/>
      <c r="M94" s="582"/>
      <c r="N94" s="352"/>
      <c r="O94" s="352"/>
      <c r="P94" s="352"/>
      <c r="Q94" s="582"/>
      <c r="R94" s="378">
        <f>SUM(K94:P94)</f>
        <v>1222112.5</v>
      </c>
      <c r="S94" s="258"/>
      <c r="T94" s="258"/>
      <c r="U94" s="258"/>
    </row>
    <row r="95" spans="1:21" s="27" customFormat="1" ht="19.5" customHeight="1" thickBot="1">
      <c r="A95" s="518" t="s">
        <v>46</v>
      </c>
      <c r="B95" s="347"/>
      <c r="C95" s="348"/>
      <c r="D95" s="716"/>
      <c r="E95" s="716"/>
      <c r="F95" s="347"/>
      <c r="G95" s="347"/>
      <c r="H95" s="348"/>
      <c r="I95" s="347"/>
      <c r="J95" s="753"/>
      <c r="K95" s="564">
        <f>SUM(B95:J95)</f>
        <v>0</v>
      </c>
      <c r="L95" s="349"/>
      <c r="M95" s="581"/>
      <c r="N95" s="349"/>
      <c r="O95" s="349"/>
      <c r="P95" s="349"/>
      <c r="Q95" s="581"/>
      <c r="R95" s="377">
        <f>K95+L95+M95+N95+O95+P95+Q95</f>
        <v>0</v>
      </c>
      <c r="S95" s="258"/>
      <c r="T95" s="258"/>
      <c r="U95" s="258"/>
    </row>
    <row r="96" spans="1:21" s="27" customFormat="1" ht="18.75" customHeight="1" thickBot="1">
      <c r="A96" s="519" t="s">
        <v>47</v>
      </c>
      <c r="B96" s="350"/>
      <c r="C96" s="351"/>
      <c r="D96" s="717"/>
      <c r="E96" s="717"/>
      <c r="F96" s="350"/>
      <c r="G96" s="350"/>
      <c r="H96" s="351"/>
      <c r="I96" s="350"/>
      <c r="J96" s="754"/>
      <c r="K96" s="564">
        <f>SUM(B96:J96)</f>
        <v>0</v>
      </c>
      <c r="L96" s="352"/>
      <c r="M96" s="582"/>
      <c r="N96" s="352"/>
      <c r="O96" s="352"/>
      <c r="P96" s="352"/>
      <c r="Q96" s="582"/>
      <c r="R96" s="378">
        <f>SUM(K96:P96)</f>
        <v>0</v>
      </c>
      <c r="S96" s="258"/>
      <c r="T96" s="258"/>
      <c r="U96" s="258"/>
    </row>
    <row r="97" spans="1:21" s="27" customFormat="1" ht="18.75" customHeight="1" thickBot="1">
      <c r="A97" s="520" t="s">
        <v>48</v>
      </c>
      <c r="B97" s="347">
        <f>11220+990+3120+720-560+8140+1840+2440+5780-2900+330+315+4635+280+17510+6640-990+240+5640</f>
        <v>65390</v>
      </c>
      <c r="C97" s="348">
        <f>2670+720+1780+480+710+1310-660+560+1255+35+3660+2000+800</f>
        <v>15320</v>
      </c>
      <c r="D97" s="716">
        <f>36420+990+13120-720+24940+6240+6580+18840-12260+280+8485+280+41590+17840+1880+560-3400+810+9000</f>
        <v>171475</v>
      </c>
      <c r="E97" s="716">
        <f>13440+3840+8960+3600+4600+6160+2640+300-7680+4585+280+14280+4720-280+200+280-4240+80+3400</f>
        <v>59165</v>
      </c>
      <c r="F97" s="347">
        <f>7710+990+2880-2880+5800+1200+1830+4760-2700+2580+280+2880+7860+200+80+2000</f>
        <v>35470</v>
      </c>
      <c r="G97" s="347">
        <f>'[31]úpravy'!H7</f>
        <v>0</v>
      </c>
      <c r="H97" s="348">
        <f>9240+3840-1080+5600+2160+2260+4800-2020+560+3185+280+11760+4240-720+2800</f>
        <v>46905</v>
      </c>
      <c r="I97" s="347">
        <f>'[31]úpravy'!J7</f>
        <v>0</v>
      </c>
      <c r="J97" s="753"/>
      <c r="K97" s="564">
        <f>SUM(B97:J97)</f>
        <v>393725</v>
      </c>
      <c r="L97" s="347"/>
      <c r="M97" s="348"/>
      <c r="N97" s="347"/>
      <c r="O97" s="353"/>
      <c r="P97" s="631"/>
      <c r="Q97" s="607"/>
      <c r="R97" s="377">
        <f>K97+L97+M97+N97+O97+P97+Q97</f>
        <v>393725</v>
      </c>
      <c r="S97" s="258"/>
      <c r="T97" s="258"/>
      <c r="U97" s="258"/>
    </row>
    <row r="98" spans="1:21" s="27" customFormat="1" ht="18.75" customHeight="1" thickBot="1">
      <c r="A98" s="520" t="s">
        <v>49</v>
      </c>
      <c r="B98" s="347">
        <f>1120+560+280-560</f>
        <v>1400</v>
      </c>
      <c r="C98" s="348">
        <f>280+840</f>
        <v>1120</v>
      </c>
      <c r="D98" s="716">
        <f>840+2220+560+280+550+550-2220</f>
        <v>2780</v>
      </c>
      <c r="E98" s="716">
        <f>840+560+560+280+840+280</f>
        <v>3360</v>
      </c>
      <c r="F98" s="347">
        <f>280+840+1650</f>
        <v>2770</v>
      </c>
      <c r="G98" s="347">
        <f>990</f>
        <v>990</v>
      </c>
      <c r="H98" s="348">
        <f>550+560+3330-830</f>
        <v>3610</v>
      </c>
      <c r="I98" s="347">
        <v>0</v>
      </c>
      <c r="J98" s="753"/>
      <c r="K98" s="564">
        <f>SUM(B98:J98)</f>
        <v>16030</v>
      </c>
      <c r="L98" s="347"/>
      <c r="M98" s="348"/>
      <c r="N98" s="347"/>
      <c r="O98" s="347"/>
      <c r="P98" s="632"/>
      <c r="Q98" s="607"/>
      <c r="R98" s="377">
        <f>SUM(K98:P98)+Q98</f>
        <v>16030</v>
      </c>
      <c r="S98" s="258"/>
      <c r="T98" s="258"/>
      <c r="U98" s="258"/>
    </row>
    <row r="99" spans="1:21" s="31" customFormat="1" ht="16.5" thickBot="1">
      <c r="A99" s="207"/>
      <c r="B99" s="354"/>
      <c r="C99" s="355"/>
      <c r="D99" s="354"/>
      <c r="E99" s="355"/>
      <c r="F99" s="354"/>
      <c r="G99" s="354"/>
      <c r="H99" s="764"/>
      <c r="I99" s="356"/>
      <c r="J99" s="755"/>
      <c r="K99" s="565"/>
      <c r="L99" s="354"/>
      <c r="M99" s="355"/>
      <c r="N99" s="354"/>
      <c r="O99" s="354"/>
      <c r="P99" s="633"/>
      <c r="Q99" s="608"/>
      <c r="R99" s="476"/>
      <c r="S99" s="260"/>
      <c r="T99" s="260"/>
      <c r="U99" s="260"/>
    </row>
    <row r="100" spans="1:21" s="37" customFormat="1" ht="21" customHeight="1" thickBot="1">
      <c r="A100" s="521" t="s">
        <v>50</v>
      </c>
      <c r="B100" s="357">
        <f>B101+B118+B119</f>
        <v>0</v>
      </c>
      <c r="C100" s="358">
        <f>C101+C118</f>
        <v>0</v>
      </c>
      <c r="D100" s="357">
        <f>D113</f>
        <v>0</v>
      </c>
      <c r="E100" s="358">
        <f>E113</f>
        <v>91500</v>
      </c>
      <c r="F100" s="357">
        <f>F102+F103+F113</f>
        <v>250000</v>
      </c>
      <c r="G100" s="357">
        <f>G113</f>
        <v>39950</v>
      </c>
      <c r="H100" s="358">
        <f>H113</f>
        <v>0</v>
      </c>
      <c r="I100" s="357">
        <f>I101+I119+I118</f>
        <v>0</v>
      </c>
      <c r="J100" s="756">
        <f>J101+J119+J118</f>
        <v>0</v>
      </c>
      <c r="K100" s="358">
        <f>SUM(B100:H100)+I100</f>
        <v>381450</v>
      </c>
      <c r="L100" s="357">
        <f>L101+L119+L118</f>
        <v>600000</v>
      </c>
      <c r="M100" s="358">
        <f>M101+M119+M118</f>
        <v>0</v>
      </c>
      <c r="N100" s="357">
        <f>N101+N119+N118</f>
        <v>0</v>
      </c>
      <c r="O100" s="357">
        <f>O101+O118</f>
        <v>0</v>
      </c>
      <c r="P100" s="357">
        <f>P101+P118</f>
        <v>0</v>
      </c>
      <c r="Q100" s="358"/>
      <c r="R100" s="357">
        <f>SUM(K100:Q100)</f>
        <v>981450</v>
      </c>
      <c r="S100" s="188"/>
      <c r="T100" s="188"/>
      <c r="U100" s="188"/>
    </row>
    <row r="101" spans="1:21" s="37" customFormat="1" ht="19.5" customHeight="1" thickBot="1">
      <c r="A101" s="521" t="s">
        <v>51</v>
      </c>
      <c r="B101" s="359">
        <f aca="true" t="shared" si="19" ref="B101:J101">B102+B114+B115+B116+B117</f>
        <v>0</v>
      </c>
      <c r="C101" s="360">
        <f t="shared" si="19"/>
        <v>0</v>
      </c>
      <c r="D101" s="359">
        <f t="shared" si="19"/>
        <v>0</v>
      </c>
      <c r="E101" s="360">
        <f t="shared" si="19"/>
        <v>0</v>
      </c>
      <c r="F101" s="359">
        <f t="shared" si="19"/>
        <v>250000</v>
      </c>
      <c r="G101" s="359">
        <f t="shared" si="19"/>
        <v>0</v>
      </c>
      <c r="H101" s="360">
        <f t="shared" si="19"/>
        <v>0</v>
      </c>
      <c r="I101" s="359">
        <f t="shared" si="19"/>
        <v>0</v>
      </c>
      <c r="J101" s="757">
        <f t="shared" si="19"/>
        <v>0</v>
      </c>
      <c r="K101" s="358">
        <f>SUM(B101:H101)+I101</f>
        <v>250000</v>
      </c>
      <c r="L101" s="359">
        <f>L102+L103+L104+L105+L106+L107+L108+L109+L110+L111+L112+L113</f>
        <v>600000</v>
      </c>
      <c r="M101" s="360">
        <f>M102+M114+M115+M116+M117</f>
        <v>0</v>
      </c>
      <c r="N101" s="359">
        <f>N102+N114+N115+N116+N117+N103</f>
        <v>0</v>
      </c>
      <c r="O101" s="359">
        <f>O102+O114+O115+O116+O117+O103</f>
        <v>0</v>
      </c>
      <c r="P101" s="359">
        <f>P102+P114+P115+P116+P117+P103</f>
        <v>0</v>
      </c>
      <c r="Q101" s="360"/>
      <c r="R101" s="359">
        <f>K101+L101+M101+N101+O101+P101+Q101</f>
        <v>850000</v>
      </c>
      <c r="S101" s="188"/>
      <c r="T101" s="188"/>
      <c r="U101" s="188"/>
    </row>
    <row r="102" spans="1:21" s="27" customFormat="1" ht="39" thickBot="1">
      <c r="A102" s="251" t="s">
        <v>159</v>
      </c>
      <c r="B102" s="306"/>
      <c r="C102" s="361"/>
      <c r="D102" s="306"/>
      <c r="E102" s="361"/>
      <c r="F102" s="306">
        <v>250000</v>
      </c>
      <c r="G102" s="306"/>
      <c r="H102" s="361"/>
      <c r="I102" s="28"/>
      <c r="J102" s="737"/>
      <c r="K102" s="533">
        <f aca="true" t="shared" si="20" ref="K102:K110">SUM(B102:H102)</f>
        <v>250000</v>
      </c>
      <c r="L102" s="362"/>
      <c r="M102" s="583"/>
      <c r="N102" s="306"/>
      <c r="O102" s="306"/>
      <c r="P102" s="306"/>
      <c r="Q102" s="361"/>
      <c r="R102" s="332">
        <f aca="true" t="shared" si="21" ref="R102:R110">SUM(K102:P102)</f>
        <v>250000</v>
      </c>
      <c r="S102" s="258"/>
      <c r="T102" s="258"/>
      <c r="U102" s="258"/>
    </row>
    <row r="103" spans="1:21" s="27" customFormat="1" ht="25.5">
      <c r="A103" s="224" t="s">
        <v>166</v>
      </c>
      <c r="B103" s="312"/>
      <c r="C103" s="346"/>
      <c r="D103" s="312"/>
      <c r="E103" s="346"/>
      <c r="F103" s="312"/>
      <c r="G103" s="312"/>
      <c r="H103" s="346"/>
      <c r="I103" s="312"/>
      <c r="J103" s="758"/>
      <c r="K103" s="533">
        <f t="shared" si="20"/>
        <v>0</v>
      </c>
      <c r="L103" s="363">
        <v>600000</v>
      </c>
      <c r="M103" s="584"/>
      <c r="N103" s="312"/>
      <c r="O103" s="312"/>
      <c r="P103" s="312"/>
      <c r="Q103" s="346"/>
      <c r="R103" s="332">
        <f t="shared" si="21"/>
        <v>600000</v>
      </c>
      <c r="S103" s="258"/>
      <c r="T103" s="258"/>
      <c r="U103" s="258"/>
    </row>
    <row r="104" spans="1:21" s="27" customFormat="1" ht="33" customHeight="1" hidden="1">
      <c r="A104" s="522"/>
      <c r="B104" s="312"/>
      <c r="C104" s="346"/>
      <c r="D104" s="312"/>
      <c r="E104" s="346"/>
      <c r="F104" s="312"/>
      <c r="G104" s="312"/>
      <c r="H104" s="346"/>
      <c r="I104" s="312"/>
      <c r="J104" s="758"/>
      <c r="K104" s="533">
        <f t="shared" si="20"/>
        <v>0</v>
      </c>
      <c r="L104" s="363"/>
      <c r="M104" s="584"/>
      <c r="N104" s="312"/>
      <c r="O104" s="312"/>
      <c r="P104" s="312"/>
      <c r="Q104" s="346"/>
      <c r="R104" s="332">
        <f t="shared" si="21"/>
        <v>0</v>
      </c>
      <c r="S104" s="258"/>
      <c r="T104" s="258"/>
      <c r="U104" s="258"/>
    </row>
    <row r="105" spans="1:18" s="27" customFormat="1" ht="15.75" hidden="1">
      <c r="A105" s="522"/>
      <c r="B105" s="312"/>
      <c r="C105" s="346"/>
      <c r="D105" s="312"/>
      <c r="E105" s="346"/>
      <c r="F105" s="312"/>
      <c r="G105" s="312"/>
      <c r="H105" s="346"/>
      <c r="I105" s="312"/>
      <c r="J105" s="758"/>
      <c r="K105" s="533">
        <f t="shared" si="20"/>
        <v>0</v>
      </c>
      <c r="L105" s="363"/>
      <c r="M105" s="584"/>
      <c r="N105" s="312"/>
      <c r="O105" s="312"/>
      <c r="P105" s="312"/>
      <c r="Q105" s="346"/>
      <c r="R105" s="332">
        <f t="shared" si="21"/>
        <v>0</v>
      </c>
    </row>
    <row r="106" spans="1:18" s="27" customFormat="1" ht="32.25" customHeight="1" hidden="1">
      <c r="A106" s="522"/>
      <c r="B106" s="312"/>
      <c r="C106" s="346"/>
      <c r="D106" s="312"/>
      <c r="E106" s="346"/>
      <c r="F106" s="312"/>
      <c r="G106" s="312"/>
      <c r="H106" s="346"/>
      <c r="I106" s="312"/>
      <c r="J106" s="758"/>
      <c r="K106" s="533">
        <f t="shared" si="20"/>
        <v>0</v>
      </c>
      <c r="L106" s="363"/>
      <c r="M106" s="584"/>
      <c r="N106" s="312"/>
      <c r="O106" s="312"/>
      <c r="P106" s="312"/>
      <c r="Q106" s="346"/>
      <c r="R106" s="332">
        <f t="shared" si="21"/>
        <v>0</v>
      </c>
    </row>
    <row r="107" spans="1:18" s="27" customFormat="1" ht="15.75" customHeight="1" hidden="1">
      <c r="A107" s="522"/>
      <c r="B107" s="312"/>
      <c r="C107" s="346"/>
      <c r="D107" s="312"/>
      <c r="E107" s="346"/>
      <c r="F107" s="312"/>
      <c r="G107" s="312"/>
      <c r="H107" s="346"/>
      <c r="I107" s="312"/>
      <c r="J107" s="758"/>
      <c r="K107" s="533">
        <f t="shared" si="20"/>
        <v>0</v>
      </c>
      <c r="L107" s="363"/>
      <c r="M107" s="584"/>
      <c r="N107" s="312"/>
      <c r="O107" s="312"/>
      <c r="P107" s="312"/>
      <c r="Q107" s="346"/>
      <c r="R107" s="332">
        <f t="shared" si="21"/>
        <v>0</v>
      </c>
    </row>
    <row r="108" spans="1:18" s="27" customFormat="1" ht="15.75" customHeight="1" hidden="1">
      <c r="A108" s="522"/>
      <c r="B108" s="312"/>
      <c r="C108" s="346"/>
      <c r="D108" s="312"/>
      <c r="E108" s="346"/>
      <c r="F108" s="312"/>
      <c r="G108" s="312"/>
      <c r="H108" s="346"/>
      <c r="I108" s="312"/>
      <c r="J108" s="758"/>
      <c r="K108" s="533">
        <f t="shared" si="20"/>
        <v>0</v>
      </c>
      <c r="L108" s="363"/>
      <c r="M108" s="584"/>
      <c r="N108" s="312"/>
      <c r="O108" s="312"/>
      <c r="P108" s="312"/>
      <c r="Q108" s="346"/>
      <c r="R108" s="332">
        <f t="shared" si="21"/>
        <v>0</v>
      </c>
    </row>
    <row r="109" spans="1:18" s="27" customFormat="1" ht="24" customHeight="1" hidden="1">
      <c r="A109" s="522"/>
      <c r="B109" s="312"/>
      <c r="C109" s="346"/>
      <c r="D109" s="312"/>
      <c r="E109" s="346"/>
      <c r="F109" s="312"/>
      <c r="G109" s="312"/>
      <c r="H109" s="346"/>
      <c r="I109" s="312"/>
      <c r="J109" s="758"/>
      <c r="K109" s="533">
        <f t="shared" si="20"/>
        <v>0</v>
      </c>
      <c r="L109" s="363"/>
      <c r="M109" s="584"/>
      <c r="N109" s="312"/>
      <c r="O109" s="312"/>
      <c r="P109" s="312"/>
      <c r="Q109" s="346"/>
      <c r="R109" s="332">
        <f t="shared" si="21"/>
        <v>0</v>
      </c>
    </row>
    <row r="110" spans="1:18" s="27" customFormat="1" ht="24" customHeight="1" hidden="1">
      <c r="A110" s="522"/>
      <c r="B110" s="312"/>
      <c r="C110" s="346"/>
      <c r="D110" s="312"/>
      <c r="E110" s="346"/>
      <c r="F110" s="312"/>
      <c r="G110" s="312"/>
      <c r="H110" s="346"/>
      <c r="I110" s="312"/>
      <c r="J110" s="758"/>
      <c r="K110" s="533">
        <f t="shared" si="20"/>
        <v>0</v>
      </c>
      <c r="L110" s="363"/>
      <c r="M110" s="584"/>
      <c r="N110" s="312"/>
      <c r="O110" s="312"/>
      <c r="P110" s="312"/>
      <c r="Q110" s="346"/>
      <c r="R110" s="332">
        <f t="shared" si="21"/>
        <v>0</v>
      </c>
    </row>
    <row r="111" spans="1:18" s="27" customFormat="1" ht="15.75" customHeight="1" hidden="1">
      <c r="A111" s="522"/>
      <c r="B111" s="312"/>
      <c r="C111" s="346"/>
      <c r="D111" s="312"/>
      <c r="E111" s="346"/>
      <c r="F111" s="312"/>
      <c r="G111" s="312"/>
      <c r="H111" s="346"/>
      <c r="I111" s="312"/>
      <c r="J111" s="758"/>
      <c r="K111" s="533"/>
      <c r="L111" s="363"/>
      <c r="M111" s="584"/>
      <c r="N111" s="312"/>
      <c r="O111" s="312"/>
      <c r="P111" s="312"/>
      <c r="Q111" s="346"/>
      <c r="R111" s="332"/>
    </row>
    <row r="112" spans="1:18" s="27" customFormat="1" ht="26.25" customHeight="1" hidden="1" thickBot="1">
      <c r="A112" s="523"/>
      <c r="B112" s="312"/>
      <c r="C112" s="346"/>
      <c r="D112" s="312"/>
      <c r="E112" s="346"/>
      <c r="F112" s="312"/>
      <c r="G112" s="312"/>
      <c r="H112" s="346"/>
      <c r="I112" s="312"/>
      <c r="J112" s="758"/>
      <c r="K112" s="533">
        <f>SUM(B112:H112)</f>
        <v>0</v>
      </c>
      <c r="L112" s="364"/>
      <c r="M112" s="584"/>
      <c r="N112" s="312"/>
      <c r="O112" s="312"/>
      <c r="P112" s="312"/>
      <c r="Q112" s="346"/>
      <c r="R112" s="332">
        <f aca="true" t="shared" si="22" ref="R112:R119">SUM(K112:P112)</f>
        <v>0</v>
      </c>
    </row>
    <row r="113" spans="1:18" s="27" customFormat="1" ht="15.75" customHeight="1" thickBot="1">
      <c r="A113" s="523" t="s">
        <v>168</v>
      </c>
      <c r="B113" s="365"/>
      <c r="C113" s="366"/>
      <c r="D113" s="365"/>
      <c r="E113" s="366">
        <v>91500</v>
      </c>
      <c r="F113" s="365"/>
      <c r="G113" s="365">
        <v>39950</v>
      </c>
      <c r="H113" s="366"/>
      <c r="I113" s="365"/>
      <c r="J113" s="759"/>
      <c r="K113" s="566">
        <f>SUM(B113:H113)</f>
        <v>131450</v>
      </c>
      <c r="L113" s="367"/>
      <c r="M113" s="585"/>
      <c r="N113" s="365"/>
      <c r="O113" s="365"/>
      <c r="P113" s="365"/>
      <c r="Q113" s="366"/>
      <c r="R113" s="477">
        <f t="shared" si="22"/>
        <v>131450</v>
      </c>
    </row>
    <row r="114" spans="1:18" s="27" customFormat="1" ht="21.75" customHeight="1" hidden="1">
      <c r="A114" s="230"/>
      <c r="B114" s="51"/>
      <c r="C114" s="231"/>
      <c r="D114" s="232"/>
      <c r="E114" s="51"/>
      <c r="F114" s="232"/>
      <c r="G114" s="51"/>
      <c r="H114" s="232"/>
      <c r="I114" s="51"/>
      <c r="J114" s="231"/>
      <c r="K114" s="233">
        <f>SUM(B114:H114)</f>
        <v>0</v>
      </c>
      <c r="L114" s="51"/>
      <c r="M114" s="51"/>
      <c r="N114" s="51"/>
      <c r="O114" s="51"/>
      <c r="P114" s="51"/>
      <c r="Q114" s="212"/>
      <c r="R114" s="333">
        <f t="shared" si="22"/>
        <v>0</v>
      </c>
    </row>
    <row r="115" spans="1:18" s="27" customFormat="1" ht="15" customHeight="1" hidden="1">
      <c r="A115" s="210" t="s">
        <v>52</v>
      </c>
      <c r="B115" s="7"/>
      <c r="C115" s="204"/>
      <c r="D115" s="194"/>
      <c r="E115" s="7"/>
      <c r="F115" s="192"/>
      <c r="G115" s="7"/>
      <c r="H115" s="194"/>
      <c r="I115" s="7"/>
      <c r="J115" s="204"/>
      <c r="K115" s="196">
        <f>SUM(B115:I115)</f>
        <v>0</v>
      </c>
      <c r="L115" s="32"/>
      <c r="M115" s="32"/>
      <c r="N115" s="7"/>
      <c r="O115" s="32"/>
      <c r="P115" s="32"/>
      <c r="Q115" s="225"/>
      <c r="R115" s="330">
        <f t="shared" si="22"/>
        <v>0</v>
      </c>
    </row>
    <row r="116" spans="1:18" s="27" customFormat="1" ht="18" customHeight="1" hidden="1">
      <c r="A116" s="209" t="s">
        <v>47</v>
      </c>
      <c r="B116" s="38"/>
      <c r="C116" s="205"/>
      <c r="D116" s="193"/>
      <c r="E116" s="38"/>
      <c r="F116" s="193"/>
      <c r="G116" s="38"/>
      <c r="H116" s="193"/>
      <c r="I116" s="38"/>
      <c r="J116" s="205"/>
      <c r="K116" s="196">
        <f>SUM(B116:H116)</f>
        <v>0</v>
      </c>
      <c r="L116" s="38"/>
      <c r="M116" s="38"/>
      <c r="N116" s="38"/>
      <c r="O116" s="67"/>
      <c r="P116" s="38"/>
      <c r="Q116" s="226"/>
      <c r="R116" s="478">
        <f t="shared" si="22"/>
        <v>0</v>
      </c>
    </row>
    <row r="117" spans="1:18" s="27" customFormat="1" ht="15" customHeight="1" hidden="1" thickBot="1">
      <c r="A117" s="210" t="s">
        <v>53</v>
      </c>
      <c r="B117" s="169"/>
      <c r="C117" s="203"/>
      <c r="D117" s="192"/>
      <c r="E117" s="32"/>
      <c r="F117" s="192"/>
      <c r="G117" s="32"/>
      <c r="H117" s="192"/>
      <c r="I117" s="32"/>
      <c r="J117" s="203"/>
      <c r="K117" s="196">
        <f>SUM(B117:I117)</f>
        <v>0</v>
      </c>
      <c r="L117" s="32"/>
      <c r="M117" s="32"/>
      <c r="N117" s="32"/>
      <c r="O117" s="32"/>
      <c r="P117" s="32"/>
      <c r="Q117" s="227"/>
      <c r="R117" s="479">
        <f t="shared" si="22"/>
        <v>0</v>
      </c>
    </row>
    <row r="118" spans="1:18" ht="13.5" customHeight="1" hidden="1" thickBot="1">
      <c r="A118" s="208" t="s">
        <v>44</v>
      </c>
      <c r="B118" s="52"/>
      <c r="C118" s="217"/>
      <c r="D118" s="195"/>
      <c r="E118" s="39"/>
      <c r="F118" s="195"/>
      <c r="G118" s="39"/>
      <c r="H118" s="195"/>
      <c r="I118" s="53"/>
      <c r="J118" s="206"/>
      <c r="K118" s="197"/>
      <c r="L118" s="55"/>
      <c r="M118" s="39"/>
      <c r="N118" s="39"/>
      <c r="O118" s="39"/>
      <c r="P118" s="39"/>
      <c r="Q118" s="228"/>
      <c r="R118" s="480">
        <f t="shared" si="22"/>
        <v>0</v>
      </c>
    </row>
    <row r="119" spans="1:18" ht="15.75" customHeight="1" hidden="1" thickBot="1">
      <c r="A119" s="63" t="s">
        <v>47</v>
      </c>
      <c r="B119" s="52"/>
      <c r="C119" s="53"/>
      <c r="D119" s="53"/>
      <c r="E119" s="53"/>
      <c r="F119" s="53"/>
      <c r="G119" s="53"/>
      <c r="H119" s="53"/>
      <c r="I119" s="53"/>
      <c r="J119" s="53"/>
      <c r="K119" s="104">
        <f>SUM(B119:H119)</f>
        <v>0</v>
      </c>
      <c r="L119" s="53"/>
      <c r="M119" s="53"/>
      <c r="N119" s="53"/>
      <c r="O119" s="53"/>
      <c r="P119" s="53"/>
      <c r="Q119" s="229"/>
      <c r="R119" s="104">
        <f t="shared" si="22"/>
        <v>0</v>
      </c>
    </row>
    <row r="120" ht="12.75">
      <c r="A120" s="40"/>
    </row>
    <row r="121" spans="1:6" ht="12.75">
      <c r="A121" s="64"/>
      <c r="F121" s="62"/>
    </row>
    <row r="122" ht="12.75">
      <c r="A122" s="65"/>
    </row>
    <row r="123" spans="1:16" ht="12.75">
      <c r="A123" s="65"/>
      <c r="P123" s="66"/>
    </row>
    <row r="124" ht="12.75">
      <c r="P124" s="66"/>
    </row>
    <row r="125" ht="12.75">
      <c r="P125" s="66"/>
    </row>
    <row r="126" ht="12.75">
      <c r="A126" s="42"/>
    </row>
    <row r="127" spans="13:18" ht="12.75">
      <c r="M127" s="189"/>
      <c r="N127" s="189"/>
      <c r="O127" s="189"/>
      <c r="P127" s="189"/>
      <c r="Q127" s="189"/>
      <c r="R127" s="190"/>
    </row>
    <row r="128" spans="13:18" ht="12.75">
      <c r="M128" s="189"/>
      <c r="N128" s="189"/>
      <c r="O128" s="189"/>
      <c r="P128" s="189"/>
      <c r="Q128" s="189"/>
      <c r="R128" s="190"/>
    </row>
    <row r="129" spans="13:18" ht="12.75">
      <c r="M129" s="189"/>
      <c r="N129" s="190"/>
      <c r="O129" s="190"/>
      <c r="P129" s="189"/>
      <c r="Q129" s="189"/>
      <c r="R129" s="190"/>
    </row>
    <row r="130" spans="13:18" ht="12.75">
      <c r="M130" s="189"/>
      <c r="N130" s="50"/>
      <c r="O130" s="50"/>
      <c r="P130" s="189"/>
      <c r="Q130" s="189"/>
      <c r="R130" s="190"/>
    </row>
    <row r="131" spans="13:18" ht="12.75">
      <c r="M131" s="189"/>
      <c r="N131" s="189"/>
      <c r="O131" s="189"/>
      <c r="P131" s="189"/>
      <c r="Q131" s="189"/>
      <c r="R131" s="190"/>
    </row>
    <row r="132" spans="13:18" ht="12.75">
      <c r="M132" s="189"/>
      <c r="N132" s="189"/>
      <c r="O132" s="189"/>
      <c r="P132" s="189"/>
      <c r="Q132" s="189"/>
      <c r="R132" s="190"/>
    </row>
    <row r="133" spans="13:18" ht="12.75">
      <c r="M133" s="189"/>
      <c r="N133" s="189"/>
      <c r="O133" s="189"/>
      <c r="P133" s="189"/>
      <c r="Q133" s="189"/>
      <c r="R133" s="190"/>
    </row>
    <row r="134" spans="13:18" ht="12.75">
      <c r="M134" s="189"/>
      <c r="N134" s="189"/>
      <c r="O134" s="189"/>
      <c r="P134" s="189"/>
      <c r="Q134" s="189"/>
      <c r="R134" s="190"/>
    </row>
    <row r="135" spans="13:18" ht="12.75">
      <c r="M135" s="189"/>
      <c r="N135" s="189"/>
      <c r="O135" s="189"/>
      <c r="P135" s="189"/>
      <c r="Q135" s="189"/>
      <c r="R135" s="190"/>
    </row>
  </sheetData>
  <sheetProtection/>
  <mergeCells count="1">
    <mergeCell ref="A1:R1"/>
  </mergeCells>
  <printOptions horizontalCentered="1" verticalCentered="1"/>
  <pageMargins left="0.2362204724409449" right="0.15748031496062992" top="0.2755905511811024" bottom="0.31496062992125984" header="0.1968503937007874" footer="0.11811023622047245"/>
  <pageSetup fitToHeight="2" fitToWidth="1" horizontalDpi="600" verticalDpi="600" orientation="landscape" paperSize="9" scale="45" r:id="rId1"/>
  <headerFooter alignWithMargins="0">
    <oddFooter>&amp;L&amp;Z&amp;F        &amp;A&amp;R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UD 2013</dc:title>
  <dc:subject/>
  <dc:creator>Vanáková</dc:creator>
  <cp:keywords/>
  <dc:description/>
  <cp:lastModifiedBy>Ferino</cp:lastModifiedBy>
  <cp:lastPrinted>2021-03-02T07:04:05Z</cp:lastPrinted>
  <dcterms:created xsi:type="dcterms:W3CDTF">2011-05-10T07:34:41Z</dcterms:created>
  <dcterms:modified xsi:type="dcterms:W3CDTF">2021-03-10T18:31:37Z</dcterms:modified>
  <cp:category/>
  <cp:version/>
  <cp:contentType/>
  <cp:contentStatus/>
</cp:coreProperties>
</file>