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30" windowHeight="12810" activeTab="1"/>
  </bookViews>
  <sheets>
    <sheet name="úpravy" sheetId="1" r:id="rId1"/>
    <sheet name="súhrnná po 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'[3]vyk95'!#REF!</definedName>
    <definedName name="__Pr3">'[3]vyk95'!#REF!</definedName>
    <definedName name="_pie99">'[10]VYR99-E'!$AK$45</definedName>
    <definedName name="AU_paiDOK2000" localSheetId="1">#REF!</definedName>
    <definedName name="AU_paiDOK2000">#REF!</definedName>
    <definedName name="AU_pD2001_DS_bKA" localSheetId="1">#REF!</definedName>
    <definedName name="AU_pD2001_DS_bKA">#REF!</definedName>
    <definedName name="AU_pP2000_DS_bKA" localSheetId="1">#REF!</definedName>
    <definedName name="AU_pP2000_DS_bKA">#REF!</definedName>
    <definedName name="AU_pP2001_DS_bKA" localSheetId="1">#REF!</definedName>
    <definedName name="AU_pP2001_DS_bKA">#REF!</definedName>
    <definedName name="AU_pP2001_DS_sKA" localSheetId="1">#REF!</definedName>
    <definedName name="AU_pP2001_DS_sKA">#REF!</definedName>
    <definedName name="AU_ppa2000_bDOK" localSheetId="1">#REF!</definedName>
    <definedName name="AU_ppa2000_bDOK">#REF!</definedName>
    <definedName name="AU_pps_bKA" localSheetId="1">#REF!</definedName>
    <definedName name="AU_pps_bKA">#REF!</definedName>
    <definedName name="AU_pps_bKA_bDOK" localSheetId="1">#REF!</definedName>
    <definedName name="AU_pps_bKA_bDOK">#REF!</definedName>
    <definedName name="AU_pps_sKA" localSheetId="1">#REF!</definedName>
    <definedName name="AU_pps_sKA">#REF!</definedName>
    <definedName name="AU_pps_sKA_bDOK" localSheetId="1">#REF!</definedName>
    <definedName name="AU_pps_sKA_bDOK">#REF!</definedName>
    <definedName name="AU_vKEN_aiDOK" localSheetId="1">#REF!</definedName>
    <definedName name="AU_vKEN_aiDOK">#REF!</definedName>
    <definedName name="AU_vKEN_bKA" localSheetId="1">#REF!</definedName>
    <definedName name="AU_vKEN_bKA">#REF!</definedName>
    <definedName name="AU_vKEN_bKA_bDOK" localSheetId="1">#REF!</definedName>
    <definedName name="AU_vKEN_bKA_bDOK">#REF!</definedName>
    <definedName name="AU_vKEN_bKA_PDS" localSheetId="1">#REF!</definedName>
    <definedName name="AU_vKEN_bKA_PDS">#REF!</definedName>
    <definedName name="AU_vKEN_sKA" localSheetId="1">#REF!</definedName>
    <definedName name="AU_vKEN_sKA">#REF!</definedName>
    <definedName name="AU_vKEN_sKA_bDOK" localSheetId="1">#REF!</definedName>
    <definedName name="AU_vKEN_sKA_bDOK">#REF!</definedName>
    <definedName name="AU_vKEN_sKA_PDS" localSheetId="1">#REF!</definedName>
    <definedName name="AU_vKEN_sKA_PDS">#REF!</definedName>
    <definedName name="AU_vKPN_aiDOK" localSheetId="1">#REF!</definedName>
    <definedName name="AU_vKPN_aiDOK">#REF!</definedName>
    <definedName name="AU_vKPN_bKA" localSheetId="1">#REF!</definedName>
    <definedName name="AU_vKPN_bKA">#REF!</definedName>
    <definedName name="AU_vKPN_bKA_bDOK" localSheetId="1">#REF!</definedName>
    <definedName name="AU_vKPN_bKA_bDOK">#REF!</definedName>
    <definedName name="AU_vKPN_bKA_PDS" localSheetId="1">#REF!</definedName>
    <definedName name="AU_vKPN_bKA_PDS">#REF!</definedName>
    <definedName name="AU_vKPN_sKA" localSheetId="1">#REF!</definedName>
    <definedName name="AU_vKPN_sKA">#REF!</definedName>
    <definedName name="AU_vKPN_sKA_bDOK" localSheetId="1">#REF!</definedName>
    <definedName name="AU_vKPN_sKA_bDOK">#REF!</definedName>
    <definedName name="AU_vKPN_sKA_PDS" localSheetId="1">#REF!</definedName>
    <definedName name="AU_vKPN_sKA_PDS">#REF!</definedName>
    <definedName name="AV" localSheetId="1">'[3]Mz01-96'!#REF!</definedName>
    <definedName name="AV" localSheetId="0">'[3]Mz01-96'!#REF!</definedName>
    <definedName name="AV">'[3]Mz01-96'!#REF!</definedName>
    <definedName name="AVN" localSheetId="1">'[3]Pr-6'!#REF!</definedName>
    <definedName name="AVN" localSheetId="0">'[3]Pr-6'!#REF!</definedName>
    <definedName name="AVN">'[3]Pr-6'!#REF!</definedName>
    <definedName name="avnoi" localSheetId="1">'[4]Pr-6'!#REF!</definedName>
    <definedName name="avnoi" localSheetId="0">'[5]Pr-6'!#REF!</definedName>
    <definedName name="avnoi">'[5]Pr-6'!#REF!</definedName>
    <definedName name="c.1" localSheetId="1">'[3]vyk95'!#REF!</definedName>
    <definedName name="c.1" localSheetId="0">'[3]vyk95'!#REF!</definedName>
    <definedName name="c.1">'[3]vyk95'!#REF!</definedName>
    <definedName name="c.2" localSheetId="1">'[3]vyk95'!#REF!</definedName>
    <definedName name="c.2" localSheetId="0">'[3]vyk95'!#REF!</definedName>
    <definedName name="c.2">'[3]vyk95'!#REF!</definedName>
    <definedName name="c.3" localSheetId="1">'[3]vyk95'!#REF!</definedName>
    <definedName name="c.3" localSheetId="0">'[3]vyk95'!#REF!</definedName>
    <definedName name="c.3">'[3]vyk95'!#REF!</definedName>
    <definedName name="c.4" localSheetId="1">'[3]vyk95'!#REF!</definedName>
    <definedName name="c.4" localSheetId="0">'[3]vyk95'!#REF!</definedName>
    <definedName name="c.4">'[3]vyk95'!#REF!</definedName>
    <definedName name="c.5" localSheetId="1">'[3]vyk95'!#REF!</definedName>
    <definedName name="c.5" localSheetId="0">'[3]vyk95'!#REF!</definedName>
    <definedName name="c.5">'[3]vyk95'!#REF!</definedName>
    <definedName name="c.6" localSheetId="1">'[3]vyk95'!#REF!</definedName>
    <definedName name="c.6" localSheetId="0">'[3]vyk95'!#REF!</definedName>
    <definedName name="c.6">'[3]vyk95'!#REF!</definedName>
    <definedName name="cdva" localSheetId="1">'[3]Pr-6'!#REF!</definedName>
    <definedName name="cdva" localSheetId="0">'[3]Pr-6'!#REF!</definedName>
    <definedName name="cdva">'[3]Pr-6'!#REF!</definedName>
    <definedName name="cjd" localSheetId="1">'[3]Pr-6'!#REF!</definedName>
    <definedName name="cjd" localSheetId="0">'[3]Pr-6'!#REF!</definedName>
    <definedName name="cjd">'[3]Pr-6'!#REF!</definedName>
    <definedName name="cpat" localSheetId="1">'[3]Pr-6'!#REF!</definedName>
    <definedName name="cpat" localSheetId="0">'[3]Pr-6'!#REF!</definedName>
    <definedName name="cpat">'[3]Pr-6'!#REF!</definedName>
    <definedName name="cse" localSheetId="1">'[3]Pr-6'!#REF!</definedName>
    <definedName name="cse" localSheetId="0">'[3]Pr-6'!#REF!</definedName>
    <definedName name="cse">'[3]Pr-6'!#REF!</definedName>
    <definedName name="cst" localSheetId="1">'[3]Pr-6'!#REF!</definedName>
    <definedName name="cst" localSheetId="0">'[3]Pr-6'!#REF!</definedName>
    <definedName name="cst">'[3]Pr-6'!#REF!</definedName>
    <definedName name="ctri" localSheetId="1">'[3]Pr-6'!#REF!</definedName>
    <definedName name="ctri" localSheetId="0">'[3]Pr-6'!#REF!</definedName>
    <definedName name="ctri">'[3]Pr-6'!#REF!</definedName>
    <definedName name="Cv" localSheetId="1">'[3]vyk95'!#REF!</definedName>
    <definedName name="Cv" localSheetId="0">'[3]vyk95'!#REF!</definedName>
    <definedName name="Cv">'[3]vyk95'!#REF!</definedName>
    <definedName name="cvn" localSheetId="1">'[3]Pr-6'!#REF!</definedName>
    <definedName name="cvn" localSheetId="0">'[3]Pr-6'!#REF!</definedName>
    <definedName name="cvn">'[3]Pr-6'!#REF!</definedName>
    <definedName name="č2" localSheetId="1">'[4]Pr-6'!#REF!</definedName>
    <definedName name="č2" localSheetId="0">'[5]Pr-6'!#REF!</definedName>
    <definedName name="č2">'[5]Pr-6'!#REF!</definedName>
    <definedName name="DATABASE" localSheetId="1">'[6]T3 - data_odbory'!#REF!</definedName>
    <definedName name="denní" localSheetId="1">#REF!</definedName>
    <definedName name="denní">#REF!</definedName>
    <definedName name="dfghjk" localSheetId="1">'[4]Pr-6'!#REF!</definedName>
    <definedName name="dfghjk" localSheetId="0">'[5]Pr-6'!#REF!</definedName>
    <definedName name="dfghjk">'[5]Pr-6'!#REF!</definedName>
    <definedName name="do">'[8]T2-KPN'!$D$35</definedName>
    <definedName name="doce">'[9]T3-vstupy'!$C$53</definedName>
    <definedName name="dok">'[8]T2-KPN'!$D$34</definedName>
    <definedName name="dokpo" localSheetId="1">#REF!</definedName>
    <definedName name="dokpo">#REF!</definedName>
    <definedName name="dokpred" localSheetId="1">#REF!</definedName>
    <definedName name="dokpred">#REF!</definedName>
    <definedName name="dotácia2010">'[17]T3-vstupy'!#REF!</definedName>
    <definedName name="ertz" localSheetId="1">'[4]Pr-6'!#REF!</definedName>
    <definedName name="ertz" localSheetId="0">'[5]Pr-6'!#REF!</definedName>
    <definedName name="ertz">'[5]Pr-6'!#REF!</definedName>
    <definedName name="EU_paiDOK2000" localSheetId="1">#REF!</definedName>
    <definedName name="EU_paiDOK2000">#REF!</definedName>
    <definedName name="EU_pD2001_DS_bKA" localSheetId="1">#REF!</definedName>
    <definedName name="EU_pD2001_DS_bKA">#REF!</definedName>
    <definedName name="EU_pP2000_DS_bKA" localSheetId="1">#REF!</definedName>
    <definedName name="EU_pP2000_DS_bKA">#REF!</definedName>
    <definedName name="EU_pP2001_DS_bKA" localSheetId="1">#REF!</definedName>
    <definedName name="EU_pP2001_DS_bKA">#REF!</definedName>
    <definedName name="EU_pP2001_DS_sKA" localSheetId="1">#REF!</definedName>
    <definedName name="EU_pP2001_DS_sKA">#REF!</definedName>
    <definedName name="EU_ppa2000_bDOK" localSheetId="1">#REF!</definedName>
    <definedName name="EU_ppa2000_bDOK">#REF!</definedName>
    <definedName name="EU_pps_bKA" localSheetId="1">#REF!</definedName>
    <definedName name="EU_pps_bKA">#REF!</definedName>
    <definedName name="EU_pps_bKA_bDOK" localSheetId="1">#REF!</definedName>
    <definedName name="EU_pps_bKA_bDOK">#REF!</definedName>
    <definedName name="EU_pps_sKA" localSheetId="1">#REF!</definedName>
    <definedName name="EU_pps_sKA">#REF!</definedName>
    <definedName name="EU_pps_sKA_bDOK" localSheetId="1">#REF!</definedName>
    <definedName name="EU_pps_sKA_bDOK">#REF!</definedName>
    <definedName name="EU_vKEN_aiDOK" localSheetId="1">#REF!</definedName>
    <definedName name="EU_vKEN_aiDOK">#REF!</definedName>
    <definedName name="EU_vKEN_bKA" localSheetId="1">#REF!</definedName>
    <definedName name="EU_vKEN_bKA">#REF!</definedName>
    <definedName name="EU_vKEN_bKA_bDOK" localSheetId="1">#REF!</definedName>
    <definedName name="EU_vKEN_bKA_bDOK">#REF!</definedName>
    <definedName name="EU_vKEN_bKA_PDS" localSheetId="1">#REF!</definedName>
    <definedName name="EU_vKEN_bKA_PDS">#REF!</definedName>
    <definedName name="EU_vKEN_sKA" localSheetId="1">#REF!</definedName>
    <definedName name="EU_vKEN_sKA">#REF!</definedName>
    <definedName name="EU_vKEN_sKA_bDOK" localSheetId="1">#REF!</definedName>
    <definedName name="EU_vKEN_sKA_bDOK">#REF!</definedName>
    <definedName name="EU_vKEN_sKA_PDS" localSheetId="1">#REF!</definedName>
    <definedName name="EU_vKEN_sKA_PDS">#REF!</definedName>
    <definedName name="EU_vKPN_aiDOK" localSheetId="1">#REF!</definedName>
    <definedName name="EU_vKPN_aiDOK">#REF!</definedName>
    <definedName name="EU_vKPN_bKA" localSheetId="1">#REF!</definedName>
    <definedName name="EU_vKPN_bKA">#REF!</definedName>
    <definedName name="EU_vKPN_bKA_bDOK" localSheetId="1">#REF!</definedName>
    <definedName name="EU_vKPN_bKA_bDOK">#REF!</definedName>
    <definedName name="EU_vKPN_bKA_PDS" localSheetId="1">#REF!</definedName>
    <definedName name="EU_vKPN_bKA_PDS">#REF!</definedName>
    <definedName name="EU_vKPN_sKA" localSheetId="1">#REF!</definedName>
    <definedName name="EU_vKPN_sKA">#REF!</definedName>
    <definedName name="EU_vKPN_sKA_bDOK" localSheetId="1">#REF!</definedName>
    <definedName name="EU_vKPN_sKA_bDOK">#REF!</definedName>
    <definedName name="EU_vKPN_sKA_PDS" localSheetId="1">#REF!</definedName>
    <definedName name="EU_vKPN_sKA_PDS">#REF!</definedName>
    <definedName name="externeplat" localSheetId="1">#REF!</definedName>
    <definedName name="externeplat">#REF!</definedName>
    <definedName name="exterplat" localSheetId="1">#REF!</definedName>
    <definedName name="exterplat">#REF!</definedName>
    <definedName name="FEI" localSheetId="1">#REF!</definedName>
    <definedName name="FEI">#REF!</definedName>
    <definedName name="fein">'[10]VYR99-E'!$J$2</definedName>
    <definedName name="FEL">#REF!</definedName>
    <definedName name="fgh" localSheetId="1">'[4]Pr-6'!#REF!</definedName>
    <definedName name="fgh" localSheetId="0">'[5]Pr-6'!#REF!</definedName>
    <definedName name="fgh">'[5]Pr-6'!#REF!</definedName>
    <definedName name="FV" localSheetId="1">'[3]Mz01-96'!#REF!</definedName>
    <definedName name="FV" localSheetId="0">'[3]Mz01-96'!#REF!</definedName>
    <definedName name="FV">'[3]Mz01-96'!#REF!</definedName>
    <definedName name="fvn" localSheetId="1">'[3]Pr-6'!#REF!</definedName>
    <definedName name="fvn" localSheetId="0">'[3]Pr-6'!#REF!</definedName>
    <definedName name="fvn">'[3]Pr-6'!#REF!</definedName>
    <definedName name="Gon" localSheetId="1">'[12]vyk95'!#REF!</definedName>
    <definedName name="Gon" localSheetId="0">'[12]vyk95'!#REF!</definedName>
    <definedName name="Gon">'[12]vyk95'!#REF!</definedName>
    <definedName name="GV" localSheetId="1">'[3]Mz01-96'!#REF!</definedName>
    <definedName name="GV" localSheetId="0">'[3]Mz01-96'!#REF!</definedName>
    <definedName name="GV">'[3]Mz01-96'!#REF!</definedName>
    <definedName name="gvn" localSheetId="1">'[3]Pr-6'!#REF!</definedName>
    <definedName name="gvn" localSheetId="0">'[3]Pr-6'!#REF!</definedName>
    <definedName name="gvn">'[3]Pr-6'!#REF!</definedName>
    <definedName name="hvuk" localSheetId="1">'[3]Mz01-96'!#REF!</definedName>
    <definedName name="hvuk" localSheetId="0">'[3]Mz01-96'!#REF!</definedName>
    <definedName name="hvuk">'[3]Mz01-96'!#REF!</definedName>
    <definedName name="hvukn" localSheetId="1">'[3]Pr-6'!#REF!</definedName>
    <definedName name="hvukn" localSheetId="0">'[3]Pr-6'!#REF!</definedName>
    <definedName name="hvukn">'[3]Pr-6'!#REF!</definedName>
    <definedName name="ka_akredit" localSheetId="1">#REF!</definedName>
    <definedName name="ka_akredit">#REF!</definedName>
    <definedName name="ka_neakredit" localSheetId="1">#REF!</definedName>
    <definedName name="ka_neakredit">#REF!</definedName>
    <definedName name="Kap" localSheetId="1">#REF!</definedName>
    <definedName name="Kap">#REF!</definedName>
    <definedName name="kden">'[13]koeficienty'!$D$31</definedName>
    <definedName name="ken_au" localSheetId="1">#REF!</definedName>
    <definedName name="ken_au">#REF!</definedName>
    <definedName name="ken_eu" localSheetId="1">#REF!</definedName>
    <definedName name="ken_eu">#REF!</definedName>
    <definedName name="ken_pu" localSheetId="1">#REF!</definedName>
    <definedName name="ken_pu">#REF!</definedName>
    <definedName name="ken_stu" localSheetId="1">#REF!</definedName>
    <definedName name="ken_stu">#REF!</definedName>
    <definedName name="ken_tru" localSheetId="1">#REF!</definedName>
    <definedName name="ken_tru">#REF!</definedName>
    <definedName name="ken_tuke" localSheetId="1">#REF!</definedName>
    <definedName name="ken_tuke">#REF!</definedName>
    <definedName name="ken_tuzvo" localSheetId="1">#REF!</definedName>
    <definedName name="ken_tuzvo">#REF!</definedName>
    <definedName name="ken_tvu" localSheetId="1">#REF!</definedName>
    <definedName name="ken_tvu">#REF!</definedName>
    <definedName name="ken_ucm" localSheetId="1">#REF!</definedName>
    <definedName name="ken_ucm">#REF!</definedName>
    <definedName name="ken_uk" localSheetId="1">#REF!</definedName>
    <definedName name="ken_uk">#REF!</definedName>
    <definedName name="ken_ukf" localSheetId="1">#REF!</definedName>
    <definedName name="ken_ukf">#REF!</definedName>
    <definedName name="ken_umb" localSheetId="1">#REF!</definedName>
    <definedName name="ken_umb">#REF!</definedName>
    <definedName name="ken_upjs" localSheetId="1">#REF!</definedName>
    <definedName name="ken_upjs">#REF!</definedName>
    <definedName name="ken_vsmu" localSheetId="1">#REF!</definedName>
    <definedName name="ken_vsmu">#REF!</definedName>
    <definedName name="ken_zu" localSheetId="1">#REF!</definedName>
    <definedName name="ken_zu">#REF!</definedName>
    <definedName name="kensk1" localSheetId="1">#REF!</definedName>
    <definedName name="kensk1">#REF!</definedName>
    <definedName name="kensk10" localSheetId="1">#REF!</definedName>
    <definedName name="kensk10">#REF!</definedName>
    <definedName name="kensk11" localSheetId="1">#REF!</definedName>
    <definedName name="kensk11">#REF!</definedName>
    <definedName name="kensk12" localSheetId="1">#REF!</definedName>
    <definedName name="kensk12">#REF!</definedName>
    <definedName name="kensk13" localSheetId="1">#REF!</definedName>
    <definedName name="kensk13">#REF!</definedName>
    <definedName name="kensk14" localSheetId="1">#REF!</definedName>
    <definedName name="kensk14">#REF!</definedName>
    <definedName name="kensk14a" localSheetId="1">#REF!</definedName>
    <definedName name="kensk14a">#REF!</definedName>
    <definedName name="kensk15" localSheetId="1">#REF!</definedName>
    <definedName name="kensk15">#REF!</definedName>
    <definedName name="kensk16" localSheetId="1">#REF!</definedName>
    <definedName name="kensk16">#REF!</definedName>
    <definedName name="kensk17">'[6]T2 - KEN'!$B$18</definedName>
    <definedName name="kensk18">'[6]T2 - KEN'!$B$19</definedName>
    <definedName name="kensk1a" localSheetId="1">'[14]T2-KPN'!#REF!</definedName>
    <definedName name="kensk1a" localSheetId="0">'[14]T2-KPN'!#REF!</definedName>
    <definedName name="kensk1a">'[14]T2-KPN'!#REF!</definedName>
    <definedName name="kensk2" localSheetId="1">#REF!</definedName>
    <definedName name="kensk2">#REF!</definedName>
    <definedName name="kensk3" localSheetId="1">#REF!</definedName>
    <definedName name="kensk3">#REF!</definedName>
    <definedName name="kensk4">'[6]T2 - KEN'!$B$5</definedName>
    <definedName name="kensk4a" localSheetId="1">#REF!</definedName>
    <definedName name="kensk4a">#REF!</definedName>
    <definedName name="kensk5" localSheetId="1">#REF!</definedName>
    <definedName name="kensk5">#REF!</definedName>
    <definedName name="kensk6">'[6]T2 - KEN'!$B$7</definedName>
    <definedName name="kensk7" localSheetId="1">#REF!</definedName>
    <definedName name="kensk7">#REF!</definedName>
    <definedName name="kensk8">'[6]T2 - KEN'!$B$9</definedName>
    <definedName name="kensk9">'[6]T2 - KEN'!$B$10</definedName>
    <definedName name="kext">'[13]koeficienty'!$D$32</definedName>
    <definedName name="kint">'[13]koeficienty'!$D$33</definedName>
    <definedName name="kintds">'[13]koeficienty'!$D$34</definedName>
    <definedName name="KKS">'[15]T3-vstupy'!$C$52</definedName>
    <definedName name="KKS_doc" localSheetId="1">'[16]T3-vstupy'!$C$30</definedName>
    <definedName name="KKS_doc">'[17]T3-vstupy'!$C$49</definedName>
    <definedName name="KKS_ost" localSheetId="1">'[16]T3-vstupy'!$C$32</definedName>
    <definedName name="KKS_ost">'[17]T3-vstupy'!$C$51</definedName>
    <definedName name="KKS_phd" localSheetId="1">'[16]T3-vstupy'!$C$31</definedName>
    <definedName name="KKS_phd">'[17]T3-vstupy'!$C$50</definedName>
    <definedName name="KKS_prof" localSheetId="1">'[16]T3-vstupy'!$C$29</definedName>
    <definedName name="KKS_prof">'[17]T3-vstupy'!$C$48</definedName>
    <definedName name="KLs" localSheetId="1">'[3]vyk95'!#REF!</definedName>
    <definedName name="KLs" localSheetId="0">'[3]vyk95'!#REF!</definedName>
    <definedName name="KLs">'[3]vyk95'!#REF!</definedName>
    <definedName name="klsn" localSheetId="1">'[3]Pr-6'!#REF!</definedName>
    <definedName name="klsn" localSheetId="0">'[3]Pr-6'!#REF!</definedName>
    <definedName name="klsn">'[3]Pr-6'!#REF!</definedName>
    <definedName name="kmp" localSheetId="1">'[17]T12-špecifiká'!#REF!</definedName>
    <definedName name="kmp" localSheetId="0">'[17]T12-špecifiká'!#REF!</definedName>
    <definedName name="kmp">'[17]T12-špecifiká'!#REF!</definedName>
    <definedName name="kmt" localSheetId="1">'[17]T12-špecifiká'!#REF!</definedName>
    <definedName name="kmt" localSheetId="0">'[17]T12-špecifiká'!#REF!</definedName>
    <definedName name="kmt">'[17]T12-špecifiká'!#REF!</definedName>
    <definedName name="koef_gm_mzdy">'[18]T3-vstupy'!$C$44</definedName>
    <definedName name="koef_gm_TaS" localSheetId="1">'[19]T3-vstupy'!$C$70</definedName>
    <definedName name="koef_gm_TaS">'[18]T3-vstupy'!$C$65</definedName>
    <definedName name="koef_udr_kat1">'[18]T3-vstupy'!$C$108</definedName>
    <definedName name="koef_udr_kat2">'[18]T3-vstupy'!$C$109</definedName>
    <definedName name="koef_udr_kat3">'[18]T3-vstupy'!$C$110</definedName>
    <definedName name="kpn_ca_do_1500" localSheetId="1">#REF!</definedName>
    <definedName name="kpn_ca_do_1500">#REF!</definedName>
    <definedName name="kpn_ca_nad">'[20]T2-KPN'!$I$27</definedName>
    <definedName name="kpn_ca_nad_1500" localSheetId="1">#REF!</definedName>
    <definedName name="kpn_ca_nad_1500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13" localSheetId="1">#REF!</definedName>
    <definedName name="kpnsk13">#REF!</definedName>
    <definedName name="kpnsk14" localSheetId="1">#REF!</definedName>
    <definedName name="kpnsk14">#REF!</definedName>
    <definedName name="kpnsk14a" localSheetId="1">#REF!</definedName>
    <definedName name="kpnsk14a">#REF!</definedName>
    <definedName name="kpnsk15" localSheetId="1">#REF!</definedName>
    <definedName name="kpnsk15">#REF!</definedName>
    <definedName name="kpnsk16" localSheetId="1">#REF!</definedName>
    <definedName name="kpnsk16">#REF!</definedName>
    <definedName name="kpnsk17" localSheetId="1">#REF!</definedName>
    <definedName name="kpnsk17">#REF!</definedName>
    <definedName name="kpnsk18" localSheetId="1">#REF!</definedName>
    <definedName name="kpnsk18">#REF!</definedName>
    <definedName name="kpnsk1a" localSheetId="1">'[14]T2-KPN'!#REF!</definedName>
    <definedName name="kpnsk1a" localSheetId="0">'[14]T2-KPN'!#REF!</definedName>
    <definedName name="kpnsk1a">'[14]T2-KPN'!#REF!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4a" localSheetId="1">#REF!</definedName>
    <definedName name="kpnsk4a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sn" localSheetId="1">'[3]Pr-6'!#REF!</definedName>
    <definedName name="ksn" localSheetId="0">'[3]Pr-6'!#REF!</definedName>
    <definedName name="ksn">'[3]Pr-6'!#REF!</definedName>
    <definedName name="KŠ" localSheetId="1">'[3]Mz01-96'!#REF!</definedName>
    <definedName name="KŠ" localSheetId="0">'[3]Mz01-96'!#REF!</definedName>
    <definedName name="KŠ">'[3]Mz01-96'!#REF!</definedName>
    <definedName name="KZp" localSheetId="1">'[3]vyk95'!#REF!</definedName>
    <definedName name="KZp" localSheetId="0">'[3]vyk95'!#REF!</definedName>
    <definedName name="KZp">'[3]vyk95'!#REF!</definedName>
    <definedName name="kzpn" localSheetId="1">'[3]Pr-6'!#REF!</definedName>
    <definedName name="kzpn" localSheetId="0">'[3]Pr-6'!#REF!</definedName>
    <definedName name="kzpn">'[3]Pr-6'!#REF!</definedName>
    <definedName name="KZs" localSheetId="1">'[3]vyk95'!#REF!</definedName>
    <definedName name="KZs" localSheetId="0">'[3]vyk95'!#REF!</definedName>
    <definedName name="KZs">'[3]vyk95'!#REF!</definedName>
    <definedName name="kzsn" localSheetId="1">'[3]Pr-6'!#REF!</definedName>
    <definedName name="kzsn" localSheetId="0">'[3]Pr-6'!#REF!</definedName>
    <definedName name="kzsn">'[3]Pr-6'!#REF!</definedName>
    <definedName name="m">#REF!</definedName>
    <definedName name="mesia" localSheetId="1">#REF!</definedName>
    <definedName name="mesia">#REF!</definedName>
    <definedName name="mesiac">'[21]P-3'!$N$3</definedName>
    <definedName name="MP98" localSheetId="1">#REF!</definedName>
    <definedName name="MP98">#REF!</definedName>
    <definedName name="mp98n">'[10]VYR99-E'!$AA$47</definedName>
    <definedName name="msr">'[22]priem-12'!$P$62</definedName>
    <definedName name="msrn">#REF!</definedName>
    <definedName name="msrnn">'[23]priem-12-98'!$P$62</definedName>
    <definedName name="msrp">'[22]priem-12'!$S$64</definedName>
    <definedName name="msrpn">#REF!</definedName>
    <definedName name="msrpnn">'[23]priem-12-98'!$S$64</definedName>
    <definedName name="Mzstu">'[3]vyk95'!$AA$49</definedName>
    <definedName name="mzstun">'[3]Pr-6'!$AA$49</definedName>
    <definedName name="_xlnm.Print_Titles" localSheetId="1">'súhrnná po AS'!$1:$4</definedName>
    <definedName name="NPI">'[21]priplatky20'!$B$7</definedName>
    <definedName name="NPII">'[21]priplatky20'!$C$7</definedName>
    <definedName name="_xlnm.Print_Area" localSheetId="1">'súhrnná po AS'!$A$1:$S$161</definedName>
    <definedName name="_xlnm.Print_Area" localSheetId="0">'úpravy'!$A$1:$S$236</definedName>
    <definedName name="otat">'[9]T3-vstupy'!$C$55</definedName>
    <definedName name="ovf">'[24]VVZ-VS97'!$L$3</definedName>
    <definedName name="OVNV">'[24]VVZ-VS97'!$I$105</definedName>
    <definedName name="par18" localSheetId="1">#REF!</definedName>
    <definedName name="par18">#REF!</definedName>
    <definedName name="par1801" localSheetId="1">#REF!</definedName>
    <definedName name="par1801">#REF!</definedName>
    <definedName name="par18n">'[10]VYR99-E'!$AQ$52</definedName>
    <definedName name="Pf" localSheetId="1">'[3]vyk95'!#REF!</definedName>
    <definedName name="Pf" localSheetId="0">'[3]vyk95'!#REF!</definedName>
    <definedName name="Pf">'[3]vyk95'!#REF!</definedName>
    <definedName name="pfn" localSheetId="1">'[3]Pr-6'!#REF!</definedName>
    <definedName name="pfn" localSheetId="0">'[3]Pr-6'!#REF!</definedName>
    <definedName name="pfn">'[3]Pr-6'!#REF!</definedName>
    <definedName name="phdr">'[9]T3-vstupy'!$C$54</definedName>
    <definedName name="pie97" localSheetId="1">#REF!</definedName>
    <definedName name="pie97">#REF!</definedName>
    <definedName name="pie98" localSheetId="1">#REF!</definedName>
    <definedName name="pie98">#REF!</definedName>
    <definedName name="pie99">'[10]VYR99-E'!$AK$45</definedName>
    <definedName name="piest" localSheetId="1">#REF!</definedName>
    <definedName name="piest">#REF!</definedName>
    <definedName name="Posp">'[21]mp0199'!$P$33</definedName>
    <definedName name="Pp02201_mzdy_na_prer_modif">'[18]T3-vstupy'!$C$49</definedName>
    <definedName name="Pp02201_mzdy_vykon">'[18]T3-vstupy'!$C$43</definedName>
    <definedName name="Pp02201_TaS_na_prer_modif" localSheetId="1">'[19]T3-vstupy'!$C$75</definedName>
    <definedName name="Pp02201_TaS_na_prer_modif">'[18]T3-vstupy'!$C$70</definedName>
    <definedName name="Pp02201_TaS_prevadzkovi" localSheetId="1">'[19]T3-vstupy'!$C$64</definedName>
    <definedName name="Pp02201_TaS_prevadzkovi">'[25]T3-vstupy'!$C$64</definedName>
    <definedName name="Pp02201_TaS_vykon" localSheetId="1">'[19]T3-vstupy'!$C$69</definedName>
    <definedName name="Pp02201_TaS_vykon">'[18]T3-vstupy'!$C$64</definedName>
    <definedName name="Pp02201_TaS_zahr_granty" localSheetId="1">'[19]T3-vstupy'!$C$66</definedName>
    <definedName name="Pp02201_TaS_zahr_granty">'[18]T3-vstupy'!$C$60</definedName>
    <definedName name="Pp07701_na_klinic_zamest" localSheetId="1">'[17]T3-vstupy'!#REF!</definedName>
    <definedName name="Pp07701_na_klinic_zamest" localSheetId="0">'[17]T3-vstupy'!#REF!</definedName>
    <definedName name="Pp07701_na_klinic_zamest">'[17]T3-vstupy'!#REF!</definedName>
    <definedName name="pprg_02201_mzdy" localSheetId="1">#REF!</definedName>
    <definedName name="pprg_02201_mzdy">#REF!</definedName>
    <definedName name="pprg_02201_mzdy_koef_GM" localSheetId="1">'[26]T3-vstupy'!$C$21</definedName>
    <definedName name="pprg_02201_mzdy_koef_GM">'[27]T3-vstupy'!$C$21</definedName>
    <definedName name="pprg_02201_mzdy_na_prerozdelovanie" localSheetId="1">#REF!</definedName>
    <definedName name="pprg_02201_mzdy_na_prerozdelovanie">#REF!</definedName>
    <definedName name="pprg_02201_mzdy_prevadzkovi" localSheetId="1">#REF!</definedName>
    <definedName name="pprg_02201_mzdy_prevadzkovi">#REF!</definedName>
    <definedName name="pprg_02201_mzdy_rezerva" localSheetId="1">#REF!</definedName>
    <definedName name="pprg_02201_mzdy_rezerva">#REF!</definedName>
    <definedName name="pprg_02201_mzdy_sucet_narastov_nad_GM" localSheetId="1">#REF!</definedName>
    <definedName name="pprg_02201_mzdy_sucet_narastov_nad_GM">#REF!</definedName>
    <definedName name="pprg_02201_mzdy_vykon" localSheetId="1">#REF!</definedName>
    <definedName name="pprg_02201_mzdy_vykon">#REF!</definedName>
    <definedName name="pprg_02201_mzdy_vykon_zac_roka" localSheetId="1">'[26]T3-vstupy'!$C$16</definedName>
    <definedName name="pprg_02201_mzdy_vykon_zac_roka">'[27]T3-vstupy'!$C$16</definedName>
    <definedName name="Pr0220201_KV_zac_roka" localSheetId="1">'[28]T3-vstupy'!$C$92</definedName>
    <definedName name="Pr0220201_KV_zac_roka">'[17]T3-vstupy'!$C$82</definedName>
    <definedName name="Pr0220201_mzdy_zac_roka">'[17]T3-vstupy'!$C$76</definedName>
    <definedName name="Pr0220201_TaS_zac_roka">'[17]T3-vstupy'!$C$79</definedName>
    <definedName name="Pr2" localSheetId="1">'[3]vyk95'!#REF!</definedName>
    <definedName name="Pr2" localSheetId="0">'[3]vyk95'!#REF!</definedName>
    <definedName name="Pr2">'[3]vyk95'!#REF!</definedName>
    <definedName name="Pr3" localSheetId="1">'[3]vyk95'!#REF!</definedName>
    <definedName name="Pr3" localSheetId="0">'[3]vyk95'!#REF!</definedName>
    <definedName name="Pr3">'[3]vyk95'!#REF!</definedName>
    <definedName name="prie97" localSheetId="1">#REF!</definedName>
    <definedName name="prie97">#REF!</definedName>
    <definedName name="prie97n">'[10]VYR99-E'!$AK$45</definedName>
    <definedName name="prie98" localSheetId="1">#REF!</definedName>
    <definedName name="prie98">#REF!</definedName>
    <definedName name="priem" localSheetId="1">'[3]Pr-6'!#REF!</definedName>
    <definedName name="priem" localSheetId="0">'[3]Pr-6'!#REF!</definedName>
    <definedName name="priem">'[3]Pr-6'!#REF!</definedName>
    <definedName name="priemerny_vykon_VS_podla_KEN" localSheetId="1">'[29]T3-vstupy'!#REF!</definedName>
    <definedName name="priemerny_vykon_VS_podla_KEN" localSheetId="0">'[17]T3-vstupy'!#REF!</definedName>
    <definedName name="priemerny_vykon_VS_podla_KEN">'[17]T3-vstupy'!#REF!</definedName>
    <definedName name="priemerny_vykon_VS_podla_KPN" localSheetId="1">'[29]T3-vstupy'!#REF!</definedName>
    <definedName name="priemerny_vykon_VS_podla_KPN" localSheetId="0">'[17]T3-vstupy'!#REF!</definedName>
    <definedName name="priemerny_vykon_VS_podla_KPN">'[17]T3-vstupy'!#REF!</definedName>
    <definedName name="priest" localSheetId="1">#REF!</definedName>
    <definedName name="priest">#REF!</definedName>
    <definedName name="prisp_na_1_jedlo" localSheetId="1">'[19]T3-vstupy'!$C$105</definedName>
    <definedName name="prisp_na_1_jedlo">'[18]T3-vstupy'!$C$100</definedName>
    <definedName name="prisp_na_ubyt_stud_SD" localSheetId="1">'[19]T3-vstupy'!$C$114</definedName>
    <definedName name="prisp_na_ubyt_stud_SD">'[18]T3-vstupy'!$C$105</definedName>
    <definedName name="prisp_na_ubyt_stud_ZZ" localSheetId="1">'[19]T3-vstupy'!$C$115</definedName>
    <definedName name="prisp_na_ubyt_stud_ZZ">'[18]T3-vstupy'!$C$106</definedName>
    <definedName name="profe">'[9]T3-vstupy'!$C$52</definedName>
    <definedName name="profKKS">'[15]T3-vstupy'!$C$49</definedName>
    <definedName name="Ptz" localSheetId="1">'[3]vyk95'!#REF!</definedName>
    <definedName name="Ptz" localSheetId="0">'[3]vyk95'!#REF!</definedName>
    <definedName name="Ptz">'[3]vyk95'!#REF!</definedName>
    <definedName name="PU_paiDOK2000" localSheetId="1">#REF!</definedName>
    <definedName name="PU_paiDOK2000">#REF!</definedName>
    <definedName name="PU_pD2001_DS_bKA" localSheetId="1">#REF!</definedName>
    <definedName name="PU_pD2001_DS_bKA">#REF!</definedName>
    <definedName name="PU_pP2000_DS_bKA" localSheetId="1">#REF!</definedName>
    <definedName name="PU_pP2000_DS_bKA">#REF!</definedName>
    <definedName name="PU_pP2001_DS_bKA" localSheetId="1">#REF!</definedName>
    <definedName name="PU_pP2001_DS_bKA">#REF!</definedName>
    <definedName name="PU_pP2001_DS_sKA" localSheetId="1">#REF!</definedName>
    <definedName name="PU_pP2001_DS_sKA">#REF!</definedName>
    <definedName name="PU_ppa2000_bDOK" localSheetId="1">#REF!</definedName>
    <definedName name="PU_ppa2000_bDOK">#REF!</definedName>
    <definedName name="PU_pps_bKA" localSheetId="1">#REF!</definedName>
    <definedName name="PU_pps_bKA">#REF!</definedName>
    <definedName name="PU_pps_bKA_bDOK" localSheetId="1">#REF!</definedName>
    <definedName name="PU_pps_bKA_bDOK">#REF!</definedName>
    <definedName name="PU_pps_sKA" localSheetId="1">#REF!</definedName>
    <definedName name="PU_pps_sKA">#REF!</definedName>
    <definedName name="PU_pps_sKA_bDOK" localSheetId="1">#REF!</definedName>
    <definedName name="PU_pps_sKA_bDOK">#REF!</definedName>
    <definedName name="PU_vKEN_aiDOK" localSheetId="1">#REF!</definedName>
    <definedName name="PU_vKEN_aiDOK">#REF!</definedName>
    <definedName name="PU_vKEN_bKA" localSheetId="1">#REF!</definedName>
    <definedName name="PU_vKEN_bKA">#REF!</definedName>
    <definedName name="PU_vKEN_bKA_bDOK" localSheetId="1">#REF!</definedName>
    <definedName name="PU_vKEN_bKA_bDOK">#REF!</definedName>
    <definedName name="PU_vKEN_bKA_PDS" localSheetId="1">#REF!</definedName>
    <definedName name="PU_vKEN_bKA_PDS">#REF!</definedName>
    <definedName name="PU_vKEN_sKA" localSheetId="1">#REF!</definedName>
    <definedName name="PU_vKEN_sKA">#REF!</definedName>
    <definedName name="PU_vKEN_sKA_bDOK" localSheetId="1">#REF!</definedName>
    <definedName name="PU_vKEN_sKA_bDOK">#REF!</definedName>
    <definedName name="PU_vKEN_sKA_PDS" localSheetId="1">#REF!</definedName>
    <definedName name="PU_vKEN_sKA_PDS">#REF!</definedName>
    <definedName name="PU_vKPN_aiDOK" localSheetId="1">#REF!</definedName>
    <definedName name="PU_vKPN_aiDOK">#REF!</definedName>
    <definedName name="PU_vKPN_bKA" localSheetId="1">#REF!</definedName>
    <definedName name="PU_vKPN_bKA">#REF!</definedName>
    <definedName name="PU_vKPN_bKA_bDOK" localSheetId="1">#REF!</definedName>
    <definedName name="PU_vKPN_bKA_bDOK">#REF!</definedName>
    <definedName name="PU_vKPN_bKA_PDS" localSheetId="1">#REF!</definedName>
    <definedName name="PU_vKPN_bKA_PDS">#REF!</definedName>
    <definedName name="PU_vKPN_sKA" localSheetId="1">#REF!</definedName>
    <definedName name="PU_vKPN_sKA">#REF!</definedName>
    <definedName name="PU_vKPN_sKA_bDOK" localSheetId="1">#REF!</definedName>
    <definedName name="PU_vKPN_sKA_bDOK">#REF!</definedName>
    <definedName name="PU_vKPN_sKA_PDS" localSheetId="1">#REF!</definedName>
    <definedName name="PU_vKPN_sKA_PDS">#REF!</definedName>
    <definedName name="PV" localSheetId="1">'[3]Mz01-96'!#REF!</definedName>
    <definedName name="PV" localSheetId="0">'[3]Mz01-96'!#REF!</definedName>
    <definedName name="PV">'[3]Mz01-96'!#REF!</definedName>
    <definedName name="rtz" localSheetId="1">'[4]Pr-6'!#REF!</definedName>
    <definedName name="rtz" localSheetId="0">'[5]Pr-6'!#REF!</definedName>
    <definedName name="rtz">'[5]Pr-6'!#REF!</definedName>
    <definedName name="rtzui" localSheetId="1">'[4]Pr-6'!#REF!</definedName>
    <definedName name="rtzui" localSheetId="0">'[5]Pr-6'!#REF!</definedName>
    <definedName name="rtzui">'[5]Pr-6'!#REF!</definedName>
    <definedName name="SPU_paiDOK2000" localSheetId="1">#REF!</definedName>
    <definedName name="SPU_paiDOK2000">#REF!</definedName>
    <definedName name="SPU_pD2001_DS_bKA" localSheetId="1">#REF!</definedName>
    <definedName name="SPU_pD2001_DS_bKA">#REF!</definedName>
    <definedName name="SPU_pP2000_DS_bKA" localSheetId="1">#REF!</definedName>
    <definedName name="SPU_pP2000_DS_bKA">#REF!</definedName>
    <definedName name="SPU_pP2001_DS_bKA" localSheetId="1">#REF!</definedName>
    <definedName name="SPU_pP2001_DS_bKA">#REF!</definedName>
    <definedName name="SPU_pP2001_DS_sKA" localSheetId="1">#REF!</definedName>
    <definedName name="SPU_pP2001_DS_sKA">#REF!</definedName>
    <definedName name="SPU_ppa2000_bDOK" localSheetId="1">#REF!</definedName>
    <definedName name="SPU_ppa2000_bDOK">#REF!</definedName>
    <definedName name="SPU_pps_bKA" localSheetId="1">#REF!</definedName>
    <definedName name="SPU_pps_bKA">#REF!</definedName>
    <definedName name="SPU_pps_bKA_bDOK" localSheetId="1">#REF!</definedName>
    <definedName name="SPU_pps_bKA_bDOK">#REF!</definedName>
    <definedName name="SPU_pps_sKA" localSheetId="1">#REF!</definedName>
    <definedName name="SPU_pps_sKA">#REF!</definedName>
    <definedName name="SPU_pps_sKA_bDOK" localSheetId="1">#REF!</definedName>
    <definedName name="SPU_pps_sKA_bDOK">#REF!</definedName>
    <definedName name="SPU_vKEN_aiDOK" localSheetId="1">#REF!</definedName>
    <definedName name="SPU_vKEN_aiDOK">#REF!</definedName>
    <definedName name="SPU_vKEN_bKA" localSheetId="1">#REF!</definedName>
    <definedName name="SPU_vKEN_bKA">#REF!</definedName>
    <definedName name="SPU_vKEN_bKA_bDOK" localSheetId="1">#REF!</definedName>
    <definedName name="SPU_vKEN_bKA_bDOK">#REF!</definedName>
    <definedName name="SPU_vKEN_bKA_PDS" localSheetId="1">#REF!</definedName>
    <definedName name="SPU_vKEN_bKA_PDS">#REF!</definedName>
    <definedName name="SPU_vKEN_sKA" localSheetId="1">#REF!</definedName>
    <definedName name="SPU_vKEN_sKA">#REF!</definedName>
    <definedName name="SPU_vKEN_sKA_bDOK" localSheetId="1">#REF!</definedName>
    <definedName name="SPU_vKEN_sKA_bDOK">#REF!</definedName>
    <definedName name="SPU_vKEN_sKA_PDS" localSheetId="1">#REF!</definedName>
    <definedName name="SPU_vKEN_sKA_PDS">#REF!</definedName>
    <definedName name="SPU_vKPN_aiDOK" localSheetId="1">#REF!</definedName>
    <definedName name="SPU_vKPN_aiDOK">#REF!</definedName>
    <definedName name="SPU_vKPN_bKA" localSheetId="1">#REF!</definedName>
    <definedName name="SPU_vKPN_bKA">#REF!</definedName>
    <definedName name="SPU_vKPN_bKA_bDOK" localSheetId="1">#REF!</definedName>
    <definedName name="SPU_vKPN_bKA_bDOK">#REF!</definedName>
    <definedName name="SPU_vKPN_bKA_PDS" localSheetId="1">#REF!</definedName>
    <definedName name="SPU_vKPN_bKA_PDS">#REF!</definedName>
    <definedName name="SPU_vKPN_sKA" localSheetId="1">#REF!</definedName>
    <definedName name="SPU_vKPN_sKA">#REF!</definedName>
    <definedName name="SPU_vKPN_sKA_bDOK" localSheetId="1">#REF!</definedName>
    <definedName name="SPU_vKPN_sKA_bDOK">#REF!</definedName>
    <definedName name="SPU_vKPN_sKA_PDS" localSheetId="1">#REF!</definedName>
    <definedName name="SPU_vKPN_sKA_PDS">#REF!</definedName>
    <definedName name="STU_paiDOK2000" localSheetId="1">#REF!</definedName>
    <definedName name="STU_paiDOK2000">#REF!</definedName>
    <definedName name="STU_pD2001_DS_bKA" localSheetId="1">#REF!</definedName>
    <definedName name="STU_pD2001_DS_bKA">#REF!</definedName>
    <definedName name="STU_pP2000_DS_bKA" localSheetId="1">#REF!</definedName>
    <definedName name="STU_pP2000_DS_bKA">#REF!</definedName>
    <definedName name="STU_pP2001_DS_bKA" localSheetId="1">#REF!</definedName>
    <definedName name="STU_pP2001_DS_bKA">#REF!</definedName>
    <definedName name="STU_pP2001_DS_sKA" localSheetId="1">#REF!</definedName>
    <definedName name="STU_pP2001_DS_sKA">#REF!</definedName>
    <definedName name="STU_ppa2000_bDOK" localSheetId="1">#REF!</definedName>
    <definedName name="STU_ppa2000_bDOK">#REF!</definedName>
    <definedName name="STU_pps_bKA" localSheetId="1">#REF!</definedName>
    <definedName name="STU_pps_bKA">#REF!</definedName>
    <definedName name="STU_pps_bKA_bDOK" localSheetId="1">#REF!</definedName>
    <definedName name="STU_pps_bKA_bDOK">#REF!</definedName>
    <definedName name="STU_pps_sKA" localSheetId="1">#REF!</definedName>
    <definedName name="STU_pps_sKA">#REF!</definedName>
    <definedName name="STU_pps_sKA_bDOK" localSheetId="1">#REF!</definedName>
    <definedName name="STU_pps_sKA_bDOK">#REF!</definedName>
    <definedName name="STU_vKEN_aiDOK" localSheetId="1">#REF!</definedName>
    <definedName name="STU_vKEN_aiDOK">#REF!</definedName>
    <definedName name="STU_vKEN_bKA" localSheetId="1">#REF!</definedName>
    <definedName name="STU_vKEN_bKA">#REF!</definedName>
    <definedName name="STU_vKEN_bKA_bDOK" localSheetId="1">#REF!</definedName>
    <definedName name="STU_vKEN_bKA_bDOK">#REF!</definedName>
    <definedName name="STU_vKEN_bKA_PDS" localSheetId="1">#REF!</definedName>
    <definedName name="STU_vKEN_bKA_PDS">#REF!</definedName>
    <definedName name="STU_vKEN_sKA" localSheetId="1">#REF!</definedName>
    <definedName name="STU_vKEN_sKA">#REF!</definedName>
    <definedName name="STU_vKEN_sKA_bDOK" localSheetId="1">#REF!</definedName>
    <definedName name="STU_vKEN_sKA_bDOK">#REF!</definedName>
    <definedName name="STU_vKEN_sKA_PDS" localSheetId="1">#REF!</definedName>
    <definedName name="STU_vKEN_sKA_PDS">#REF!</definedName>
    <definedName name="STU_vKPN_aiDOK" localSheetId="1">#REF!</definedName>
    <definedName name="STU_vKPN_aiDOK">#REF!</definedName>
    <definedName name="STU_vKPN_bKA" localSheetId="1">#REF!</definedName>
    <definedName name="STU_vKPN_bKA">#REF!</definedName>
    <definedName name="STU_vKPN_bKA_bDOK" localSheetId="1">#REF!</definedName>
    <definedName name="STU_vKPN_bKA_bDOK">#REF!</definedName>
    <definedName name="STU_vKPN_bKA_PDS" localSheetId="1">#REF!</definedName>
    <definedName name="STU_vKPN_bKA_PDS">#REF!</definedName>
    <definedName name="STU_vKPN_sKA" localSheetId="1">#REF!</definedName>
    <definedName name="STU_vKPN_sKA">#REF!</definedName>
    <definedName name="STU_vKPN_sKA_bDOK" localSheetId="1">#REF!</definedName>
    <definedName name="STU_vKPN_sKA_bDOK">#REF!</definedName>
    <definedName name="STU_vKPN_sKA_PDS" localSheetId="1">#REF!</definedName>
    <definedName name="STU_vKPN_sKA_PDS">#REF!</definedName>
    <definedName name="SUMA_paiDOK2000" localSheetId="1">#REF!</definedName>
    <definedName name="SUMA_paiDOK2000">#REF!</definedName>
    <definedName name="SUMA_pD2001_DS_bKA" localSheetId="1">#REF!</definedName>
    <definedName name="SUMA_pD2001_DS_bKA">#REF!</definedName>
    <definedName name="SUMA_pP2000_DS_bKA" localSheetId="1">#REF!</definedName>
    <definedName name="SUMA_pP2000_DS_bKA">#REF!</definedName>
    <definedName name="SUMA_pP2001_DS_bKA" localSheetId="1">#REF!</definedName>
    <definedName name="SUMA_pP2001_DS_bKA">#REF!</definedName>
    <definedName name="SUMA_pP2001_DS_sKA" localSheetId="1">#REF!</definedName>
    <definedName name="SUMA_pP2001_DS_sKA">#REF!</definedName>
    <definedName name="SUMA_ppa2000_bDOK" localSheetId="1">#REF!</definedName>
    <definedName name="SUMA_ppa2000_bDOK">#REF!</definedName>
    <definedName name="SUMA_pps_bKA" localSheetId="1">#REF!</definedName>
    <definedName name="SUMA_pps_bKA">#REF!</definedName>
    <definedName name="SUMA_pps_bKA_bDOK" localSheetId="1">#REF!</definedName>
    <definedName name="SUMA_pps_bKA_bDOK">#REF!</definedName>
    <definedName name="SUMA_pps_sKA" localSheetId="1">#REF!</definedName>
    <definedName name="SUMA_pps_sKA">#REF!</definedName>
    <definedName name="SUMA_pps_sKA_bDOK" localSheetId="1">#REF!</definedName>
    <definedName name="SUMA_pps_sKA_bDOK">#REF!</definedName>
    <definedName name="SUMA_vKEN_aiDOK" localSheetId="1">#REF!</definedName>
    <definedName name="SUMA_vKEN_aiDOK">#REF!</definedName>
    <definedName name="SUMA_vKEN_bKA" localSheetId="1">#REF!</definedName>
    <definedName name="SUMA_vKEN_bKA">#REF!</definedName>
    <definedName name="SUMA_vKEN_bKA_bDOK" localSheetId="1">#REF!</definedName>
    <definedName name="SUMA_vKEN_bKA_bDOK">#REF!</definedName>
    <definedName name="SUMA_vKEN_bKA_PDS" localSheetId="1">#REF!</definedName>
    <definedName name="SUMA_vKEN_bKA_PDS">#REF!</definedName>
    <definedName name="SUMA_vKEN_sKA" localSheetId="1">#REF!</definedName>
    <definedName name="SUMA_vKEN_sKA">#REF!</definedName>
    <definedName name="SUMA_vKEN_sKA_bDOK" localSheetId="1">#REF!</definedName>
    <definedName name="SUMA_vKEN_sKA_bDOK">#REF!</definedName>
    <definedName name="SUMA_vKEN_sKA_PDS" localSheetId="1">#REF!</definedName>
    <definedName name="SUMA_vKEN_sKA_PDS">#REF!</definedName>
    <definedName name="SUMA_vKPN_aiDOK" localSheetId="1">#REF!</definedName>
    <definedName name="SUMA_vKPN_aiDOK">#REF!</definedName>
    <definedName name="SUMA_vKPN_bKA" localSheetId="1">#REF!</definedName>
    <definedName name="SUMA_vKPN_bKA">#REF!</definedName>
    <definedName name="SUMA_vKPN_bKA_bDOK" localSheetId="1">#REF!</definedName>
    <definedName name="SUMA_vKPN_bKA_bDOK">#REF!</definedName>
    <definedName name="SUMA_vKPN_bKA_PDS" localSheetId="1">#REF!</definedName>
    <definedName name="SUMA_vKPN_bKA_PDS">#REF!</definedName>
    <definedName name="SUMA_vKPN_sKA" localSheetId="1">#REF!</definedName>
    <definedName name="SUMA_vKPN_sKA">#REF!</definedName>
    <definedName name="SUMA_vKPN_sKA_bDOK" localSheetId="1">#REF!</definedName>
    <definedName name="SUMA_vKPN_sKA_bDOK">#REF!</definedName>
    <definedName name="SUMA_vKPN_sKA_PDS" localSheetId="1">#REF!</definedName>
    <definedName name="SUMA_vKPN_sKA_PDS">#REF!</definedName>
    <definedName name="TRU_paiDOK2000" localSheetId="1">#REF!</definedName>
    <definedName name="TRU_paiDOK2000">#REF!</definedName>
    <definedName name="TRU_pD2001_DS_bKA" localSheetId="1">#REF!</definedName>
    <definedName name="TRU_pD2001_DS_bKA">#REF!</definedName>
    <definedName name="TRU_pP2000_DS_bKA" localSheetId="1">#REF!</definedName>
    <definedName name="TRU_pP2000_DS_bKA">#REF!</definedName>
    <definedName name="TRU_pP2001_DS_bKA" localSheetId="1">#REF!</definedName>
    <definedName name="TRU_pP2001_DS_bKA">#REF!</definedName>
    <definedName name="TRU_pP2001_DS_sKA" localSheetId="1">#REF!</definedName>
    <definedName name="TRU_pP2001_DS_sKA">#REF!</definedName>
    <definedName name="TRU_ppa2000_bDOK" localSheetId="1">#REF!</definedName>
    <definedName name="TRU_ppa2000_bDOK">#REF!</definedName>
    <definedName name="TRU_pps_bKA" localSheetId="1">#REF!</definedName>
    <definedName name="TRU_pps_bKA">#REF!</definedName>
    <definedName name="TRU_pps_bKA_bDOK" localSheetId="1">#REF!</definedName>
    <definedName name="TRU_pps_bKA_bDOK">#REF!</definedName>
    <definedName name="TRU_pps_sKA" localSheetId="1">#REF!</definedName>
    <definedName name="TRU_pps_sKA">#REF!</definedName>
    <definedName name="TRU_pps_sKA_bDOK" localSheetId="1">#REF!</definedName>
    <definedName name="TRU_pps_sKA_bDOK">#REF!</definedName>
    <definedName name="TRU_vKEN_aiDOK" localSheetId="1">#REF!</definedName>
    <definedName name="TRU_vKEN_aiDOK">#REF!</definedName>
    <definedName name="TRU_vKEN_bKA" localSheetId="1">#REF!</definedName>
    <definedName name="TRU_vKEN_bKA">#REF!</definedName>
    <definedName name="TRU_vKEN_bKA_bDOK" localSheetId="1">#REF!</definedName>
    <definedName name="TRU_vKEN_bKA_bDOK">#REF!</definedName>
    <definedName name="TRU_vKEN_bKA_PDS" localSheetId="1">#REF!</definedName>
    <definedName name="TRU_vKEN_bKA_PDS">#REF!</definedName>
    <definedName name="TRU_vKEN_sKA" localSheetId="1">#REF!</definedName>
    <definedName name="TRU_vKEN_sKA">#REF!</definedName>
    <definedName name="TRU_vKEN_sKA_bDOK" localSheetId="1">#REF!</definedName>
    <definedName name="TRU_vKEN_sKA_bDOK">#REF!</definedName>
    <definedName name="TRU_vKEN_sKA_PDS" localSheetId="1">#REF!</definedName>
    <definedName name="TRU_vKEN_sKA_PDS">#REF!</definedName>
    <definedName name="TRU_vKPN_aiDOK" localSheetId="1">#REF!</definedName>
    <definedName name="TRU_vKPN_aiDOK">#REF!</definedName>
    <definedName name="TRU_vKPN_bKA" localSheetId="1">#REF!</definedName>
    <definedName name="TRU_vKPN_bKA">#REF!</definedName>
    <definedName name="TRU_vKPN_bKA_bDOK" localSheetId="1">#REF!</definedName>
    <definedName name="TRU_vKPN_bKA_bDOK">#REF!</definedName>
    <definedName name="TRU_vKPN_bKA_PDS" localSheetId="1">#REF!</definedName>
    <definedName name="TRU_vKPN_bKA_PDS">#REF!</definedName>
    <definedName name="TRU_vKPN_sKA" localSheetId="1">#REF!</definedName>
    <definedName name="TRU_vKPN_sKA">#REF!</definedName>
    <definedName name="TRU_vKPN_sKA_bDOK" localSheetId="1">#REF!</definedName>
    <definedName name="TRU_vKPN_sKA_bDOK">#REF!</definedName>
    <definedName name="TRU_vKPN_sKA_PDS" localSheetId="1">#REF!</definedName>
    <definedName name="TRU_vKPN_sKA_PDS">#REF!</definedName>
    <definedName name="TUKE_paiDOK2000" localSheetId="1">#REF!</definedName>
    <definedName name="TUKE_paiDOK2000">#REF!</definedName>
    <definedName name="TUKE_pD2001_DS_bKA" localSheetId="1">#REF!</definedName>
    <definedName name="TUKE_pD2001_DS_bKA">#REF!</definedName>
    <definedName name="TUKE_pP2000_DS_bKA" localSheetId="1">#REF!</definedName>
    <definedName name="TUKE_pP2000_DS_bKA">#REF!</definedName>
    <definedName name="TUKE_pP2001_DS_bKA" localSheetId="1">#REF!</definedName>
    <definedName name="TUKE_pP2001_DS_bKA">#REF!</definedName>
    <definedName name="TUKE_pP2001_DS_sKA" localSheetId="1">#REF!</definedName>
    <definedName name="TUKE_pP2001_DS_sKA">#REF!</definedName>
    <definedName name="TUKE_ppa2000_bDOK" localSheetId="1">#REF!</definedName>
    <definedName name="TUKE_ppa2000_bDOK">#REF!</definedName>
    <definedName name="TUKE_pps_bKA" localSheetId="1">#REF!</definedName>
    <definedName name="TUKE_pps_bKA">#REF!</definedName>
    <definedName name="TUKE_pps_bKA_bDOK" localSheetId="1">#REF!</definedName>
    <definedName name="TUKE_pps_bKA_bDOK">#REF!</definedName>
    <definedName name="TUKE_pps_sKA" localSheetId="1">#REF!</definedName>
    <definedName name="TUKE_pps_sKA">#REF!</definedName>
    <definedName name="TUKE_pps_sKA_bDOK" localSheetId="1">#REF!</definedName>
    <definedName name="TUKE_pps_sKA_bDOK">#REF!</definedName>
    <definedName name="TUKE_vKEN_aiDOK" localSheetId="1">#REF!</definedName>
    <definedName name="TUKE_vKEN_aiDOK">#REF!</definedName>
    <definedName name="TUKE_vKEN_bKA" localSheetId="1">#REF!</definedName>
    <definedName name="TUKE_vKEN_bKA">#REF!</definedName>
    <definedName name="TUKE_vKEN_bKA_bDOK" localSheetId="1">#REF!</definedName>
    <definedName name="TUKE_vKEN_bKA_bDOK">#REF!</definedName>
    <definedName name="TUKE_vKEN_bKA_PDS" localSheetId="1">#REF!</definedName>
    <definedName name="TUKE_vKEN_bKA_PDS">#REF!</definedName>
    <definedName name="TUKE_vKEN_sKA" localSheetId="1">#REF!</definedName>
    <definedName name="TUKE_vKEN_sKA">#REF!</definedName>
    <definedName name="TUKE_vKEN_sKA_bDOK" localSheetId="1">#REF!</definedName>
    <definedName name="TUKE_vKEN_sKA_bDOK">#REF!</definedName>
    <definedName name="TUKE_vKEN_sKA_PDS" localSheetId="1">#REF!</definedName>
    <definedName name="TUKE_vKEN_sKA_PDS">#REF!</definedName>
    <definedName name="TUKE_vKPN_aiDOK" localSheetId="1">#REF!</definedName>
    <definedName name="TUKE_vKPN_aiDOK">#REF!</definedName>
    <definedName name="TUKE_vKPN_bKA" localSheetId="1">#REF!</definedName>
    <definedName name="TUKE_vKPN_bKA">#REF!</definedName>
    <definedName name="TUKE_vKPN_bKA_bDOK" localSheetId="1">#REF!</definedName>
    <definedName name="TUKE_vKPN_bKA_bDOK">#REF!</definedName>
    <definedName name="TUKE_vKPN_bKA_PDS" localSheetId="1">#REF!</definedName>
    <definedName name="TUKE_vKPN_bKA_PDS">#REF!</definedName>
    <definedName name="TUKE_vKPN_sKA" localSheetId="1">#REF!</definedName>
    <definedName name="TUKE_vKPN_sKA">#REF!</definedName>
    <definedName name="TUKE_vKPN_sKA_bDOK" localSheetId="1">#REF!</definedName>
    <definedName name="TUKE_vKPN_sKA_bDOK">#REF!</definedName>
    <definedName name="TUKE_vKPN_sKA_PDS" localSheetId="1">#REF!</definedName>
    <definedName name="TUKE_vKPN_sKA_PDS">#REF!</definedName>
    <definedName name="TUZVO_paiDOK2000" localSheetId="1">#REF!</definedName>
    <definedName name="TUZVO_paiDOK2000">#REF!</definedName>
    <definedName name="TUZVO_pD2001_DS_bKA" localSheetId="1">#REF!</definedName>
    <definedName name="TUZVO_pD2001_DS_bKA">#REF!</definedName>
    <definedName name="TUZVO_pP2000_DS_bKA" localSheetId="1">#REF!</definedName>
    <definedName name="TUZVO_pP2000_DS_bKA">#REF!</definedName>
    <definedName name="TUZVO_pP2001_DS_bKA" localSheetId="1">#REF!</definedName>
    <definedName name="TUZVO_pP2001_DS_bKA">#REF!</definedName>
    <definedName name="TUZVO_pP2001_DS_sKA" localSheetId="1">#REF!</definedName>
    <definedName name="TUZVO_pP2001_DS_sKA">#REF!</definedName>
    <definedName name="TUZVO_ppa2000_bDOK" localSheetId="1">#REF!</definedName>
    <definedName name="TUZVO_ppa2000_bDOK">#REF!</definedName>
    <definedName name="TUZVO_pps_bKA" localSheetId="1">#REF!</definedName>
    <definedName name="TUZVO_pps_bKA">#REF!</definedName>
    <definedName name="TUZVO_pps_bKA_bDOK" localSheetId="1">#REF!</definedName>
    <definedName name="TUZVO_pps_bKA_bDOK">#REF!</definedName>
    <definedName name="TUZVO_pps_sKA" localSheetId="1">#REF!</definedName>
    <definedName name="TUZVO_pps_sKA">#REF!</definedName>
    <definedName name="TUZVO_pps_sKA_bDOK" localSheetId="1">#REF!</definedName>
    <definedName name="TUZVO_pps_sKA_bDOK">#REF!</definedName>
    <definedName name="TUZVO_vKEN_aiDOK" localSheetId="1">#REF!</definedName>
    <definedName name="TUZVO_vKEN_aiDOK">#REF!</definedName>
    <definedName name="TUZVO_vKEN_bKA" localSheetId="1">#REF!</definedName>
    <definedName name="TUZVO_vKEN_bKA">#REF!</definedName>
    <definedName name="TUZVO_vKEN_bKA_bDOK" localSheetId="1">#REF!</definedName>
    <definedName name="TUZVO_vKEN_bKA_bDOK">#REF!</definedName>
    <definedName name="TUZVO_vKEN_bKA_PDS" localSheetId="1">#REF!</definedName>
    <definedName name="TUZVO_vKEN_bKA_PDS">#REF!</definedName>
    <definedName name="TUZVO_vKEN_sKA" localSheetId="1">#REF!</definedName>
    <definedName name="TUZVO_vKEN_sKA">#REF!</definedName>
    <definedName name="TUZVO_vKEN_sKA_bDOK" localSheetId="1">#REF!</definedName>
    <definedName name="TUZVO_vKEN_sKA_bDOK">#REF!</definedName>
    <definedName name="TUZVO_vKEN_sKA_PDS" localSheetId="1">#REF!</definedName>
    <definedName name="TUZVO_vKEN_sKA_PDS">#REF!</definedName>
    <definedName name="TUZVO_vKPN_aiDOK" localSheetId="1">#REF!</definedName>
    <definedName name="TUZVO_vKPN_aiDOK">#REF!</definedName>
    <definedName name="TUZVO_vKPN_bKA" localSheetId="1">#REF!</definedName>
    <definedName name="TUZVO_vKPN_bKA">#REF!</definedName>
    <definedName name="TUZVO_vKPN_bKA_bDOK" localSheetId="1">#REF!</definedName>
    <definedName name="TUZVO_vKPN_bKA_bDOK">#REF!</definedName>
    <definedName name="TUZVO_vKPN_bKA_PDS" localSheetId="1">#REF!</definedName>
    <definedName name="TUZVO_vKPN_bKA_PDS">#REF!</definedName>
    <definedName name="TUZVO_vKPN_sKA" localSheetId="1">#REF!</definedName>
    <definedName name="TUZVO_vKPN_sKA">#REF!</definedName>
    <definedName name="TUZVO_vKPN_sKA_bDOK" localSheetId="1">#REF!</definedName>
    <definedName name="TUZVO_vKPN_sKA_bDOK">#REF!</definedName>
    <definedName name="TUZVO_vKPN_sKA_PDS" localSheetId="1">#REF!</definedName>
    <definedName name="TUZVO_vKPN_sKA_PDS">#REF!</definedName>
    <definedName name="TVU_paiDOK2000" localSheetId="1">#REF!</definedName>
    <definedName name="TVU_paiDOK2000">#REF!</definedName>
    <definedName name="TVU_pD2001_DS_bKA" localSheetId="1">#REF!</definedName>
    <definedName name="TVU_pD2001_DS_bKA">#REF!</definedName>
    <definedName name="TVU_pP2000_DS_bKA" localSheetId="1">#REF!</definedName>
    <definedName name="TVU_pP2000_DS_bKA">#REF!</definedName>
    <definedName name="TVU_pP2001_DS_bKA" localSheetId="1">#REF!</definedName>
    <definedName name="TVU_pP2001_DS_bKA">#REF!</definedName>
    <definedName name="TVU_pP2001_DS_sKA" localSheetId="1">#REF!</definedName>
    <definedName name="TVU_pP2001_DS_sKA">#REF!</definedName>
    <definedName name="TVU_ppa2000_bDOK" localSheetId="1">#REF!</definedName>
    <definedName name="TVU_ppa2000_bDOK">#REF!</definedName>
    <definedName name="TVU_pps_bKA" localSheetId="1">#REF!</definedName>
    <definedName name="TVU_pps_bKA">#REF!</definedName>
    <definedName name="TVU_pps_bKA_bDOK" localSheetId="1">#REF!</definedName>
    <definedName name="TVU_pps_bKA_bDOK">#REF!</definedName>
    <definedName name="TVU_pps_sKA" localSheetId="1">#REF!</definedName>
    <definedName name="TVU_pps_sKA">#REF!</definedName>
    <definedName name="TVU_pps_sKA_bDOK" localSheetId="1">#REF!</definedName>
    <definedName name="TVU_pps_sKA_bDOK">#REF!</definedName>
    <definedName name="TVU_vKEN_aiDOK" localSheetId="1">#REF!</definedName>
    <definedName name="TVU_vKEN_aiDOK">#REF!</definedName>
    <definedName name="TVU_vKEN_bKA" localSheetId="1">#REF!</definedName>
    <definedName name="TVU_vKEN_bKA">#REF!</definedName>
    <definedName name="TVU_vKEN_bKA_bDOK" localSheetId="1">#REF!</definedName>
    <definedName name="TVU_vKEN_bKA_bDOK">#REF!</definedName>
    <definedName name="TVU_vKEN_bKA_PDS" localSheetId="1">#REF!</definedName>
    <definedName name="TVU_vKEN_bKA_PDS">#REF!</definedName>
    <definedName name="TVU_vKEN_sKA" localSheetId="1">#REF!</definedName>
    <definedName name="TVU_vKEN_sKA">#REF!</definedName>
    <definedName name="TVU_vKEN_sKA_bDOK" localSheetId="1">#REF!</definedName>
    <definedName name="TVU_vKEN_sKA_bDOK">#REF!</definedName>
    <definedName name="TVU_vKEN_sKA_PDS" localSheetId="1">#REF!</definedName>
    <definedName name="TVU_vKEN_sKA_PDS">#REF!</definedName>
    <definedName name="TVU_vKPN_aiDOK" localSheetId="1">#REF!</definedName>
    <definedName name="TVU_vKPN_aiDOK">#REF!</definedName>
    <definedName name="TVU_vKPN_bKA" localSheetId="1">#REF!</definedName>
    <definedName name="TVU_vKPN_bKA">#REF!</definedName>
    <definedName name="TVU_vKPN_bKA_bDOK" localSheetId="1">#REF!</definedName>
    <definedName name="TVU_vKPN_bKA_bDOK">#REF!</definedName>
    <definedName name="TVU_vKPN_bKA_PDS" localSheetId="1">#REF!</definedName>
    <definedName name="TVU_vKPN_bKA_PDS">#REF!</definedName>
    <definedName name="TVU_vKPN_sKA" localSheetId="1">#REF!</definedName>
    <definedName name="TVU_vKPN_sKA">#REF!</definedName>
    <definedName name="TVU_vKPN_sKA_bDOK" localSheetId="1">#REF!</definedName>
    <definedName name="TVU_vKPN_sKA_bDOK">#REF!</definedName>
    <definedName name="TVU_vKPN_sKA_PDS" localSheetId="1">#REF!</definedName>
    <definedName name="TVU_vKPN_sKA_PDS">#REF!</definedName>
    <definedName name="Ua">#REF!</definedName>
    <definedName name="Uc">#REF!</definedName>
    <definedName name="UCM_paiDOK2000" localSheetId="1">#REF!</definedName>
    <definedName name="UCM_paiDOK2000">#REF!</definedName>
    <definedName name="UCM_pD2001_DS_bKA" localSheetId="1">#REF!</definedName>
    <definedName name="UCM_pD2001_DS_bKA">#REF!</definedName>
    <definedName name="UCM_pP2000_DS_bKA" localSheetId="1">#REF!</definedName>
    <definedName name="UCM_pP2000_DS_bKA">#REF!</definedName>
    <definedName name="UCM_pP2001_DS_bKA" localSheetId="1">#REF!</definedName>
    <definedName name="UCM_pP2001_DS_bKA">#REF!</definedName>
    <definedName name="UCM_pP2001_DS_sKA" localSheetId="1">#REF!</definedName>
    <definedName name="UCM_pP2001_DS_sKA">#REF!</definedName>
    <definedName name="UCM_ppa2000_bDOK" localSheetId="1">#REF!</definedName>
    <definedName name="UCM_ppa2000_bDOK">#REF!</definedName>
    <definedName name="UCM_pps_bKA" localSheetId="1">#REF!</definedName>
    <definedName name="UCM_pps_bKA">#REF!</definedName>
    <definedName name="UCM_pps_bKA_bDOK" localSheetId="1">#REF!</definedName>
    <definedName name="UCM_pps_bKA_bDOK">#REF!</definedName>
    <definedName name="UCM_pps_sKA" localSheetId="1">#REF!</definedName>
    <definedName name="UCM_pps_sKA">#REF!</definedName>
    <definedName name="UCM_pps_sKA_bDOK" localSheetId="1">#REF!</definedName>
    <definedName name="UCM_pps_sKA_bDOK">#REF!</definedName>
    <definedName name="UCM_vKEN_aiDOK" localSheetId="1">#REF!</definedName>
    <definedName name="UCM_vKEN_aiDOK">#REF!</definedName>
    <definedName name="UCM_vKEN_bKA" localSheetId="1">#REF!</definedName>
    <definedName name="UCM_vKEN_bKA">#REF!</definedName>
    <definedName name="UCM_vKEN_bKA_bDOK" localSheetId="1">#REF!</definedName>
    <definedName name="UCM_vKEN_bKA_bDOK">#REF!</definedName>
    <definedName name="UCM_vKEN_bKA_PDS" localSheetId="1">#REF!</definedName>
    <definedName name="UCM_vKEN_bKA_PDS">#REF!</definedName>
    <definedName name="UCM_vKEN_sKA" localSheetId="1">#REF!</definedName>
    <definedName name="UCM_vKEN_sKA">#REF!</definedName>
    <definedName name="UCM_vKEN_sKA_bDOK" localSheetId="1">#REF!</definedName>
    <definedName name="UCM_vKEN_sKA_bDOK">#REF!</definedName>
    <definedName name="UCM_vKEN_sKA_PDS" localSheetId="1">#REF!</definedName>
    <definedName name="UCM_vKEN_sKA_PDS">#REF!</definedName>
    <definedName name="UCM_vKPN_aiDOK" localSheetId="1">#REF!</definedName>
    <definedName name="UCM_vKPN_aiDOK">#REF!</definedName>
    <definedName name="UCM_vKPN_bKA" localSheetId="1">#REF!</definedName>
    <definedName name="UCM_vKPN_bKA">#REF!</definedName>
    <definedName name="UCM_vKPN_bKA_bDOK" localSheetId="1">#REF!</definedName>
    <definedName name="UCM_vKPN_bKA_bDOK">#REF!</definedName>
    <definedName name="UCM_vKPN_bKA_PDS" localSheetId="1">#REF!</definedName>
    <definedName name="UCM_vKPN_bKA_PDS">#REF!</definedName>
    <definedName name="UCM_vKPN_sKA" localSheetId="1">#REF!</definedName>
    <definedName name="UCM_vKPN_sKA">#REF!</definedName>
    <definedName name="UCM_vKPN_sKA_bDOK" localSheetId="1">#REF!</definedName>
    <definedName name="UCM_vKPN_sKA_bDOK">#REF!</definedName>
    <definedName name="UCM_vKPN_sKA_PDS" localSheetId="1">#REF!</definedName>
    <definedName name="UCM_vKPN_sKA_PDS">#REF!</definedName>
    <definedName name="Ue">#REF!</definedName>
    <definedName name="Uj">#REF!</definedName>
    <definedName name="UK_paiDOK2000" localSheetId="1">#REF!</definedName>
    <definedName name="UK_paiDOK2000">#REF!</definedName>
    <definedName name="UK_pD2001_DS_bKA" localSheetId="1">#REF!</definedName>
    <definedName name="UK_pD2001_DS_bKA">#REF!</definedName>
    <definedName name="UK_pP2000_DS_bKA" localSheetId="1">#REF!</definedName>
    <definedName name="UK_pP2000_DS_bKA">#REF!</definedName>
    <definedName name="UK_pP2001_DS_bKA" localSheetId="1">#REF!</definedName>
    <definedName name="UK_pP2001_DS_bKA">#REF!</definedName>
    <definedName name="UK_pP2001_DS_sKA" localSheetId="1">#REF!</definedName>
    <definedName name="UK_pP2001_DS_sKA">#REF!</definedName>
    <definedName name="UK_ppa2000_bDOK" localSheetId="1">#REF!</definedName>
    <definedName name="UK_ppa2000_bDOK">#REF!</definedName>
    <definedName name="UK_pps_bKA" localSheetId="1">#REF!</definedName>
    <definedName name="UK_pps_bKA">#REF!</definedName>
    <definedName name="UK_pps_bKA_bDOK" localSheetId="1">#REF!</definedName>
    <definedName name="UK_pps_bKA_bDOK">#REF!</definedName>
    <definedName name="UK_pps_sKA" localSheetId="1">#REF!</definedName>
    <definedName name="UK_pps_sKA">#REF!</definedName>
    <definedName name="UK_pps_sKA_bDOK" localSheetId="1">#REF!</definedName>
    <definedName name="UK_pps_sKA_bDOK">#REF!</definedName>
    <definedName name="UK_vKEN_aiDOK" localSheetId="1">#REF!</definedName>
    <definedName name="UK_vKEN_aiDOK">#REF!</definedName>
    <definedName name="UK_vKEN_bKA" localSheetId="1">#REF!</definedName>
    <definedName name="UK_vKEN_bKA">#REF!</definedName>
    <definedName name="UK_vKEN_bKA_bDOK" localSheetId="1">#REF!</definedName>
    <definedName name="UK_vKEN_bKA_bDOK">#REF!</definedName>
    <definedName name="UK_vKEN_bKA_PDS" localSheetId="1">#REF!</definedName>
    <definedName name="UK_vKEN_bKA_PDS">#REF!</definedName>
    <definedName name="UK_vKEN_sKA" localSheetId="1">#REF!</definedName>
    <definedName name="UK_vKEN_sKA">#REF!</definedName>
    <definedName name="UK_vKEN_sKA_bDOK" localSheetId="1">#REF!</definedName>
    <definedName name="UK_vKEN_sKA_bDOK">#REF!</definedName>
    <definedName name="UK_vKEN_sKA_PDS" localSheetId="1">#REF!</definedName>
    <definedName name="UK_vKEN_sKA_PDS">#REF!</definedName>
    <definedName name="UK_vKPN_aiDOK" localSheetId="1">#REF!</definedName>
    <definedName name="UK_vKPN_aiDOK">#REF!</definedName>
    <definedName name="UK_vKPN_bKA" localSheetId="1">#REF!</definedName>
    <definedName name="UK_vKPN_bKA">#REF!</definedName>
    <definedName name="UK_vKPN_bKA_bDOK" localSheetId="1">#REF!</definedName>
    <definedName name="UK_vKPN_bKA_bDOK">#REF!</definedName>
    <definedName name="UK_vKPN_bKA_PDS" localSheetId="1">#REF!</definedName>
    <definedName name="UK_vKPN_bKA_PDS">#REF!</definedName>
    <definedName name="UK_vKPN_sKA" localSheetId="1">#REF!</definedName>
    <definedName name="UK_vKPN_sKA">#REF!</definedName>
    <definedName name="UK_vKPN_sKA_bDOK" localSheetId="1">#REF!</definedName>
    <definedName name="UK_vKPN_sKA_bDOK">#REF!</definedName>
    <definedName name="UK_vKPN_sKA_PDS" localSheetId="1">#REF!</definedName>
    <definedName name="UK_vKPN_sKA_PDS">#REF!</definedName>
    <definedName name="UKF_paiDOK2000" localSheetId="1">#REF!</definedName>
    <definedName name="UKF_paiDOK2000">#REF!</definedName>
    <definedName name="UKF_pD2001_DS_bKA" localSheetId="1">#REF!</definedName>
    <definedName name="UKF_pD2001_DS_bKA">#REF!</definedName>
    <definedName name="UKF_pP2000_DS_bKA" localSheetId="1">#REF!</definedName>
    <definedName name="UKF_pP2000_DS_bKA">#REF!</definedName>
    <definedName name="UKF_pP2001_DS_bKA" localSheetId="1">#REF!</definedName>
    <definedName name="UKF_pP2001_DS_bKA">#REF!</definedName>
    <definedName name="UKF_pP2001_DS_sKA" localSheetId="1">#REF!</definedName>
    <definedName name="UKF_pP2001_DS_sKA">#REF!</definedName>
    <definedName name="UKF_ppa2000_bDOK" localSheetId="1">#REF!</definedName>
    <definedName name="UKF_ppa2000_bDOK">#REF!</definedName>
    <definedName name="UKF_pps_bKA" localSheetId="1">#REF!</definedName>
    <definedName name="UKF_pps_bKA">#REF!</definedName>
    <definedName name="UKF_pps_bKA_bDOK" localSheetId="1">#REF!</definedName>
    <definedName name="UKF_pps_bKA_bDOK">#REF!</definedName>
    <definedName name="UKF_pps_sKA" localSheetId="1">#REF!</definedName>
    <definedName name="UKF_pps_sKA">#REF!</definedName>
    <definedName name="UKF_pps_sKA_bDOK" localSheetId="1">#REF!</definedName>
    <definedName name="UKF_pps_sKA_bDOK">#REF!</definedName>
    <definedName name="UKF_vKEN_aiDOK" localSheetId="1">#REF!</definedName>
    <definedName name="UKF_vKEN_aiDOK">#REF!</definedName>
    <definedName name="UKF_vKEN_bKA" localSheetId="1">#REF!</definedName>
    <definedName name="UKF_vKEN_bKA">#REF!</definedName>
    <definedName name="UKF_vKEN_bKA_bDOK" localSheetId="1">#REF!</definedName>
    <definedName name="UKF_vKEN_bKA_bDOK">#REF!</definedName>
    <definedName name="UKF_vKEN_bKA_PDS" localSheetId="1">#REF!</definedName>
    <definedName name="UKF_vKEN_bKA_PDS">#REF!</definedName>
    <definedName name="UKF_vKEN_sKA" localSheetId="1">#REF!</definedName>
    <definedName name="UKF_vKEN_sKA">#REF!</definedName>
    <definedName name="UKF_vKEN_sKA_bDOK" localSheetId="1">#REF!</definedName>
    <definedName name="UKF_vKEN_sKA_bDOK">#REF!</definedName>
    <definedName name="UKF_vKEN_sKA_PDS" localSheetId="1">#REF!</definedName>
    <definedName name="UKF_vKEN_sKA_PDS">#REF!</definedName>
    <definedName name="UKF_vKPN_aiDOK" localSheetId="1">#REF!</definedName>
    <definedName name="UKF_vKPN_aiDOK">#REF!</definedName>
    <definedName name="UKF_vKPN_bKA" localSheetId="1">#REF!</definedName>
    <definedName name="UKF_vKPN_bKA">#REF!</definedName>
    <definedName name="UKF_vKPN_bKA_bDOK" localSheetId="1">#REF!</definedName>
    <definedName name="UKF_vKPN_bKA_bDOK">#REF!</definedName>
    <definedName name="UKF_vKPN_bKA_PDS" localSheetId="1">#REF!</definedName>
    <definedName name="UKF_vKPN_bKA_PDS">#REF!</definedName>
    <definedName name="UKF_vKPN_sKA" localSheetId="1">#REF!</definedName>
    <definedName name="UKF_vKPN_sKA">#REF!</definedName>
    <definedName name="UKF_vKPN_sKA_bDOK" localSheetId="1">#REF!</definedName>
    <definedName name="UKF_vKPN_sKA_bDOK">#REF!</definedName>
    <definedName name="UKF_vKPN_sKA_PDS" localSheetId="1">#REF!</definedName>
    <definedName name="UKF_vKPN_sKA_PDS">#REF!</definedName>
    <definedName name="Um">#REF!</definedName>
    <definedName name="UMB_paiDOK2000" localSheetId="1">#REF!</definedName>
    <definedName name="UMB_paiDOK2000">#REF!</definedName>
    <definedName name="UMB_pD2001_DS_bKA" localSheetId="1">#REF!</definedName>
    <definedName name="UMB_pD2001_DS_bKA">#REF!</definedName>
    <definedName name="UMB_pP2000_DS_bKA" localSheetId="1">#REF!</definedName>
    <definedName name="UMB_pP2000_DS_bKA">#REF!</definedName>
    <definedName name="UMB_pP2001_DS_bKA" localSheetId="1">#REF!</definedName>
    <definedName name="UMB_pP2001_DS_bKA">#REF!</definedName>
    <definedName name="UMB_pP2001_DS_sKA" localSheetId="1">#REF!</definedName>
    <definedName name="UMB_pP2001_DS_sKA">#REF!</definedName>
    <definedName name="UMB_ppa2000_bDOK" localSheetId="1">#REF!</definedName>
    <definedName name="UMB_ppa2000_bDOK">#REF!</definedName>
    <definedName name="UMB_pps_bKA" localSheetId="1">#REF!</definedName>
    <definedName name="UMB_pps_bKA">#REF!</definedName>
    <definedName name="UMB_pps_bKA_bDOK" localSheetId="1">#REF!</definedName>
    <definedName name="UMB_pps_bKA_bDOK">#REF!</definedName>
    <definedName name="UMB_pps_sKA" localSheetId="1">#REF!</definedName>
    <definedName name="UMB_pps_sKA">#REF!</definedName>
    <definedName name="UMB_pps_sKA_bDOK" localSheetId="1">#REF!</definedName>
    <definedName name="UMB_pps_sKA_bDOK">#REF!</definedName>
    <definedName name="UMB_vKEN_aiDOK" localSheetId="1">#REF!</definedName>
    <definedName name="UMB_vKEN_aiDOK">#REF!</definedName>
    <definedName name="UMB_vKEN_bKA" localSheetId="1">#REF!</definedName>
    <definedName name="UMB_vKEN_bKA">#REF!</definedName>
    <definedName name="UMB_vKEN_bKA_bDOK" localSheetId="1">#REF!</definedName>
    <definedName name="UMB_vKEN_bKA_bDOK">#REF!</definedName>
    <definedName name="UMB_vKEN_bKA_PDS" localSheetId="1">#REF!</definedName>
    <definedName name="UMB_vKEN_bKA_PDS">#REF!</definedName>
    <definedName name="UMB_vKEN_sKA" localSheetId="1">#REF!</definedName>
    <definedName name="UMB_vKEN_sKA">#REF!</definedName>
    <definedName name="UMB_vKEN_sKA_bDOK" localSheetId="1">#REF!</definedName>
    <definedName name="UMB_vKEN_sKA_bDOK">#REF!</definedName>
    <definedName name="UMB_vKEN_sKA_PDS" localSheetId="1">#REF!</definedName>
    <definedName name="UMB_vKEN_sKA_PDS">#REF!</definedName>
    <definedName name="UMB_vKPN_aiDOK" localSheetId="1">#REF!</definedName>
    <definedName name="UMB_vKPN_aiDOK">#REF!</definedName>
    <definedName name="UMB_vKPN_bKA" localSheetId="1">#REF!</definedName>
    <definedName name="UMB_vKPN_bKA">#REF!</definedName>
    <definedName name="UMB_vKPN_bKA_bDOK" localSheetId="1">#REF!</definedName>
    <definedName name="UMB_vKPN_bKA_bDOK">#REF!</definedName>
    <definedName name="UMB_vKPN_bKA_PDS" localSheetId="1">#REF!</definedName>
    <definedName name="UMB_vKPN_bKA_PDS">#REF!</definedName>
    <definedName name="UMB_vKPN_sKA" localSheetId="1">#REF!</definedName>
    <definedName name="UMB_vKPN_sKA">#REF!</definedName>
    <definedName name="UMB_vKPN_sKA_bDOK" localSheetId="1">#REF!</definedName>
    <definedName name="UMB_vKPN_sKA_bDOK">#REF!</definedName>
    <definedName name="UMB_vKPN_sKA_PDS" localSheetId="1">#REF!</definedName>
    <definedName name="UMB_vKPN_sKA_PDS">#REF!</definedName>
    <definedName name="UPJS_paiDOK2000" localSheetId="1">#REF!</definedName>
    <definedName name="UPJS_paiDOK2000">#REF!</definedName>
    <definedName name="UPJS_pD2001_DS_bKA" localSheetId="1">#REF!</definedName>
    <definedName name="UPJS_pD2001_DS_bKA">#REF!</definedName>
    <definedName name="UPJS_pP2000_DS_bKA" localSheetId="1">#REF!</definedName>
    <definedName name="UPJS_pP2000_DS_bKA">#REF!</definedName>
    <definedName name="UPJS_pP2001_DS_bKA" localSheetId="1">#REF!</definedName>
    <definedName name="UPJS_pP2001_DS_bKA">#REF!</definedName>
    <definedName name="UPJS_pP2001_DS_sKA" localSheetId="1">#REF!</definedName>
    <definedName name="UPJS_pP2001_DS_sKA">#REF!</definedName>
    <definedName name="UPJS_ppa2000_bDOK" localSheetId="1">#REF!</definedName>
    <definedName name="UPJS_ppa2000_bDOK">#REF!</definedName>
    <definedName name="UPJS_pps_bKA" localSheetId="1">#REF!</definedName>
    <definedName name="UPJS_pps_bKA">#REF!</definedName>
    <definedName name="UPJS_pps_bKA_bDOK" localSheetId="1">#REF!</definedName>
    <definedName name="UPJS_pps_bKA_bDOK">#REF!</definedName>
    <definedName name="UPJS_pps_sKA" localSheetId="1">#REF!</definedName>
    <definedName name="UPJS_pps_sKA">#REF!</definedName>
    <definedName name="UPJS_pps_sKA_bDOK" localSheetId="1">#REF!</definedName>
    <definedName name="UPJS_pps_sKA_bDOK">#REF!</definedName>
    <definedName name="UPJS_vKEN_aiDOK" localSheetId="1">#REF!</definedName>
    <definedName name="UPJS_vKEN_aiDOK">#REF!</definedName>
    <definedName name="UPJS_vKEN_bKA" localSheetId="1">#REF!</definedName>
    <definedName name="UPJS_vKEN_bKA">#REF!</definedName>
    <definedName name="UPJS_vKEN_bKA_bDOK" localSheetId="1">#REF!</definedName>
    <definedName name="UPJS_vKEN_bKA_bDOK">#REF!</definedName>
    <definedName name="UPJS_vKEN_bKA_PDS" localSheetId="1">#REF!</definedName>
    <definedName name="UPJS_vKEN_bKA_PDS">#REF!</definedName>
    <definedName name="UPJS_vKEN_sKA" localSheetId="1">#REF!</definedName>
    <definedName name="UPJS_vKEN_sKA">#REF!</definedName>
    <definedName name="UPJS_vKEN_sKA_bDOK" localSheetId="1">#REF!</definedName>
    <definedName name="UPJS_vKEN_sKA_bDOK">#REF!</definedName>
    <definedName name="UPJS_vKEN_sKA_PDS" localSheetId="1">#REF!</definedName>
    <definedName name="UPJS_vKEN_sKA_PDS">#REF!</definedName>
    <definedName name="UPJS_vKPN_aiDOK" localSheetId="1">#REF!</definedName>
    <definedName name="UPJS_vKPN_aiDOK">#REF!</definedName>
    <definedName name="UPJS_vKPN_bKA" localSheetId="1">#REF!</definedName>
    <definedName name="UPJS_vKPN_bKA">#REF!</definedName>
    <definedName name="UPJS_vKPN_bKA_bDOK" localSheetId="1">#REF!</definedName>
    <definedName name="UPJS_vKPN_bKA_bDOK">#REF!</definedName>
    <definedName name="UPJS_vKPN_bKA_PDS" localSheetId="1">#REF!</definedName>
    <definedName name="UPJS_vKPN_bKA_PDS">#REF!</definedName>
    <definedName name="UPJS_vKPN_sKA" localSheetId="1">#REF!</definedName>
    <definedName name="UPJS_vKPN_sKA">#REF!</definedName>
    <definedName name="UPJS_vKPN_sKA_bDOK" localSheetId="1">#REF!</definedName>
    <definedName name="UPJS_vKPN_sKA_bDOK">#REF!</definedName>
    <definedName name="UPJS_vKPN_sKA_PDS" localSheetId="1">#REF!</definedName>
    <definedName name="UPJS_vKPN_sKA_PDS">#REF!</definedName>
    <definedName name="Uv">#REF!</definedName>
    <definedName name="UVL_paiDOK2000" localSheetId="1">#REF!</definedName>
    <definedName name="UVL_paiDOK2000">#REF!</definedName>
    <definedName name="UVL_pD2001_DS_bKA" localSheetId="1">#REF!</definedName>
    <definedName name="UVL_pD2001_DS_bKA">#REF!</definedName>
    <definedName name="UVL_pP2000_DS_bKA" localSheetId="1">#REF!</definedName>
    <definedName name="UVL_pP2000_DS_bKA">#REF!</definedName>
    <definedName name="UVL_pP2001_DS_bKA" localSheetId="1">#REF!</definedName>
    <definedName name="UVL_pP2001_DS_bKA">#REF!</definedName>
    <definedName name="UVL_pP2001_DS_sKA" localSheetId="1">#REF!</definedName>
    <definedName name="UVL_pP2001_DS_sKA">#REF!</definedName>
    <definedName name="UVL_ppa2000_bDOK" localSheetId="1">#REF!</definedName>
    <definedName name="UVL_ppa2000_bDOK">#REF!</definedName>
    <definedName name="UVL_pps_bKA" localSheetId="1">#REF!</definedName>
    <definedName name="UVL_pps_bKA">#REF!</definedName>
    <definedName name="UVL_pps_bKA_bDOK" localSheetId="1">#REF!</definedName>
    <definedName name="UVL_pps_bKA_bDOK">#REF!</definedName>
    <definedName name="UVL_pps_sKA" localSheetId="1">#REF!</definedName>
    <definedName name="UVL_pps_sKA">#REF!</definedName>
    <definedName name="UVL_pps_sKA_bDOK" localSheetId="1">#REF!</definedName>
    <definedName name="UVL_pps_sKA_bDOK">#REF!</definedName>
    <definedName name="UVL_vKEN_aiDOK" localSheetId="1">#REF!</definedName>
    <definedName name="UVL_vKEN_aiDOK">#REF!</definedName>
    <definedName name="UVL_vKEN_bKA" localSheetId="1">#REF!</definedName>
    <definedName name="UVL_vKEN_bKA">#REF!</definedName>
    <definedName name="UVL_vKEN_bKA_bDOK" localSheetId="1">#REF!</definedName>
    <definedName name="UVL_vKEN_bKA_bDOK">#REF!</definedName>
    <definedName name="UVL_vKEN_bKA_PDS" localSheetId="1">#REF!</definedName>
    <definedName name="UVL_vKEN_bKA_PDS">#REF!</definedName>
    <definedName name="UVL_vKEN_sKA" localSheetId="1">#REF!</definedName>
    <definedName name="UVL_vKEN_sKA">#REF!</definedName>
    <definedName name="UVL_vKEN_sKA_bDOK" localSheetId="1">#REF!</definedName>
    <definedName name="UVL_vKEN_sKA_bDOK">#REF!</definedName>
    <definedName name="UVL_vKEN_sKA_PDS" localSheetId="1">#REF!</definedName>
    <definedName name="UVL_vKEN_sKA_PDS">#REF!</definedName>
    <definedName name="UVL_vKPN_aiDOK" localSheetId="1">#REF!</definedName>
    <definedName name="UVL_vKPN_aiDOK">#REF!</definedName>
    <definedName name="UVL_vKPN_bKA" localSheetId="1">#REF!</definedName>
    <definedName name="UVL_vKPN_bKA">#REF!</definedName>
    <definedName name="UVL_vKPN_bKA_bDOK" localSheetId="1">#REF!</definedName>
    <definedName name="UVL_vKPN_bKA_bDOK">#REF!</definedName>
    <definedName name="UVL_vKPN_bKA_PDS" localSheetId="1">#REF!</definedName>
    <definedName name="UVL_vKPN_bKA_PDS">#REF!</definedName>
    <definedName name="UVL_vKPN_sKA" localSheetId="1">#REF!</definedName>
    <definedName name="UVL_vKPN_sKA">#REF!</definedName>
    <definedName name="UVL_vKPN_sKA_bDOK" localSheetId="1">#REF!</definedName>
    <definedName name="UVL_vKPN_sKA_bDOK">#REF!</definedName>
    <definedName name="UVL_vKPN_sKA_PDS" localSheetId="1">#REF!</definedName>
    <definedName name="UVL_vKPN_sKA_PDS">#REF!</definedName>
    <definedName name="vbn" localSheetId="1">'[4]Pr-6'!#REF!</definedName>
    <definedName name="vbn" localSheetId="0">'[5]Pr-6'!#REF!</definedName>
    <definedName name="vbn">'[5]Pr-6'!#REF!</definedName>
    <definedName name="VSMU_paiDOK2000" localSheetId="1">#REF!</definedName>
    <definedName name="VSMU_paiDOK2000">#REF!</definedName>
    <definedName name="VSMU_pD2001_DS_bKA" localSheetId="1">#REF!</definedName>
    <definedName name="VSMU_pD2001_DS_bKA">#REF!</definedName>
    <definedName name="VSMU_pP2000_DS_bKA" localSheetId="1">#REF!</definedName>
    <definedName name="VSMU_pP2000_DS_bKA">#REF!</definedName>
    <definedName name="VSMU_pP2001_DS_bKA" localSheetId="1">#REF!</definedName>
    <definedName name="VSMU_pP2001_DS_bKA">#REF!</definedName>
    <definedName name="VSMU_pP2001_DS_sKA" localSheetId="1">#REF!</definedName>
    <definedName name="VSMU_pP2001_DS_sKA">#REF!</definedName>
    <definedName name="VSMU_ppa2000_bDOK" localSheetId="1">#REF!</definedName>
    <definedName name="VSMU_ppa2000_bDOK">#REF!</definedName>
    <definedName name="VSMU_pps_bKA" localSheetId="1">#REF!</definedName>
    <definedName name="VSMU_pps_bKA">#REF!</definedName>
    <definedName name="VSMU_pps_bKA_bDOK" localSheetId="1">#REF!</definedName>
    <definedName name="VSMU_pps_bKA_bDOK">#REF!</definedName>
    <definedName name="VSMU_pps_sKA" localSheetId="1">#REF!</definedName>
    <definedName name="VSMU_pps_sKA">#REF!</definedName>
    <definedName name="VSMU_pps_sKA_bDOK" localSheetId="1">#REF!</definedName>
    <definedName name="VSMU_pps_sKA_bDOK">#REF!</definedName>
    <definedName name="VSMU_vKEN_aiDOK" localSheetId="1">#REF!</definedName>
    <definedName name="VSMU_vKEN_aiDOK">#REF!</definedName>
    <definedName name="VSMU_vKEN_bKA" localSheetId="1">#REF!</definedName>
    <definedName name="VSMU_vKEN_bKA">#REF!</definedName>
    <definedName name="VSMU_vKEN_bKA_bDOK" localSheetId="1">#REF!</definedName>
    <definedName name="VSMU_vKEN_bKA_bDOK">#REF!</definedName>
    <definedName name="VSMU_vKEN_bKA_PDS" localSheetId="1">#REF!</definedName>
    <definedName name="VSMU_vKEN_bKA_PDS">#REF!</definedName>
    <definedName name="VSMU_vKEN_sKA" localSheetId="1">#REF!</definedName>
    <definedName name="VSMU_vKEN_sKA">#REF!</definedName>
    <definedName name="VSMU_vKEN_sKA_bDOK" localSheetId="1">#REF!</definedName>
    <definedName name="VSMU_vKEN_sKA_bDOK">#REF!</definedName>
    <definedName name="VSMU_vKEN_sKA_PDS" localSheetId="1">#REF!</definedName>
    <definedName name="VSMU_vKEN_sKA_PDS">#REF!</definedName>
    <definedName name="VSMU_vKPN_aiDOK" localSheetId="1">#REF!</definedName>
    <definedName name="VSMU_vKPN_aiDOK">#REF!</definedName>
    <definedName name="VSMU_vKPN_bKA" localSheetId="1">#REF!</definedName>
    <definedName name="VSMU_vKPN_bKA">#REF!</definedName>
    <definedName name="VSMU_vKPN_bKA_bDOK" localSheetId="1">#REF!</definedName>
    <definedName name="VSMU_vKPN_bKA_bDOK">#REF!</definedName>
    <definedName name="VSMU_vKPN_bKA_PDS" localSheetId="1">#REF!</definedName>
    <definedName name="VSMU_vKPN_bKA_PDS">#REF!</definedName>
    <definedName name="VSMU_vKPN_sKA" localSheetId="1">#REF!</definedName>
    <definedName name="VSMU_vKPN_sKA">#REF!</definedName>
    <definedName name="VSMU_vKPN_sKA_bDOK" localSheetId="1">#REF!</definedName>
    <definedName name="VSMU_vKPN_sKA_bDOK">#REF!</definedName>
    <definedName name="VSMU_vKPN_sKA_PDS" localSheetId="1">#REF!</definedName>
    <definedName name="VSMU_vKPN_sKA_PDS">#REF!</definedName>
    <definedName name="VSVU_paiDOK2000" localSheetId="1">#REF!</definedName>
    <definedName name="VSVU_paiDOK2000">#REF!</definedName>
    <definedName name="VSVU_pD2001_DS_bKA" localSheetId="1">#REF!</definedName>
    <definedName name="VSVU_pD2001_DS_bKA">#REF!</definedName>
    <definedName name="VSVU_pP2000_DS_bKA" localSheetId="1">#REF!</definedName>
    <definedName name="VSVU_pP2000_DS_bKA">#REF!</definedName>
    <definedName name="VSVU_pP2001_DS_bKA" localSheetId="1">#REF!</definedName>
    <definedName name="VSVU_pP2001_DS_bKA">#REF!</definedName>
    <definedName name="VSVU_pP2001_DS_sKA" localSheetId="1">#REF!</definedName>
    <definedName name="VSVU_pP2001_DS_sKA">#REF!</definedName>
    <definedName name="VSVU_ppa2000_bDOK" localSheetId="1">#REF!</definedName>
    <definedName name="VSVU_ppa2000_bDOK">#REF!</definedName>
    <definedName name="VSVU_pps_bKA" localSheetId="1">#REF!</definedName>
    <definedName name="VSVU_pps_bKA">#REF!</definedName>
    <definedName name="VSVU_pps_bKA_bDOK" localSheetId="1">#REF!</definedName>
    <definedName name="VSVU_pps_bKA_bDOK">#REF!</definedName>
    <definedName name="VSVU_pps_sKA" localSheetId="1">#REF!</definedName>
    <definedName name="VSVU_pps_sKA">#REF!</definedName>
    <definedName name="VSVU_pps_sKA_bDOK" localSheetId="1">#REF!</definedName>
    <definedName name="VSVU_pps_sKA_bDOK">#REF!</definedName>
    <definedName name="VSVU_vKEN_aiDOK" localSheetId="1">#REF!</definedName>
    <definedName name="VSVU_vKEN_aiDOK">#REF!</definedName>
    <definedName name="VSVU_vKEN_bKA" localSheetId="1">#REF!</definedName>
    <definedName name="VSVU_vKEN_bKA">#REF!</definedName>
    <definedName name="VSVU_vKEN_bKA_bDOK" localSheetId="1">#REF!</definedName>
    <definedName name="VSVU_vKEN_bKA_bDOK">#REF!</definedName>
    <definedName name="VSVU_vKEN_bKA_PDS" localSheetId="1">#REF!</definedName>
    <definedName name="VSVU_vKEN_bKA_PDS">#REF!</definedName>
    <definedName name="VSVU_vKEN_sKA" localSheetId="1">#REF!</definedName>
    <definedName name="VSVU_vKEN_sKA">#REF!</definedName>
    <definedName name="VSVU_vKEN_sKA_bDOK" localSheetId="1">#REF!</definedName>
    <definedName name="VSVU_vKEN_sKA_bDOK">#REF!</definedName>
    <definedName name="VSVU_vKEN_sKA_PDS" localSheetId="1">#REF!</definedName>
    <definedName name="VSVU_vKEN_sKA_PDS">#REF!</definedName>
    <definedName name="VSVU_vKPN_aiDOK" localSheetId="1">#REF!</definedName>
    <definedName name="VSVU_vKPN_aiDOK">#REF!</definedName>
    <definedName name="VSVU_vKPN_bKA" localSheetId="1">#REF!</definedName>
    <definedName name="VSVU_vKPN_bKA">#REF!</definedName>
    <definedName name="VSVU_vKPN_bKA_bDOK" localSheetId="1">#REF!</definedName>
    <definedName name="VSVU_vKPN_bKA_bDOK">#REF!</definedName>
    <definedName name="VSVU_vKPN_bKA_PDS" localSheetId="1">#REF!</definedName>
    <definedName name="VSVU_vKPN_bKA_PDS">#REF!</definedName>
    <definedName name="VSVU_vKPN_sKA" localSheetId="1">#REF!</definedName>
    <definedName name="VSVU_vKPN_sKA">#REF!</definedName>
    <definedName name="VSVU_vKPN_sKA_bDOK" localSheetId="1">#REF!</definedName>
    <definedName name="VSVU_vKPN_sKA_bDOK">#REF!</definedName>
    <definedName name="VSVU_vKPN_sKA_PDS" localSheetId="1">#REF!</definedName>
    <definedName name="VSVU_vKPN_sKA_PDS">#REF!</definedName>
    <definedName name="x">#REF!</definedName>
    <definedName name="xxxxxxxxxxxx">#REF!</definedName>
    <definedName name="ZMI">'[21]priplatky20'!$K$7</definedName>
    <definedName name="ZMII">'[21]priplatky20'!$L$7</definedName>
    <definedName name="ZU_paiDOK2000" localSheetId="1">#REF!</definedName>
    <definedName name="ZU_paiDOK2000">#REF!</definedName>
    <definedName name="ZU_pD2001_DS_bKA" localSheetId="1">#REF!</definedName>
    <definedName name="ZU_pD2001_DS_bKA">#REF!</definedName>
    <definedName name="ZU_pP2000_DS_bKA" localSheetId="1">#REF!</definedName>
    <definedName name="ZU_pP2000_DS_bKA">#REF!</definedName>
    <definedName name="ZU_pP2001_DS_bKA" localSheetId="1">#REF!</definedName>
    <definedName name="ZU_pP2001_DS_bKA">#REF!</definedName>
    <definedName name="ZU_pP2001_DS_sKA" localSheetId="1">#REF!</definedName>
    <definedName name="ZU_pP2001_DS_sKA">#REF!</definedName>
    <definedName name="ZU_ppa2000_bDOK" localSheetId="1">#REF!</definedName>
    <definedName name="ZU_ppa2000_bDOK">#REF!</definedName>
    <definedName name="ZU_pps_bKA" localSheetId="1">#REF!</definedName>
    <definedName name="ZU_pps_bKA">#REF!</definedName>
    <definedName name="ZU_pps_bKA_bDOK" localSheetId="1">#REF!</definedName>
    <definedName name="ZU_pps_bKA_bDOK">#REF!</definedName>
    <definedName name="ZU_pps_sKA" localSheetId="1">#REF!</definedName>
    <definedName name="ZU_pps_sKA">#REF!</definedName>
    <definedName name="ZU_pps_sKA_bDOK" localSheetId="1">#REF!</definedName>
    <definedName name="ZU_pps_sKA_bDOK">#REF!</definedName>
    <definedName name="ZU_vKEN_aiDOK" localSheetId="1">#REF!</definedName>
    <definedName name="ZU_vKEN_aiDOK">#REF!</definedName>
    <definedName name="ZU_vKEN_bKA" localSheetId="1">#REF!</definedName>
    <definedName name="ZU_vKEN_bKA">#REF!</definedName>
    <definedName name="ZU_vKEN_bKA_bDOK" localSheetId="1">#REF!</definedName>
    <definedName name="ZU_vKEN_bKA_bDOK">#REF!</definedName>
    <definedName name="ZU_vKEN_bKA_PDS" localSheetId="1">#REF!</definedName>
    <definedName name="ZU_vKEN_bKA_PDS">#REF!</definedName>
    <definedName name="ZU_vKEN_sKA" localSheetId="1">#REF!</definedName>
    <definedName name="ZU_vKEN_sKA">#REF!</definedName>
    <definedName name="ZU_vKEN_sKA_bDOK" localSheetId="1">#REF!</definedName>
    <definedName name="ZU_vKEN_sKA_bDOK">#REF!</definedName>
    <definedName name="ZU_vKEN_sKA_PDS" localSheetId="1">#REF!</definedName>
    <definedName name="ZU_vKEN_sKA_PDS">#REF!</definedName>
    <definedName name="ZU_vKPN_aiDOK" localSheetId="1">#REF!</definedName>
    <definedName name="ZU_vKPN_aiDOK">#REF!</definedName>
    <definedName name="ZU_vKPN_bKA" localSheetId="1">#REF!</definedName>
    <definedName name="ZU_vKPN_bKA">#REF!</definedName>
    <definedName name="ZU_vKPN_bKA_bDOK" localSheetId="1">#REF!</definedName>
    <definedName name="ZU_vKPN_bKA_bDOK">#REF!</definedName>
    <definedName name="ZU_vKPN_bKA_PDS" localSheetId="1">#REF!</definedName>
    <definedName name="ZU_vKPN_bKA_PDS">#REF!</definedName>
    <definedName name="ZU_vKPN_sKA" localSheetId="1">#REF!</definedName>
    <definedName name="ZU_vKPN_sKA">#REF!</definedName>
    <definedName name="ZU_vKPN_sKA_bDOK" localSheetId="1">#REF!</definedName>
    <definedName name="ZU_vKPN_sKA_bDOK">#REF!</definedName>
    <definedName name="ZU_vKPN_sKA_PDS" localSheetId="1">#REF!</definedName>
    <definedName name="ZU_vKPN_sKA_PDS">#REF!</definedName>
  </definedNames>
  <calcPr fullCalcOnLoad="1"/>
</workbook>
</file>

<file path=xl/sharedStrings.xml><?xml version="1.0" encoding="utf-8"?>
<sst xmlns="http://schemas.openxmlformats.org/spreadsheetml/2006/main" count="491" uniqueCount="288">
  <si>
    <t>STU  s u m á r</t>
  </si>
  <si>
    <t>SvF</t>
  </si>
  <si>
    <t>SjF</t>
  </si>
  <si>
    <t>FEI</t>
  </si>
  <si>
    <t>FCHPT</t>
  </si>
  <si>
    <t>FA</t>
  </si>
  <si>
    <t>MtF</t>
  </si>
  <si>
    <t>FIIT</t>
  </si>
  <si>
    <t xml:space="preserve">UZ ŠDaJ </t>
  </si>
  <si>
    <t>UM</t>
  </si>
  <si>
    <t>S T U</t>
  </si>
  <si>
    <t>Bežné a kapitálové výdavky spolu</t>
  </si>
  <si>
    <t>Bežné výdavky spolu</t>
  </si>
  <si>
    <t>BV z toho: veda a výskum</t>
  </si>
  <si>
    <t>Podprogram  07712 - veda a technika</t>
  </si>
  <si>
    <t>Podprogram  077 13 - rozvoj VŠ</t>
  </si>
  <si>
    <t>0771501 - sociálne štipendiá</t>
  </si>
  <si>
    <t>ÚZ ŠDaJ</t>
  </si>
  <si>
    <t>R+CUP</t>
  </si>
  <si>
    <t>STU spolu</t>
  </si>
  <si>
    <t>P/PP</t>
  </si>
  <si>
    <t>interné úpravy dotácie mimo DZ:</t>
  </si>
  <si>
    <t>interné úpravy dotácie dľa DZ:</t>
  </si>
  <si>
    <t>úpravy spolu</t>
  </si>
  <si>
    <t>úpravy spolu dľa DZ</t>
  </si>
  <si>
    <t xml:space="preserve">ÚPRAVY  DOTÁCIE  KAPITÁLOVÝCH  VÝDAVKOV  </t>
  </si>
  <si>
    <t xml:space="preserve">Upravená dotácia podľa DZ </t>
  </si>
  <si>
    <t>kv+bv</t>
  </si>
  <si>
    <t>spolu BV+KV</t>
  </si>
  <si>
    <t>kontrola celkom</t>
  </si>
  <si>
    <t>v €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</si>
  <si>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</si>
  <si>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</si>
  <si>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</si>
  <si>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</si>
  <si>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</si>
  <si>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</si>
  <si>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</si>
  <si>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kontrola</t>
  </si>
  <si>
    <t>077 12 02 - VEGA</t>
  </si>
  <si>
    <t>077 12 05 - KEGA</t>
  </si>
  <si>
    <t xml:space="preserve">Podprogram  077 11 - VŠ vzdelávanie </t>
  </si>
  <si>
    <t>Podprogram  077 15 - sociálne služby</t>
  </si>
  <si>
    <t>Úpravy po AS</t>
  </si>
  <si>
    <t>projekty APVV</t>
  </si>
  <si>
    <t>UZ Technik</t>
  </si>
  <si>
    <t>Vládni štipendisti</t>
  </si>
  <si>
    <t>06K 11</t>
  </si>
  <si>
    <t>prierezové projekty</t>
  </si>
  <si>
    <t xml:space="preserve">0771502 - motivačné štipendiá </t>
  </si>
  <si>
    <t xml:space="preserve">DOTÁCIE BV SPOLU PODĽA DZ                                               k </t>
  </si>
  <si>
    <t xml:space="preserve">DOTÁCIE KV SPOLU PODĽA  DZ k </t>
  </si>
  <si>
    <t>05T 08</t>
  </si>
  <si>
    <t>021 02 03</t>
  </si>
  <si>
    <t>06K 12</t>
  </si>
  <si>
    <t>Fak.,UM,UVP spolu</t>
  </si>
  <si>
    <t>0771502 - motivačné štipendiá pre vybrané štud. odbory</t>
  </si>
  <si>
    <t>projekty DAAD, vládne štipendiá</t>
  </si>
  <si>
    <t>077 11 - Mzdy výkonové</t>
  </si>
  <si>
    <t>07712 - výkonové zložky</t>
  </si>
  <si>
    <t>Podprogram 07715 03 spolu</t>
  </si>
  <si>
    <t>077 1503   ŠD spolu</t>
  </si>
  <si>
    <t>077 1503 - ŠD - mzdy</t>
  </si>
  <si>
    <t>077 1503 - ŠD - odvody</t>
  </si>
  <si>
    <t>077 1503 - ŠD - valorizácia</t>
  </si>
  <si>
    <t>0771503 - ŠD - valorizácia odvody</t>
  </si>
  <si>
    <t>077 1503- ŠD - na prevádzku</t>
  </si>
  <si>
    <t>077 11</t>
  </si>
  <si>
    <t>úpravy - vzájomné výkony vo vzdel. MP</t>
  </si>
  <si>
    <t>úpravy- vzájomné výkony vo vzd. odvody</t>
  </si>
  <si>
    <t>FAD</t>
  </si>
  <si>
    <t>077 12 01</t>
  </si>
  <si>
    <t>077 15 03 /0810</t>
  </si>
  <si>
    <t>DOTÁCIE KV SPOLU k  31.12.2021</t>
  </si>
  <si>
    <t>UVP_NC</t>
  </si>
  <si>
    <t>STU aktivity</t>
  </si>
  <si>
    <t>Fakulty aktivity</t>
  </si>
  <si>
    <t>R-STU</t>
  </si>
  <si>
    <t>Účel STU - integrátory AIS</t>
  </si>
  <si>
    <t>Účel STU - Fond rektora</t>
  </si>
  <si>
    <t>Účel STU - personálne zabezpečenie SIVVP</t>
  </si>
  <si>
    <t xml:space="preserve"> </t>
  </si>
  <si>
    <t xml:space="preserve">    077 11- mzdy SPOLU</t>
  </si>
  <si>
    <t xml:space="preserve">    077 11- odvody SPOLU</t>
  </si>
  <si>
    <t>Účel MŠ - zabezpečenie prevádzky PCA</t>
  </si>
  <si>
    <t>Účel MŠ - študentská formula</t>
  </si>
  <si>
    <t xml:space="preserve">    077 11-TaS SPOLU</t>
  </si>
  <si>
    <t>077 11 - TaS neúčelové</t>
  </si>
  <si>
    <t>Účel MŠ - podpora študentov so špec.potrebami</t>
  </si>
  <si>
    <t>Účel STU- materiálnotech. a org. zabezp. vzdelávacích činností pre STU (Útvar vzdelávania)</t>
  </si>
  <si>
    <t>Účel STU - súdne spory a poplatky</t>
  </si>
  <si>
    <t>Účel STU - CUVTIS</t>
  </si>
  <si>
    <t>Účel STU - licencia e-BIZ</t>
  </si>
  <si>
    <t>Účel STU - činnosti vedeckej rady (Útvar vedy)</t>
  </si>
  <si>
    <t xml:space="preserve">Účel STU - činnosť VSK komisie </t>
  </si>
  <si>
    <t>Účel STU - rozvoj medzinárodných vťahov</t>
  </si>
  <si>
    <t>Účel STU - zabezpečenie externej a internej komunikácie STU(Útvar práce s ver.)</t>
  </si>
  <si>
    <t>Účel STU - činnosť Vydavateľstva STU</t>
  </si>
  <si>
    <t>Účel STU - činnosť akademického senátu STU</t>
  </si>
  <si>
    <t>Účel MŠ - špičkové tímy</t>
  </si>
  <si>
    <t>Účel STU - Centrum akademického športu</t>
  </si>
  <si>
    <t>Účel STU - činnosť Univerzitného vedeckého inkubátora</t>
  </si>
  <si>
    <t>Účel STU - podpora tímov H2020</t>
  </si>
  <si>
    <t>Účel STU - na programy mladý výskumník a excelentné tímy</t>
  </si>
  <si>
    <t>Účel STU - postdoktorandský program</t>
  </si>
  <si>
    <t>Účel STU - spolufinancovanie projektu H2020 SASPRO2</t>
  </si>
  <si>
    <t>Účel STU - spolufinancovanie projektu CARLiS a DigVil</t>
  </si>
  <si>
    <t>Účel STU - členské poplatky V KIC a EFRA</t>
  </si>
  <si>
    <t>Účel STU -poistenie prístrojov zakúpených zo ŠF</t>
  </si>
  <si>
    <t>077 1503 - strav. príspevok (09607)</t>
  </si>
  <si>
    <t>077 1503 - šport (0810)</t>
  </si>
  <si>
    <t>0771201 - inštituc. veda SPOLU</t>
  </si>
  <si>
    <t>dofinancovanie ACCORD/prekročenie rozpočtu</t>
  </si>
  <si>
    <t>vzájiomné pedagogické výkony -4/2021 - mzdy</t>
  </si>
  <si>
    <t>vzájiomné pedagogické výkony -4/2021 -odvody</t>
  </si>
  <si>
    <t>vzájiomné pedagogické výkony -5/2021 - mzdy</t>
  </si>
  <si>
    <t>vzájiomné pedagogické výkony -5/2021 -odvody</t>
  </si>
  <si>
    <t>vzájiomné pedagogické výkony -6/2021 - mzdy</t>
  </si>
  <si>
    <t>vzájiomné pedagogické výkony -6/2021 -odvody</t>
  </si>
  <si>
    <t>Program  077 -bežné výdavky v zmysle dotačnej zmluvy</t>
  </si>
  <si>
    <t>Program  077 -Kapitálové výdavky v zmysle dotačnej zmluvy</t>
  </si>
  <si>
    <t>vzájiomné pedagogické výkony -7/2021 - mzdy</t>
  </si>
  <si>
    <t>vzájiomné pedagogické výkony -7/2021 -odvody</t>
  </si>
  <si>
    <t>presun mezi programami - (čerpanie 1-5)  -CAŠ</t>
  </si>
  <si>
    <t>presun mezi programami - (čerpanie 1-5)  -SIVVP</t>
  </si>
  <si>
    <t>0771501 - tehotenské štipendiá</t>
  </si>
  <si>
    <t>presun mezi programami - 10/2021  - mzdy</t>
  </si>
  <si>
    <t>presun mezi programami - 10/2021  - odvody</t>
  </si>
  <si>
    <t>presun dotácie z 1016 - tovary a služby  -CAŠ</t>
  </si>
  <si>
    <t>presun dotácie z 1016 -mzdy  -CAŠ</t>
  </si>
  <si>
    <t>presun dotácie z 1016 - odvody  -CAŠ</t>
  </si>
  <si>
    <t>077 15 03</t>
  </si>
  <si>
    <t>Účel MŠ - COVID 19</t>
  </si>
  <si>
    <t>Účel MŠ - odmeny v zmysle kol. zmluvy</t>
  </si>
  <si>
    <t>UVP_NC Rektorát</t>
  </si>
  <si>
    <t>UVP_NC MTF</t>
  </si>
  <si>
    <t>UVP _NC                    MTF</t>
  </si>
  <si>
    <t>UVP_NC                     Rektorát</t>
  </si>
  <si>
    <t>vzájiomné pedagogické výkony -10/2021 - mzdy</t>
  </si>
  <si>
    <t>vzájiomné pedagogické výkony -10/2021 -odvody</t>
  </si>
  <si>
    <t>Účel MŠ - rekreačný príspevok</t>
  </si>
  <si>
    <t>presun mezi programami - 11/2021  - mzdy</t>
  </si>
  <si>
    <t>presun mezi programami - 11/2021  - odvody</t>
  </si>
  <si>
    <t>presun medzi programami - 11/2021 - tovary a služby</t>
  </si>
  <si>
    <t>Účel MŠ - medzinárodné súťaže(Rormula East/Alpe(ref.)</t>
  </si>
  <si>
    <t>Účel STU -Smernica rektora č.8 - odvody</t>
  </si>
  <si>
    <t>Úcel STU -Smernica rektora č.8 - mzdy</t>
  </si>
  <si>
    <t>Účel STU - Fond rektora - mzdy</t>
  </si>
  <si>
    <t>Účel STU - Fond rektora - odvody</t>
  </si>
  <si>
    <t>Účel STU - VSK - mzdy</t>
  </si>
  <si>
    <t>Účel STU - VSK - odvody</t>
  </si>
  <si>
    <t>presun medzi progamami - 1035 -AS</t>
  </si>
  <si>
    <t>07 711</t>
  </si>
  <si>
    <t>Presun rezervy rektorátu- mzdy</t>
  </si>
  <si>
    <t>Presun rezervy rektorátu- odvody</t>
  </si>
  <si>
    <t>Presun rezervy rektorátu- tovary do miezd</t>
  </si>
  <si>
    <t>Presun rezervy rektorátu do miezd</t>
  </si>
  <si>
    <t>Dodatok č. 8 _ neúčelová</t>
  </si>
  <si>
    <t>Dodatok č. 9_CONNECT, MŠ MTF, opt.proces</t>
  </si>
  <si>
    <t>Dodatok č.10_odmeny v zmysle kol. zmluvy</t>
  </si>
  <si>
    <t>Dodatok č.10_dofinancovanie vzdelávania</t>
  </si>
  <si>
    <t>ÚPRAVY  DOTÁCIE  BEŽNÝCH  VÝDAVKOV  ROK 2022</t>
  </si>
  <si>
    <t>Nerozdelená</t>
  </si>
  <si>
    <t>R_STU_neúčelová</t>
  </si>
  <si>
    <t xml:space="preserve">Účel STU - program mladí výskumníci </t>
  </si>
  <si>
    <t xml:space="preserve">Účel STU - podpora excelent. tímov </t>
  </si>
  <si>
    <t>Účel MŠ</t>
  </si>
  <si>
    <t>077 11 - odvody z miezd</t>
  </si>
  <si>
    <t>Prorektori 2022 - mzdy- zákazka 1049</t>
  </si>
  <si>
    <t>Prorektori 2022 - odvody - zákazka 1049</t>
  </si>
  <si>
    <t>Účel STU -Prorektori 2022 - zákazka 1049</t>
  </si>
  <si>
    <t>Účel STU - Prorektori  2022 - zákazka 1049</t>
  </si>
  <si>
    <t>motivačné štipendiá pre vybrané štud. odbory</t>
  </si>
  <si>
    <t>077 15 02</t>
  </si>
  <si>
    <t xml:space="preserve">motivačné štipendiá </t>
  </si>
  <si>
    <t>Úprava na Dotačnú zmluvu 2022</t>
  </si>
  <si>
    <t>Dotatok č.1 - VEGA</t>
  </si>
  <si>
    <t>Dotatok č.1 - KEGA</t>
  </si>
  <si>
    <t>077 12 02</t>
  </si>
  <si>
    <t>077 12 05</t>
  </si>
  <si>
    <t>Dotatok č.1 -motivačné odborové</t>
  </si>
  <si>
    <t xml:space="preserve">Dotatok č.1 -motivačné </t>
  </si>
  <si>
    <t xml:space="preserve">Účel STU- SASPRO 2 </t>
  </si>
  <si>
    <t>UNIVNET_dodatoč.3-prierezové projekty</t>
  </si>
  <si>
    <t>UNIVNET_prierezové projekty</t>
  </si>
  <si>
    <t>Úprava na Dotačnú zmluvu 2022- šport</t>
  </si>
  <si>
    <t>077 15 03/0810</t>
  </si>
  <si>
    <t>vzájiomné pedagogické výkony - 5/2022 - mzdy</t>
  </si>
  <si>
    <t>vzájiomné pedagogické výkony - 5/2022 -odvody</t>
  </si>
  <si>
    <t>177 15 02</t>
  </si>
  <si>
    <t>077 1503 - ŠD -TaS</t>
  </si>
  <si>
    <t>ANSYS, MATLAB, ARL, LabView, e-Porady</t>
  </si>
  <si>
    <t>CVT - upgrade hardvéru</t>
  </si>
  <si>
    <t>SIVVPP  energie</t>
  </si>
  <si>
    <t>Odborné databázy (EIZ) s celouniverzitným zameraním</t>
  </si>
  <si>
    <t>Sciendo (de Gruyter) - elektronické publikovanie článkov</t>
  </si>
  <si>
    <t>Činnosť Rady VSK + akreditácia</t>
  </si>
  <si>
    <t>Zabezpečenie vzdelávania doktorandov</t>
  </si>
  <si>
    <t>Podpora medzinárodnej VT spolupráce</t>
  </si>
  <si>
    <t>Zabezpečenie agendy univerzitnej knižnice</t>
  </si>
  <si>
    <t>Stuba Green Team</t>
  </si>
  <si>
    <t>Študentské aktivity - všeobecné</t>
  </si>
  <si>
    <t>InQb</t>
  </si>
  <si>
    <t>Vedec roka STU</t>
  </si>
  <si>
    <t>Odmenenie najlepších výstupov tvorivej činnosti</t>
  </si>
  <si>
    <t>CUVTIS</t>
  </si>
  <si>
    <t>VO Softvér (e-Biz) ročný poplatok za licenciu</t>
  </si>
  <si>
    <t>Materiálnotechnické a organizačné zabezpečenie vzdelávacích činností pre STU</t>
  </si>
  <si>
    <t>Súdne spory a poplatky</t>
  </si>
  <si>
    <t>Zabezpečenie činnosti Akademického senátu STU</t>
  </si>
  <si>
    <t>Zabezpečenie činnosti Vedeckej rady STU</t>
  </si>
  <si>
    <t>Zabezpečenie činnosti Správnej rady STU</t>
  </si>
  <si>
    <t>Vydavateľská činnosť - SPECTRUM</t>
  </si>
  <si>
    <t>Medzinárodné vzťahy</t>
  </si>
  <si>
    <t>Externá a interná komunikácia</t>
  </si>
  <si>
    <t>Podpora spolupráce s praxou</t>
  </si>
  <si>
    <t>Centrum akademického športu</t>
  </si>
  <si>
    <t>podpora tímov H2020</t>
  </si>
  <si>
    <t>Schválená dotácia 2022_AS_SR</t>
  </si>
  <si>
    <t>Dodatok č. 2 - VEGA</t>
  </si>
  <si>
    <t>077 11/610</t>
  </si>
  <si>
    <t>077 11/620</t>
  </si>
  <si>
    <t>Účel MŠ špecifické potreby</t>
  </si>
  <si>
    <t>Účel MŠ PCA Slovakia</t>
  </si>
  <si>
    <t>Účel MŠ Študentská formula</t>
  </si>
  <si>
    <t>077 1503 - CAŠ (0820)</t>
  </si>
  <si>
    <t>077 1503 - podpora študentských aktivít (0820)</t>
  </si>
  <si>
    <t>077 15 03 /0820</t>
  </si>
  <si>
    <t>Účel MŠ - úprava kultúra</t>
  </si>
  <si>
    <t xml:space="preserve">Dodatok č. 3_RI 46940_odstránenie ležatých rozvodov vody, SV,TUV,cirkulácie TUV </t>
  </si>
  <si>
    <t>Dodatok č. 3_RI 46940_odstránenie ležatých rozvodov vody, SV,TUV,cirkulácie TUV _077 11</t>
  </si>
  <si>
    <t>Dodatok č.3_RI 46933-odstránenie havarijnej sitácieaktívnej vrstvy počítačovej siete dátového centra budovy FEI_077 11</t>
  </si>
  <si>
    <t>Dodatok č.3_RI 46942-rekonštrukčné práce stúpacích potrubí vodovodu,SV,TÚV,cirkulácie TÚV</t>
  </si>
  <si>
    <t>Dodatok č.3_RI 46942-rekonštrukčné práce stúpacích potrubí vodovodu,SV,TÚV,cirkulácie TÚV_077 11</t>
  </si>
  <si>
    <t>Dodatok č.3 - valorizácia od 1.7.2022</t>
  </si>
  <si>
    <t>presun mezi programami - mzdy</t>
  </si>
  <si>
    <t>presun mezi programami - odvody</t>
  </si>
  <si>
    <t>077 12 01 / 620</t>
  </si>
  <si>
    <t>077 12 01 / 610</t>
  </si>
  <si>
    <t>077 11 / 620</t>
  </si>
  <si>
    <t>077 11 / 610</t>
  </si>
  <si>
    <t>077 15 03 / 610</t>
  </si>
  <si>
    <t>077 15 03 / 620</t>
  </si>
  <si>
    <t>077 12 01 / 640</t>
  </si>
  <si>
    <t>Dodatok č.3 - valorizácia od 1.7.2022-štipendiá PhD</t>
  </si>
  <si>
    <t xml:space="preserve">Účel STU - Akademický senát </t>
  </si>
  <si>
    <t>Účel STU - Akademický senát</t>
  </si>
  <si>
    <t>Úprava - projekt APVV-21-0144</t>
  </si>
  <si>
    <t>Úprava - projekt APVV-21-0173</t>
  </si>
  <si>
    <t>Dodatok č.4 - vyplatenie odmien v sume 500€ v zmysle KZ vyššieho strupňa na rok 2022</t>
  </si>
  <si>
    <t>Dodatok č. 5 - príspevok na zvýšené výdavky energií</t>
  </si>
  <si>
    <t>presun medzi programami - - tovary a služby</t>
  </si>
  <si>
    <t>presun mezi programami -- odvody</t>
  </si>
  <si>
    <t>presun mezi programami - - mzdy</t>
  </si>
  <si>
    <t>Účel STU- právne zabezpečenie-mimoriadne odmeny</t>
  </si>
  <si>
    <t>presun mezi programami</t>
  </si>
  <si>
    <t>Dodatok č.6-dotácie na príspevok na stravu študentom - dofinancovanie - účelová</t>
  </si>
  <si>
    <t>077 15 01</t>
  </si>
  <si>
    <t>Dodatok č.6 - úprava dotácie na  sociálne  a tehotenské štipendiá - dofinancovanie - účelová</t>
  </si>
  <si>
    <t>Dodatok č. 6 - vedecká konferencia študentov /ŠVOČ/ v r.2022 "Informations and Information Technologies Student Research Conference" - účelová</t>
  </si>
  <si>
    <t>077 13</t>
  </si>
  <si>
    <t>Dodatok č. 6 - medzinárodná vedecká konferencia študentov /ŠVOČ/ v r.2022 "Chémia a technológie pre život" - účelová</t>
  </si>
  <si>
    <t>Dodatok č. 6 - rozvojový projekt na podporu zapojenia STU do iniciatívy Európskych univerzít - účelová</t>
  </si>
  <si>
    <t>077 15 03 / 0820</t>
  </si>
  <si>
    <t>presun mezi programami - TaS</t>
  </si>
  <si>
    <t>Účel STU - AS - zákazka 1035 - odvody</t>
  </si>
  <si>
    <t>Účel STU - AS - zákazka 1035 - mzdy</t>
  </si>
  <si>
    <t>STU - príkaz na vyplatenie odmien - mzdy</t>
  </si>
  <si>
    <t>STU - príkaz na vyplatenie odmien -odvody</t>
  </si>
  <si>
    <t>Účel STU - ochrana duševného vlastníctva (Smernica č.8)</t>
  </si>
  <si>
    <t>Dodatokč.7-predpoklad úhrad na rekreáciu zamestnancov na 10-12/2022 - účelová</t>
  </si>
  <si>
    <t>Dodatok č,7-úprava BD na dofinancovanie vzdelávacej činnosti VVŠ</t>
  </si>
  <si>
    <t>Dodatok č. 7-úprava BD v zmysle odseku 59 metodiky rozpisu dotácie na rok 2022</t>
  </si>
  <si>
    <t xml:space="preserve">077 11 </t>
  </si>
  <si>
    <t>Účel MŠ- príspevok na rekreáciu zamestnancov</t>
  </si>
  <si>
    <t>Účel MŠ - príspevok na rekreáciu zamestnancov</t>
  </si>
  <si>
    <t>tab.č.2</t>
  </si>
  <si>
    <t>tab.č.1</t>
  </si>
  <si>
    <t>Súhrnná tabuľka o rozpise dotácie STU k _31_12_2022- AS_SR_definitívny</t>
  </si>
  <si>
    <t>Dodatok č.7-uhradenie vyplatených príspevkov na rekreácie zamestnancov 1-9/2022 - účelová</t>
  </si>
  <si>
    <t>Dodatok č.3_RI 46933-odstránenie havarijnej sitácie aktívnej vrstvy počítačovej siete dátového centra budovy FEI</t>
  </si>
  <si>
    <t>Dodatok č.7-úprava dotácie po korekcii skupín financovania absolventov</t>
  </si>
  <si>
    <t>presun z Dodatku č.4 - z dôvovu vyplatenia UM z r STU</t>
  </si>
  <si>
    <t>Dodatok č 7 - presun z programu-na základe účtovania na programe 077 15 03</t>
  </si>
  <si>
    <t>DOTÁCIE BV SPOLU k 31.12.2022</t>
  </si>
  <si>
    <t>Schválená dotácia AS 2022</t>
  </si>
  <si>
    <t>Dodatok č.3_RI 46941-rekonštrukcia výťahov ŠDaJ M.Uhra</t>
  </si>
  <si>
    <t>Dodatok č.3_RI 46941-rekonštrukcia výťahov ŠDaJ M.Uhra-077 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</si>
</sst>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0000"/>
    <numFmt numFmtId="175" formatCode="0.0"/>
    <numFmt numFmtId="176" formatCode="0.0000_ ;[Red]\-0.0000\ "/>
    <numFmt numFmtId="177" formatCode="0_ ;[Red]\-0\ "/>
    <numFmt numFmtId="178" formatCode="#,##0.000"/>
    <numFmt numFmtId="179" formatCode="#,##0.0000"/>
    <numFmt numFmtId="180" formatCode="#,##0.0"/>
    <numFmt numFmtId="181" formatCode="0.0000"/>
    <numFmt numFmtId="182" formatCode="#,##0.00000"/>
    <numFmt numFmtId="183" formatCode="#,##0.000000"/>
    <numFmt numFmtId="184" formatCode="#,##0.0000000"/>
    <numFmt numFmtId="185" formatCode="_-* #,##0.000\ _S_k_-;\-* #,##0.000\ _S_k_-;_-* &quot;-&quot;??\ _S_k_-;_-@_-"/>
    <numFmt numFmtId="186" formatCode="_-* #,##0.0000\ _S_k_-;\-* #,##0.0000\ _S_k_-;_-* &quot;-&quot;??\ _S_k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9"/>
      <color indexed="36"/>
      <name val="Calibri"/>
      <family val="2"/>
    </font>
    <font>
      <sz val="9"/>
      <color indexed="4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57"/>
      <name val="Calibri"/>
      <family val="2"/>
    </font>
    <font>
      <sz val="9"/>
      <color indexed="36"/>
      <name val="Calibri"/>
      <family val="2"/>
    </font>
    <font>
      <sz val="9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57"/>
      <name val="Calibri"/>
      <family val="2"/>
    </font>
    <font>
      <b/>
      <sz val="9"/>
      <color indexed="48"/>
      <name val="Calibri"/>
      <family val="2"/>
    </font>
    <font>
      <b/>
      <i/>
      <sz val="9"/>
      <color indexed="57"/>
      <name val="Calibri"/>
      <family val="2"/>
    </font>
    <font>
      <i/>
      <sz val="9"/>
      <color indexed="48"/>
      <name val="Calibri"/>
      <family val="2"/>
    </font>
    <font>
      <i/>
      <sz val="9"/>
      <color indexed="10"/>
      <name val="Calibri"/>
      <family val="2"/>
    </font>
    <font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7030A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6" tint="-0.24997000396251678"/>
      <name val="Calibri"/>
      <family val="2"/>
    </font>
    <font>
      <i/>
      <sz val="9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4" fontId="21" fillId="0" borderId="10" xfId="54" applyNumberFormat="1" applyFont="1" applyFill="1" applyBorder="1">
      <alignment/>
      <protection/>
    </xf>
    <xf numFmtId="4" fontId="21" fillId="0" borderId="11" xfId="54" applyNumberFormat="1" applyFont="1" applyFill="1" applyBorder="1">
      <alignment/>
      <protection/>
    </xf>
    <xf numFmtId="0" fontId="22" fillId="0" borderId="12" xfId="55" applyFont="1" applyFill="1" applyBorder="1" applyAlignment="1">
      <alignment horizontal="left"/>
      <protection/>
    </xf>
    <xf numFmtId="4" fontId="21" fillId="0" borderId="12" xfId="54" applyNumberFormat="1" applyFont="1" applyFill="1" applyBorder="1">
      <alignment/>
      <protection/>
    </xf>
    <xf numFmtId="0" fontId="22" fillId="0" borderId="13" xfId="54" applyFont="1" applyFill="1" applyBorder="1" applyAlignment="1">
      <alignment wrapText="1"/>
      <protection/>
    </xf>
    <xf numFmtId="0" fontId="22" fillId="0" borderId="11" xfId="54" applyFont="1" applyFill="1" applyBorder="1" applyAlignment="1">
      <alignment wrapText="1"/>
      <protection/>
    </xf>
    <xf numFmtId="0" fontId="23" fillId="0" borderId="0" xfId="54" applyFont="1">
      <alignment/>
      <protection/>
    </xf>
    <xf numFmtId="4" fontId="23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23" fillId="0" borderId="14" xfId="54" applyFont="1" applyBorder="1">
      <alignment/>
      <protection/>
    </xf>
    <xf numFmtId="0" fontId="23" fillId="0" borderId="15" xfId="54" applyFont="1" applyBorder="1">
      <alignment/>
      <protection/>
    </xf>
    <xf numFmtId="4" fontId="23" fillId="0" borderId="15" xfId="54" applyNumberFormat="1" applyFont="1" applyBorder="1" applyAlignment="1">
      <alignment horizontal="center"/>
      <protection/>
    </xf>
    <xf numFmtId="4" fontId="23" fillId="0" borderId="14" xfId="54" applyNumberFormat="1" applyFont="1" applyBorder="1" applyAlignment="1">
      <alignment horizontal="center" wrapText="1"/>
      <protection/>
    </xf>
    <xf numFmtId="4" fontId="23" fillId="0" borderId="16" xfId="54" applyNumberFormat="1" applyFont="1" applyBorder="1" applyAlignment="1">
      <alignment horizontal="center"/>
      <protection/>
    </xf>
    <xf numFmtId="4" fontId="23" fillId="33" borderId="15" xfId="56" applyNumberFormat="1" applyFont="1" applyFill="1" applyBorder="1" applyAlignment="1">
      <alignment horizontal="center"/>
      <protection/>
    </xf>
    <xf numFmtId="4" fontId="23" fillId="0" borderId="15" xfId="54" applyNumberFormat="1" applyFont="1" applyBorder="1" applyAlignment="1">
      <alignment horizontal="center" wrapText="1"/>
      <protection/>
    </xf>
    <xf numFmtId="4" fontId="24" fillId="33" borderId="16" xfId="56" applyNumberFormat="1" applyFont="1" applyFill="1" applyBorder="1" applyAlignment="1">
      <alignment horizontal="center" wrapText="1"/>
      <protection/>
    </xf>
    <xf numFmtId="4" fontId="24" fillId="33" borderId="15" xfId="58" applyNumberFormat="1" applyFont="1" applyFill="1" applyBorder="1" applyAlignment="1">
      <alignment wrapText="1"/>
      <protection/>
    </xf>
    <xf numFmtId="0" fontId="23" fillId="34" borderId="14" xfId="54" applyFont="1" applyFill="1" applyBorder="1">
      <alignment/>
      <protection/>
    </xf>
    <xf numFmtId="0" fontId="23" fillId="34" borderId="15" xfId="54" applyFont="1" applyFill="1" applyBorder="1">
      <alignment/>
      <protection/>
    </xf>
    <xf numFmtId="4" fontId="23" fillId="34" borderId="17" xfId="54" applyNumberFormat="1" applyFont="1" applyFill="1" applyBorder="1">
      <alignment/>
      <protection/>
    </xf>
    <xf numFmtId="4" fontId="23" fillId="34" borderId="18" xfId="54" applyNumberFormat="1" applyFont="1" applyFill="1" applyBorder="1">
      <alignment/>
      <protection/>
    </xf>
    <xf numFmtId="4" fontId="23" fillId="34" borderId="19" xfId="54" applyNumberFormat="1" applyFont="1" applyFill="1" applyBorder="1">
      <alignment/>
      <protection/>
    </xf>
    <xf numFmtId="4" fontId="58" fillId="34" borderId="17" xfId="54" applyNumberFormat="1" applyFont="1" applyFill="1" applyBorder="1">
      <alignment/>
      <protection/>
    </xf>
    <xf numFmtId="4" fontId="23" fillId="35" borderId="17" xfId="54" applyNumberFormat="1" applyFont="1" applyFill="1" applyBorder="1">
      <alignment/>
      <protection/>
    </xf>
    <xf numFmtId="4" fontId="21" fillId="0" borderId="0" xfId="0" applyNumberFormat="1" applyFont="1" applyAlignment="1">
      <alignment/>
    </xf>
    <xf numFmtId="0" fontId="23" fillId="36" borderId="14" xfId="54" applyFont="1" applyFill="1" applyBorder="1">
      <alignment/>
      <protection/>
    </xf>
    <xf numFmtId="0" fontId="23" fillId="36" borderId="15" xfId="54" applyFont="1" applyFill="1" applyBorder="1" applyAlignment="1">
      <alignment wrapText="1"/>
      <protection/>
    </xf>
    <xf numFmtId="4" fontId="23" fillId="36" borderId="15" xfId="54" applyNumberFormat="1" applyFont="1" applyFill="1" applyBorder="1">
      <alignment/>
      <protection/>
    </xf>
    <xf numFmtId="4" fontId="23" fillId="36" borderId="14" xfId="54" applyNumberFormat="1" applyFont="1" applyFill="1" applyBorder="1">
      <alignment/>
      <protection/>
    </xf>
    <xf numFmtId="4" fontId="23" fillId="36" borderId="16" xfId="54" applyNumberFormat="1" applyFont="1" applyFill="1" applyBorder="1">
      <alignment/>
      <protection/>
    </xf>
    <xf numFmtId="4" fontId="21" fillId="0" borderId="13" xfId="54" applyNumberFormat="1" applyFont="1" applyFill="1" applyBorder="1">
      <alignment/>
      <protection/>
    </xf>
    <xf numFmtId="4" fontId="21" fillId="0" borderId="20" xfId="54" applyNumberFormat="1" applyFont="1" applyFill="1" applyBorder="1">
      <alignment/>
      <protection/>
    </xf>
    <xf numFmtId="4" fontId="21" fillId="0" borderId="21" xfId="54" applyNumberFormat="1" applyFont="1" applyFill="1" applyBorder="1">
      <alignment/>
      <protection/>
    </xf>
    <xf numFmtId="49" fontId="21" fillId="0" borderId="11" xfId="54" applyNumberFormat="1" applyFont="1" applyFill="1" applyBorder="1">
      <alignment/>
      <protection/>
    </xf>
    <xf numFmtId="0" fontId="21" fillId="0" borderId="0" xfId="0" applyFont="1" applyAlignment="1">
      <alignment wrapText="1"/>
    </xf>
    <xf numFmtId="0" fontId="21" fillId="37" borderId="0" xfId="0" applyFont="1" applyFill="1" applyAlignment="1">
      <alignment/>
    </xf>
    <xf numFmtId="0" fontId="21" fillId="0" borderId="0" xfId="0" applyFont="1" applyFill="1" applyAlignment="1">
      <alignment/>
    </xf>
    <xf numFmtId="4" fontId="21" fillId="0" borderId="11" xfId="56" applyNumberFormat="1" applyFont="1" applyFill="1" applyBorder="1">
      <alignment/>
      <protection/>
    </xf>
    <xf numFmtId="4" fontId="23" fillId="0" borderId="22" xfId="54" applyNumberFormat="1" applyFont="1" applyFill="1" applyBorder="1">
      <alignment/>
      <protection/>
    </xf>
    <xf numFmtId="4" fontId="23" fillId="0" borderId="23" xfId="54" applyNumberFormat="1" applyFont="1" applyFill="1" applyBorder="1">
      <alignment/>
      <protection/>
    </xf>
    <xf numFmtId="0" fontId="26" fillId="0" borderId="0" xfId="0" applyFont="1" applyAlignment="1">
      <alignment/>
    </xf>
    <xf numFmtId="4" fontId="23" fillId="0" borderId="24" xfId="54" applyNumberFormat="1" applyFont="1" applyFill="1" applyBorder="1">
      <alignment/>
      <protection/>
    </xf>
    <xf numFmtId="4" fontId="23" fillId="0" borderId="12" xfId="54" applyNumberFormat="1" applyFont="1" applyFill="1" applyBorder="1">
      <alignment/>
      <protection/>
    </xf>
    <xf numFmtId="4" fontId="21" fillId="0" borderId="25" xfId="54" applyNumberFormat="1" applyFont="1" applyFill="1" applyBorder="1">
      <alignment/>
      <protection/>
    </xf>
    <xf numFmtId="4" fontId="21" fillId="0" borderId="26" xfId="54" applyNumberFormat="1" applyFont="1" applyFill="1" applyBorder="1">
      <alignment/>
      <protection/>
    </xf>
    <xf numFmtId="4" fontId="21" fillId="0" borderId="27" xfId="54" applyNumberFormat="1" applyFont="1" applyFill="1" applyBorder="1">
      <alignment/>
      <protection/>
    </xf>
    <xf numFmtId="4" fontId="21" fillId="0" borderId="28" xfId="55" applyNumberFormat="1" applyFont="1" applyFill="1" applyBorder="1">
      <alignment/>
      <protection/>
    </xf>
    <xf numFmtId="49" fontId="21" fillId="0" borderId="28" xfId="55" applyNumberFormat="1" applyFont="1" applyFill="1" applyBorder="1" applyAlignment="1">
      <alignment horizontal="left"/>
      <protection/>
    </xf>
    <xf numFmtId="4" fontId="22" fillId="0" borderId="28" xfId="55" applyNumberFormat="1" applyFont="1" applyFill="1" applyBorder="1">
      <alignment/>
      <protection/>
    </xf>
    <xf numFmtId="4" fontId="24" fillId="0" borderId="28" xfId="55" applyNumberFormat="1" applyFont="1" applyFill="1" applyBorder="1">
      <alignment/>
      <protection/>
    </xf>
    <xf numFmtId="4" fontId="23" fillId="37" borderId="28" xfId="54" applyNumberFormat="1" applyFont="1" applyFill="1" applyBorder="1">
      <alignment/>
      <protection/>
    </xf>
    <xf numFmtId="49" fontId="21" fillId="37" borderId="11" xfId="54" applyNumberFormat="1" applyFont="1" applyFill="1" applyBorder="1" applyAlignment="1">
      <alignment horizontal="left"/>
      <protection/>
    </xf>
    <xf numFmtId="4" fontId="21" fillId="0" borderId="28" xfId="54" applyNumberFormat="1" applyFont="1" applyFill="1" applyBorder="1">
      <alignment/>
      <protection/>
    </xf>
    <xf numFmtId="4" fontId="21" fillId="0" borderId="28" xfId="0" applyNumberFormat="1" applyFont="1" applyFill="1" applyBorder="1" applyAlignment="1">
      <alignment/>
    </xf>
    <xf numFmtId="4" fontId="23" fillId="0" borderId="28" xfId="54" applyNumberFormat="1" applyFont="1" applyFill="1" applyBorder="1">
      <alignment/>
      <protection/>
    </xf>
    <xf numFmtId="4" fontId="21" fillId="0" borderId="0" xfId="54" applyNumberFormat="1" applyFont="1" applyFill="1" applyBorder="1">
      <alignment/>
      <protection/>
    </xf>
    <xf numFmtId="4" fontId="22" fillId="0" borderId="28" xfId="54" applyNumberFormat="1" applyFont="1" applyFill="1" applyBorder="1">
      <alignment/>
      <protection/>
    </xf>
    <xf numFmtId="0" fontId="21" fillId="0" borderId="28" xfId="54" applyFont="1" applyFill="1" applyBorder="1">
      <alignment/>
      <protection/>
    </xf>
    <xf numFmtId="49" fontId="22" fillId="0" borderId="28" xfId="54" applyNumberFormat="1" applyFont="1" applyFill="1" applyBorder="1" applyAlignment="1">
      <alignment horizontal="left"/>
      <protection/>
    </xf>
    <xf numFmtId="0" fontId="21" fillId="0" borderId="28" xfId="54" applyFont="1" applyFill="1" applyBorder="1" applyAlignment="1">
      <alignment wrapText="1"/>
      <protection/>
    </xf>
    <xf numFmtId="49" fontId="21" fillId="37" borderId="28" xfId="54" applyNumberFormat="1" applyFont="1" applyFill="1" applyBorder="1" applyAlignment="1">
      <alignment horizontal="left"/>
      <protection/>
    </xf>
    <xf numFmtId="4" fontId="59" fillId="0" borderId="28" xfId="54" applyNumberFormat="1" applyFont="1" applyFill="1" applyBorder="1">
      <alignment/>
      <protection/>
    </xf>
    <xf numFmtId="0" fontId="21" fillId="36" borderId="29" xfId="54" applyFont="1" applyFill="1" applyBorder="1">
      <alignment/>
      <protection/>
    </xf>
    <xf numFmtId="49" fontId="22" fillId="36" borderId="10" xfId="54" applyNumberFormat="1" applyFont="1" applyFill="1" applyBorder="1">
      <alignment/>
      <protection/>
    </xf>
    <xf numFmtId="4" fontId="22" fillId="36" borderId="10" xfId="54" applyNumberFormat="1" applyFont="1" applyFill="1" applyBorder="1">
      <alignment/>
      <protection/>
    </xf>
    <xf numFmtId="4" fontId="23" fillId="34" borderId="15" xfId="54" applyNumberFormat="1" applyFont="1" applyFill="1" applyBorder="1">
      <alignment/>
      <protection/>
    </xf>
    <xf numFmtId="4" fontId="23" fillId="34" borderId="14" xfId="54" applyNumberFormat="1" applyFont="1" applyFill="1" applyBorder="1">
      <alignment/>
      <protection/>
    </xf>
    <xf numFmtId="4" fontId="23" fillId="34" borderId="16" xfId="54" applyNumberFormat="1" applyFont="1" applyFill="1" applyBorder="1">
      <alignment/>
      <protection/>
    </xf>
    <xf numFmtId="4" fontId="23" fillId="0" borderId="15" xfId="54" applyNumberFormat="1" applyFont="1" applyBorder="1">
      <alignment/>
      <protection/>
    </xf>
    <xf numFmtId="4" fontId="23" fillId="0" borderId="14" xfId="54" applyNumberFormat="1" applyFont="1" applyBorder="1">
      <alignment/>
      <protection/>
    </xf>
    <xf numFmtId="4" fontId="23" fillId="0" borderId="16" xfId="54" applyNumberFormat="1" applyFont="1" applyBorder="1">
      <alignment/>
      <protection/>
    </xf>
    <xf numFmtId="4" fontId="23" fillId="0" borderId="0" xfId="54" applyNumberFormat="1" applyFont="1" applyBorder="1">
      <alignment/>
      <protection/>
    </xf>
    <xf numFmtId="0" fontId="27" fillId="0" borderId="0" xfId="54" applyFont="1">
      <alignment/>
      <protection/>
    </xf>
    <xf numFmtId="0" fontId="27" fillId="0" borderId="0" xfId="54" applyFont="1" applyAlignment="1">
      <alignment horizontal="right"/>
      <protection/>
    </xf>
    <xf numFmtId="4" fontId="27" fillId="0" borderId="0" xfId="54" applyNumberFormat="1" applyFont="1">
      <alignment/>
      <protection/>
    </xf>
    <xf numFmtId="0" fontId="28" fillId="0" borderId="0" xfId="0" applyFont="1" applyAlignment="1">
      <alignment horizontal="right"/>
    </xf>
    <xf numFmtId="0" fontId="28" fillId="0" borderId="0" xfId="54" applyFont="1">
      <alignment/>
      <protection/>
    </xf>
    <xf numFmtId="4" fontId="28" fillId="0" borderId="0" xfId="54" applyNumberFormat="1" applyFont="1">
      <alignment/>
      <protection/>
    </xf>
    <xf numFmtId="4" fontId="28" fillId="0" borderId="12" xfId="54" applyNumberFormat="1" applyFont="1" applyBorder="1">
      <alignment/>
      <protection/>
    </xf>
    <xf numFmtId="4" fontId="28" fillId="0" borderId="0" xfId="54" applyNumberFormat="1" applyFont="1" applyBorder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29" fillId="0" borderId="0" xfId="54" applyFont="1">
      <alignment/>
      <protection/>
    </xf>
    <xf numFmtId="4" fontId="25" fillId="0" borderId="0" xfId="54" applyNumberFormat="1" applyFont="1">
      <alignment/>
      <protection/>
    </xf>
    <xf numFmtId="4" fontId="25" fillId="0" borderId="12" xfId="54" applyNumberFormat="1" applyFont="1" applyBorder="1">
      <alignment/>
      <protection/>
    </xf>
    <xf numFmtId="4" fontId="25" fillId="0" borderId="0" xfId="54" applyNumberFormat="1" applyFont="1" applyBorder="1">
      <alignment/>
      <protection/>
    </xf>
    <xf numFmtId="0" fontId="23" fillId="0" borderId="16" xfId="54" applyFont="1" applyBorder="1">
      <alignment/>
      <protection/>
    </xf>
    <xf numFmtId="4" fontId="23" fillId="0" borderId="14" xfId="54" applyNumberFormat="1" applyFont="1" applyBorder="1" applyAlignment="1">
      <alignment horizontal="center"/>
      <protection/>
    </xf>
    <xf numFmtId="4" fontId="23" fillId="0" borderId="30" xfId="54" applyNumberFormat="1" applyFont="1" applyBorder="1" applyAlignment="1">
      <alignment horizontal="center"/>
      <protection/>
    </xf>
    <xf numFmtId="4" fontId="23" fillId="0" borderId="31" xfId="54" applyNumberFormat="1" applyFont="1" applyBorder="1" applyAlignment="1">
      <alignment horizontal="center"/>
      <protection/>
    </xf>
    <xf numFmtId="4" fontId="23" fillId="0" borderId="32" xfId="54" applyNumberFormat="1" applyFont="1" applyBorder="1" applyAlignment="1">
      <alignment horizontal="center"/>
      <protection/>
    </xf>
    <xf numFmtId="0" fontId="23" fillId="38" borderId="16" xfId="54" applyFont="1" applyFill="1" applyBorder="1">
      <alignment/>
      <protection/>
    </xf>
    <xf numFmtId="4" fontId="23" fillId="38" borderId="14" xfId="54" applyNumberFormat="1" applyFont="1" applyFill="1" applyBorder="1">
      <alignment/>
      <protection/>
    </xf>
    <xf numFmtId="4" fontId="23" fillId="38" borderId="15" xfId="54" applyNumberFormat="1" applyFont="1" applyFill="1" applyBorder="1">
      <alignment/>
      <protection/>
    </xf>
    <xf numFmtId="4" fontId="23" fillId="38" borderId="30" xfId="54" applyNumberFormat="1" applyFont="1" applyFill="1" applyBorder="1">
      <alignment/>
      <protection/>
    </xf>
    <xf numFmtId="4" fontId="23" fillId="38" borderId="33" xfId="54" applyNumberFormat="1" applyFont="1" applyFill="1" applyBorder="1">
      <alignment/>
      <protection/>
    </xf>
    <xf numFmtId="0" fontId="23" fillId="39" borderId="20" xfId="54" applyFont="1" applyFill="1" applyBorder="1">
      <alignment/>
      <protection/>
    </xf>
    <xf numFmtId="0" fontId="23" fillId="0" borderId="34" xfId="54" applyFont="1" applyFill="1" applyBorder="1">
      <alignment/>
      <protection/>
    </xf>
    <xf numFmtId="4" fontId="21" fillId="0" borderId="35" xfId="54" applyNumberFormat="1" applyFont="1" applyFill="1" applyBorder="1">
      <alignment/>
      <protection/>
    </xf>
    <xf numFmtId="4" fontId="21" fillId="0" borderId="36" xfId="54" applyNumberFormat="1" applyFont="1" applyBorder="1">
      <alignment/>
      <protection/>
    </xf>
    <xf numFmtId="4" fontId="21" fillId="0" borderId="37" xfId="54" applyNumberFormat="1" applyFont="1" applyBorder="1">
      <alignment/>
      <protection/>
    </xf>
    <xf numFmtId="4" fontId="21" fillId="0" borderId="38" xfId="54" applyNumberFormat="1" applyFont="1" applyBorder="1">
      <alignment/>
      <protection/>
    </xf>
    <xf numFmtId="4" fontId="21" fillId="0" borderId="39" xfId="54" applyNumberFormat="1" applyFont="1" applyBorder="1">
      <alignment/>
      <protection/>
    </xf>
    <xf numFmtId="4" fontId="21" fillId="0" borderId="11" xfId="54" applyNumberFormat="1" applyFont="1" applyBorder="1">
      <alignment/>
      <protection/>
    </xf>
    <xf numFmtId="4" fontId="21" fillId="0" borderId="26" xfId="54" applyNumberFormat="1" applyFont="1" applyBorder="1">
      <alignment/>
      <protection/>
    </xf>
    <xf numFmtId="4" fontId="21" fillId="0" borderId="28" xfId="54" applyNumberFormat="1" applyFont="1" applyBorder="1">
      <alignment/>
      <protection/>
    </xf>
    <xf numFmtId="49" fontId="21" fillId="0" borderId="22" xfId="54" applyNumberFormat="1" applyFont="1" applyFill="1" applyBorder="1" applyAlignment="1">
      <alignment horizontal="left"/>
      <protection/>
    </xf>
    <xf numFmtId="0" fontId="21" fillId="0" borderId="11" xfId="54" applyFont="1" applyFill="1" applyBorder="1" applyAlignment="1">
      <alignment vertical="top" wrapText="1"/>
      <protection/>
    </xf>
    <xf numFmtId="0" fontId="24" fillId="37" borderId="11" xfId="54" applyFont="1" applyFill="1" applyBorder="1">
      <alignment/>
      <protection/>
    </xf>
    <xf numFmtId="0" fontId="23" fillId="0" borderId="21" xfId="54" applyFont="1" applyFill="1" applyBorder="1" applyAlignment="1">
      <alignment horizontal="left"/>
      <protection/>
    </xf>
    <xf numFmtId="0" fontId="21" fillId="0" borderId="11" xfId="54" applyFont="1" applyFill="1" applyBorder="1">
      <alignment/>
      <protection/>
    </xf>
    <xf numFmtId="0" fontId="21" fillId="0" borderId="13" xfId="54" applyFont="1" applyFill="1" applyBorder="1">
      <alignment/>
      <protection/>
    </xf>
    <xf numFmtId="49" fontId="21" fillId="0" borderId="21" xfId="54" applyNumberFormat="1" applyFont="1" applyFill="1" applyBorder="1" applyAlignment="1">
      <alignment horizontal="left"/>
      <protection/>
    </xf>
    <xf numFmtId="49" fontId="21" fillId="0" borderId="21" xfId="54" applyNumberFormat="1" applyFont="1" applyFill="1" applyBorder="1" applyAlignment="1">
      <alignment horizontal="right"/>
      <protection/>
    </xf>
    <xf numFmtId="49" fontId="21" fillId="0" borderId="22" xfId="54" applyNumberFormat="1" applyFont="1" applyFill="1" applyBorder="1" applyAlignment="1">
      <alignment horizontal="right"/>
      <protection/>
    </xf>
    <xf numFmtId="4" fontId="21" fillId="0" borderId="40" xfId="54" applyNumberFormat="1" applyFont="1" applyBorder="1">
      <alignment/>
      <protection/>
    </xf>
    <xf numFmtId="4" fontId="21" fillId="0" borderId="41" xfId="54" applyNumberFormat="1" applyFont="1" applyBorder="1">
      <alignment/>
      <protection/>
    </xf>
    <xf numFmtId="4" fontId="21" fillId="0" borderId="41" xfId="56" applyNumberFormat="1" applyFont="1" applyFill="1" applyBorder="1">
      <alignment/>
      <protection/>
    </xf>
    <xf numFmtId="4" fontId="21" fillId="0" borderId="42" xfId="54" applyNumberFormat="1" applyFont="1" applyBorder="1">
      <alignment/>
      <protection/>
    </xf>
    <xf numFmtId="0" fontId="21" fillId="0" borderId="41" xfId="54" applyFont="1" applyFill="1" applyBorder="1">
      <alignment/>
      <protection/>
    </xf>
    <xf numFmtId="0" fontId="21" fillId="0" borderId="24" xfId="54" applyFont="1" applyFill="1" applyBorder="1" applyAlignment="1">
      <alignment horizontal="left"/>
      <protection/>
    </xf>
    <xf numFmtId="4" fontId="21" fillId="0" borderId="29" xfId="54" applyNumberFormat="1" applyFont="1" applyBorder="1">
      <alignment/>
      <protection/>
    </xf>
    <xf numFmtId="4" fontId="21" fillId="0" borderId="10" xfId="54" applyNumberFormat="1" applyFont="1" applyBorder="1">
      <alignment/>
      <protection/>
    </xf>
    <xf numFmtId="4" fontId="21" fillId="0" borderId="43" xfId="54" applyNumberFormat="1" applyFont="1" applyBorder="1">
      <alignment/>
      <protection/>
    </xf>
    <xf numFmtId="4" fontId="21" fillId="0" borderId="44" xfId="54" applyNumberFormat="1" applyFont="1" applyBorder="1">
      <alignment/>
      <protection/>
    </xf>
    <xf numFmtId="0" fontId="22" fillId="40" borderId="14" xfId="54" applyFont="1" applyFill="1" applyBorder="1">
      <alignment/>
      <protection/>
    </xf>
    <xf numFmtId="0" fontId="21" fillId="40" borderId="16" xfId="54" applyFont="1" applyFill="1" applyBorder="1">
      <alignment/>
      <protection/>
    </xf>
    <xf numFmtId="4" fontId="23" fillId="40" borderId="14" xfId="54" applyNumberFormat="1" applyFont="1" applyFill="1" applyBorder="1">
      <alignment/>
      <protection/>
    </xf>
    <xf numFmtId="4" fontId="23" fillId="40" borderId="15" xfId="54" applyNumberFormat="1" applyFont="1" applyFill="1" applyBorder="1">
      <alignment/>
      <protection/>
    </xf>
    <xf numFmtId="4" fontId="23" fillId="40" borderId="30" xfId="54" applyNumberFormat="1" applyFont="1" applyFill="1" applyBorder="1">
      <alignment/>
      <protection/>
    </xf>
    <xf numFmtId="4" fontId="22" fillId="40" borderId="15" xfId="54" applyNumberFormat="1" applyFont="1" applyFill="1" applyBorder="1">
      <alignment/>
      <protection/>
    </xf>
    <xf numFmtId="0" fontId="22" fillId="36" borderId="29" xfId="54" applyFont="1" applyFill="1" applyBorder="1">
      <alignment/>
      <protection/>
    </xf>
    <xf numFmtId="0" fontId="21" fillId="36" borderId="45" xfId="54" applyFont="1" applyFill="1" applyBorder="1">
      <alignment/>
      <protection/>
    </xf>
    <xf numFmtId="4" fontId="22" fillId="36" borderId="29" xfId="54" applyNumberFormat="1" applyFont="1" applyFill="1" applyBorder="1">
      <alignment/>
      <protection/>
    </xf>
    <xf numFmtId="4" fontId="22" fillId="36" borderId="43" xfId="54" applyNumberFormat="1" applyFont="1" applyFill="1" applyBorder="1">
      <alignment/>
      <protection/>
    </xf>
    <xf numFmtId="0" fontId="23" fillId="34" borderId="16" xfId="54" applyFont="1" applyFill="1" applyBorder="1">
      <alignment/>
      <protection/>
    </xf>
    <xf numFmtId="4" fontId="23" fillId="34" borderId="30" xfId="54" applyNumberFormat="1" applyFont="1" applyFill="1" applyBorder="1">
      <alignment/>
      <protection/>
    </xf>
    <xf numFmtId="4" fontId="23" fillId="34" borderId="46" xfId="54" applyNumberFormat="1" applyFont="1" applyFill="1" applyBorder="1">
      <alignment/>
      <protection/>
    </xf>
    <xf numFmtId="4" fontId="23" fillId="0" borderId="30" xfId="54" applyNumberFormat="1" applyFont="1" applyBorder="1">
      <alignment/>
      <protection/>
    </xf>
    <xf numFmtId="4" fontId="23" fillId="0" borderId="33" xfId="54" applyNumberFormat="1" applyFont="1" applyBorder="1">
      <alignment/>
      <protection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54" applyNumberFormat="1" applyFont="1" applyFill="1" applyBorder="1">
      <alignment/>
      <protection/>
    </xf>
    <xf numFmtId="4" fontId="58" fillId="0" borderId="0" xfId="0" applyNumberFormat="1" applyFont="1" applyAlignment="1">
      <alignment/>
    </xf>
    <xf numFmtId="4" fontId="21" fillId="41" borderId="0" xfId="0" applyNumberFormat="1" applyFont="1" applyFill="1" applyAlignment="1">
      <alignment/>
    </xf>
    <xf numFmtId="0" fontId="23" fillId="39" borderId="47" xfId="54" applyFont="1" applyFill="1" applyBorder="1">
      <alignment/>
      <protection/>
    </xf>
    <xf numFmtId="0" fontId="23" fillId="0" borderId="32" xfId="54" applyFont="1" applyFill="1" applyBorder="1">
      <alignment/>
      <protection/>
    </xf>
    <xf numFmtId="4" fontId="21" fillId="0" borderId="32" xfId="54" applyNumberFormat="1" applyFont="1" applyFill="1" applyBorder="1">
      <alignment/>
      <protection/>
    </xf>
    <xf numFmtId="0" fontId="21" fillId="39" borderId="29" xfId="54" applyFont="1" applyFill="1" applyBorder="1">
      <alignment/>
      <protection/>
    </xf>
    <xf numFmtId="49" fontId="22" fillId="39" borderId="10" xfId="54" applyNumberFormat="1" applyFont="1" applyFill="1" applyBorder="1">
      <alignment/>
      <protection/>
    </xf>
    <xf numFmtId="4" fontId="22" fillId="39" borderId="10" xfId="54" applyNumberFormat="1" applyFont="1" applyFill="1" applyBorder="1">
      <alignment/>
      <protection/>
    </xf>
    <xf numFmtId="4" fontId="22" fillId="39" borderId="29" xfId="54" applyNumberFormat="1" applyFont="1" applyFill="1" applyBorder="1">
      <alignment/>
      <protection/>
    </xf>
    <xf numFmtId="4" fontId="22" fillId="39" borderId="45" xfId="54" applyNumberFormat="1" applyFont="1" applyFill="1" applyBorder="1">
      <alignment/>
      <protection/>
    </xf>
    <xf numFmtId="49" fontId="21" fillId="0" borderId="28" xfId="54" applyNumberFormat="1" applyFont="1" applyFill="1" applyBorder="1">
      <alignment/>
      <protection/>
    </xf>
    <xf numFmtId="4" fontId="60" fillId="0" borderId="28" xfId="54" applyNumberFormat="1" applyFont="1" applyFill="1" applyBorder="1">
      <alignment/>
      <protection/>
    </xf>
    <xf numFmtId="4" fontId="21" fillId="0" borderId="28" xfId="55" applyNumberFormat="1" applyFont="1" applyFill="1" applyBorder="1" applyAlignment="1">
      <alignment wrapText="1"/>
      <protection/>
    </xf>
    <xf numFmtId="4" fontId="21" fillId="0" borderId="28" xfId="54" applyNumberFormat="1" applyFont="1" applyFill="1" applyBorder="1" applyAlignment="1">
      <alignment wrapText="1"/>
      <protection/>
    </xf>
    <xf numFmtId="49" fontId="21" fillId="0" borderId="28" xfId="55" applyNumberFormat="1" applyFont="1" applyFill="1" applyBorder="1">
      <alignment/>
      <protection/>
    </xf>
    <xf numFmtId="4" fontId="28" fillId="0" borderId="28" xfId="54" applyNumberFormat="1" applyFont="1" applyFill="1" applyBorder="1">
      <alignment/>
      <protection/>
    </xf>
    <xf numFmtId="4" fontId="61" fillId="0" borderId="28" xfId="54" applyNumberFormat="1" applyFont="1" applyFill="1" applyBorder="1">
      <alignment/>
      <protection/>
    </xf>
    <xf numFmtId="4" fontId="59" fillId="0" borderId="28" xfId="54" applyNumberFormat="1" applyFont="1" applyFill="1" applyBorder="1" applyAlignment="1">
      <alignment wrapText="1"/>
      <protection/>
    </xf>
    <xf numFmtId="4" fontId="61" fillId="0" borderId="28" xfId="54" applyNumberFormat="1" applyFont="1" applyFill="1" applyBorder="1" applyAlignment="1">
      <alignment wrapText="1"/>
      <protection/>
    </xf>
    <xf numFmtId="4" fontId="27" fillId="0" borderId="28" xfId="54" applyNumberFormat="1" applyFont="1" applyFill="1" applyBorder="1" applyAlignment="1">
      <alignment wrapText="1"/>
      <protection/>
    </xf>
    <xf numFmtId="49" fontId="21" fillId="0" borderId="28" xfId="54" applyNumberFormat="1" applyFont="1" applyFill="1" applyBorder="1" applyAlignment="1">
      <alignment horizontal="left" wrapText="1"/>
      <protection/>
    </xf>
    <xf numFmtId="0" fontId="21" fillId="37" borderId="28" xfId="54" applyFont="1" applyFill="1" applyBorder="1" applyAlignment="1">
      <alignment wrapText="1"/>
      <protection/>
    </xf>
    <xf numFmtId="49" fontId="21" fillId="37" borderId="28" xfId="54" applyNumberFormat="1" applyFont="1" applyFill="1" applyBorder="1">
      <alignment/>
      <protection/>
    </xf>
    <xf numFmtId="49" fontId="21" fillId="0" borderId="28" xfId="54" applyNumberFormat="1" applyFont="1" applyFill="1" applyBorder="1" applyAlignment="1">
      <alignment horizontal="left"/>
      <protection/>
    </xf>
    <xf numFmtId="4" fontId="21" fillId="0" borderId="28" xfId="56" applyNumberFormat="1" applyFont="1" applyFill="1" applyBorder="1">
      <alignment/>
      <protection/>
    </xf>
    <xf numFmtId="49" fontId="21" fillId="0" borderId="28" xfId="54" applyNumberFormat="1" applyFont="1" applyFill="1" applyBorder="1" applyAlignment="1">
      <alignment horizontal="right"/>
      <protection/>
    </xf>
    <xf numFmtId="0" fontId="24" fillId="39" borderId="28" xfId="54" applyFont="1" applyFill="1" applyBorder="1">
      <alignment/>
      <protection/>
    </xf>
    <xf numFmtId="49" fontId="21" fillId="0" borderId="28" xfId="0" applyNumberFormat="1" applyFont="1" applyBorder="1" applyAlignment="1">
      <alignment/>
    </xf>
    <xf numFmtId="49" fontId="21" fillId="0" borderId="28" xfId="0" applyNumberFormat="1" applyFont="1" applyBorder="1" applyAlignment="1">
      <alignment horizontal="right"/>
    </xf>
    <xf numFmtId="0" fontId="22" fillId="0" borderId="28" xfId="55" applyFont="1" applyFill="1" applyBorder="1">
      <alignment/>
      <protection/>
    </xf>
    <xf numFmtId="49" fontId="21" fillId="0" borderId="28" xfId="0" applyNumberFormat="1" applyFont="1" applyBorder="1" applyAlignment="1">
      <alignment horizontal="left"/>
    </xf>
    <xf numFmtId="49" fontId="24" fillId="0" borderId="28" xfId="54" applyNumberFormat="1" applyFont="1" applyFill="1" applyBorder="1" applyAlignment="1">
      <alignment horizontal="right"/>
      <protection/>
    </xf>
    <xf numFmtId="4" fontId="24" fillId="0" borderId="28" xfId="54" applyNumberFormat="1" applyFont="1" applyFill="1" applyBorder="1">
      <alignment/>
      <protection/>
    </xf>
    <xf numFmtId="4" fontId="21" fillId="37" borderId="28" xfId="55" applyNumberFormat="1" applyFont="1" applyFill="1" applyBorder="1">
      <alignment/>
      <protection/>
    </xf>
    <xf numFmtId="4" fontId="21" fillId="37" borderId="28" xfId="54" applyNumberFormat="1" applyFont="1" applyFill="1" applyBorder="1">
      <alignment/>
      <protection/>
    </xf>
    <xf numFmtId="49" fontId="21" fillId="37" borderId="28" xfId="55" applyNumberFormat="1" applyFont="1" applyFill="1" applyBorder="1" applyAlignment="1">
      <alignment horizontal="left"/>
      <protection/>
    </xf>
    <xf numFmtId="4" fontId="21" fillId="37" borderId="28" xfId="0" applyNumberFormat="1" applyFont="1" applyFill="1" applyBorder="1" applyAlignment="1">
      <alignment/>
    </xf>
    <xf numFmtId="4" fontId="21" fillId="0" borderId="28" xfId="0" applyNumberFormat="1" applyFont="1" applyBorder="1" applyAlignment="1">
      <alignment/>
    </xf>
    <xf numFmtId="4" fontId="27" fillId="0" borderId="28" xfId="54" applyNumberFormat="1" applyFont="1" applyFill="1" applyBorder="1">
      <alignment/>
      <protection/>
    </xf>
    <xf numFmtId="4" fontId="59" fillId="0" borderId="28" xfId="55" applyNumberFormat="1" applyFont="1" applyFill="1" applyBorder="1">
      <alignment/>
      <protection/>
    </xf>
    <xf numFmtId="0" fontId="21" fillId="0" borderId="28" xfId="55" applyFont="1" applyFill="1" applyBorder="1">
      <alignment/>
      <protection/>
    </xf>
    <xf numFmtId="49" fontId="22" fillId="0" borderId="28" xfId="55" applyNumberFormat="1" applyFont="1" applyFill="1" applyBorder="1" applyAlignment="1">
      <alignment horizontal="left"/>
      <protection/>
    </xf>
    <xf numFmtId="0" fontId="21" fillId="0" borderId="28" xfId="0" applyFont="1" applyBorder="1" applyAlignment="1">
      <alignment/>
    </xf>
    <xf numFmtId="0" fontId="21" fillId="0" borderId="28" xfId="0" applyFont="1" applyFill="1" applyBorder="1" applyAlignment="1">
      <alignment/>
    </xf>
    <xf numFmtId="49" fontId="21" fillId="37" borderId="28" xfId="54" applyNumberFormat="1" applyFont="1" applyFill="1" applyBorder="1" applyAlignment="1">
      <alignment horizontal="left" wrapText="1"/>
      <protection/>
    </xf>
    <xf numFmtId="4" fontId="62" fillId="0" borderId="0" xfId="54" applyNumberFormat="1" applyFont="1">
      <alignment/>
      <protection/>
    </xf>
    <xf numFmtId="4" fontId="62" fillId="37" borderId="0" xfId="54" applyNumberFormat="1" applyFont="1" applyFill="1">
      <alignment/>
      <protection/>
    </xf>
    <xf numFmtId="0" fontId="23" fillId="0" borderId="0" xfId="0" applyFont="1" applyAlignment="1">
      <alignment horizontal="right"/>
    </xf>
    <xf numFmtId="4" fontId="23" fillId="0" borderId="12" xfId="54" applyNumberFormat="1" applyFont="1" applyBorder="1">
      <alignment/>
      <protection/>
    </xf>
    <xf numFmtId="17" fontId="21" fillId="0" borderId="0" xfId="0" applyNumberFormat="1" applyFont="1" applyAlignment="1">
      <alignment/>
    </xf>
    <xf numFmtId="4" fontId="21" fillId="0" borderId="0" xfId="54" applyNumberFormat="1" applyFont="1">
      <alignment/>
      <protection/>
    </xf>
    <xf numFmtId="4" fontId="34" fillId="0" borderId="0" xfId="54" applyNumberFormat="1" applyFont="1">
      <alignment/>
      <protection/>
    </xf>
    <xf numFmtId="4" fontId="23" fillId="0" borderId="0" xfId="56" applyNumberFormat="1" applyFont="1" applyBorder="1" applyAlignment="1">
      <alignment horizontal="center"/>
      <protection/>
    </xf>
    <xf numFmtId="4" fontId="21" fillId="0" borderId="0" xfId="56" applyNumberFormat="1" applyFont="1">
      <alignment/>
      <protection/>
    </xf>
    <xf numFmtId="0" fontId="21" fillId="0" borderId="0" xfId="56" applyFont="1">
      <alignment/>
      <protection/>
    </xf>
    <xf numFmtId="4" fontId="34" fillId="0" borderId="0" xfId="56" applyNumberFormat="1" applyFont="1" applyBorder="1" applyAlignment="1">
      <alignment horizontal="left"/>
      <protection/>
    </xf>
    <xf numFmtId="4" fontId="24" fillId="0" borderId="0" xfId="56" applyNumberFormat="1" applyFont="1" applyBorder="1" applyAlignment="1">
      <alignment horizontal="center" vertical="center"/>
      <protection/>
    </xf>
    <xf numFmtId="4" fontId="23" fillId="0" borderId="0" xfId="56" applyNumberFormat="1" applyFont="1" applyBorder="1" applyAlignment="1">
      <alignment horizontal="right"/>
      <protection/>
    </xf>
    <xf numFmtId="4" fontId="33" fillId="0" borderId="43" xfId="56" applyNumberFormat="1" applyFont="1" applyBorder="1" applyAlignment="1">
      <alignment horizontal="left"/>
      <protection/>
    </xf>
    <xf numFmtId="4" fontId="33" fillId="0" borderId="43" xfId="56" applyNumberFormat="1" applyFont="1" applyBorder="1">
      <alignment/>
      <protection/>
    </xf>
    <xf numFmtId="4" fontId="35" fillId="0" borderId="43" xfId="56" applyNumberFormat="1" applyFont="1" applyBorder="1" applyAlignment="1">
      <alignment vertical="center"/>
      <protection/>
    </xf>
    <xf numFmtId="4" fontId="33" fillId="0" borderId="0" xfId="56" applyNumberFormat="1" applyFont="1" applyBorder="1">
      <alignment/>
      <protection/>
    </xf>
    <xf numFmtId="4" fontId="23" fillId="0" borderId="43" xfId="56" applyNumberFormat="1" applyFont="1" applyBorder="1" applyAlignment="1">
      <alignment horizontal="center"/>
      <protection/>
    </xf>
    <xf numFmtId="0" fontId="33" fillId="0" borderId="0" xfId="56" applyFont="1">
      <alignment/>
      <protection/>
    </xf>
    <xf numFmtId="4" fontId="23" fillId="0" borderId="14" xfId="57" applyNumberFormat="1" applyFont="1" applyBorder="1" applyAlignment="1">
      <alignment horizontal="left"/>
      <protection/>
    </xf>
    <xf numFmtId="4" fontId="23" fillId="37" borderId="15" xfId="56" applyNumberFormat="1" applyFont="1" applyFill="1" applyBorder="1" applyAlignment="1">
      <alignment horizontal="center"/>
      <protection/>
    </xf>
    <xf numFmtId="4" fontId="23" fillId="37" borderId="30" xfId="56" applyNumberFormat="1" applyFont="1" applyFill="1" applyBorder="1" applyAlignment="1">
      <alignment horizontal="center"/>
      <protection/>
    </xf>
    <xf numFmtId="4" fontId="23" fillId="37" borderId="15" xfId="58" applyNumberFormat="1" applyFont="1" applyFill="1" applyBorder="1" applyAlignment="1">
      <alignment horizontal="center" wrapText="1"/>
      <protection/>
    </xf>
    <xf numFmtId="4" fontId="24" fillId="37" borderId="15" xfId="56" applyNumberFormat="1" applyFont="1" applyFill="1" applyBorder="1" applyAlignment="1">
      <alignment horizontal="center" vertical="center" wrapText="1"/>
      <protection/>
    </xf>
    <xf numFmtId="4" fontId="24" fillId="37" borderId="30" xfId="56" applyNumberFormat="1" applyFont="1" applyFill="1" applyBorder="1" applyAlignment="1">
      <alignment horizontal="center" wrapText="1"/>
      <protection/>
    </xf>
    <xf numFmtId="4" fontId="24" fillId="33" borderId="15" xfId="56" applyNumberFormat="1" applyFont="1" applyFill="1" applyBorder="1" applyAlignment="1">
      <alignment horizontal="center" wrapText="1"/>
      <protection/>
    </xf>
    <xf numFmtId="4" fontId="24" fillId="33" borderId="14" xfId="58" applyNumberFormat="1" applyFont="1" applyFill="1" applyBorder="1" applyAlignment="1">
      <alignment horizontal="center" wrapText="1"/>
      <protection/>
    </xf>
    <xf numFmtId="4" fontId="23" fillId="33" borderId="15" xfId="58" applyNumberFormat="1" applyFont="1" applyFill="1" applyBorder="1" applyAlignment="1">
      <alignment wrapText="1"/>
      <protection/>
    </xf>
    <xf numFmtId="4" fontId="23" fillId="16" borderId="16" xfId="56" applyNumberFormat="1" applyFont="1" applyFill="1" applyBorder="1" applyAlignment="1">
      <alignment horizontal="center"/>
      <protection/>
    </xf>
    <xf numFmtId="4" fontId="23" fillId="0" borderId="29" xfId="57" applyNumberFormat="1" applyFont="1" applyBorder="1" applyAlignment="1">
      <alignment horizontal="left"/>
      <protection/>
    </xf>
    <xf numFmtId="4" fontId="23" fillId="33" borderId="10" xfId="33" applyNumberFormat="1" applyFont="1" applyFill="1" applyBorder="1" applyAlignment="1">
      <alignment horizontal="right" vertical="center"/>
    </xf>
    <xf numFmtId="4" fontId="23" fillId="33" borderId="43" xfId="33" applyNumberFormat="1" applyFont="1" applyFill="1" applyBorder="1" applyAlignment="1">
      <alignment horizontal="right" vertical="center"/>
    </xf>
    <xf numFmtId="4" fontId="23" fillId="33" borderId="15" xfId="33" applyNumberFormat="1" applyFont="1" applyFill="1" applyBorder="1" applyAlignment="1">
      <alignment horizontal="right" vertical="center"/>
    </xf>
    <xf numFmtId="4" fontId="24" fillId="33" borderId="10" xfId="33" applyNumberFormat="1" applyFont="1" applyFill="1" applyBorder="1" applyAlignment="1">
      <alignment horizontal="right" vertical="center"/>
    </xf>
    <xf numFmtId="4" fontId="23" fillId="37" borderId="10" xfId="33" applyNumberFormat="1" applyFont="1" applyFill="1" applyBorder="1" applyAlignment="1">
      <alignment horizontal="right" vertical="center"/>
    </xf>
    <xf numFmtId="4" fontId="23" fillId="33" borderId="45" xfId="33" applyNumberFormat="1" applyFont="1" applyFill="1" applyBorder="1" applyAlignment="1">
      <alignment horizontal="right" vertical="center"/>
    </xf>
    <xf numFmtId="4" fontId="21" fillId="0" borderId="0" xfId="33" applyNumberFormat="1" applyFont="1" applyAlignment="1">
      <alignment/>
    </xf>
    <xf numFmtId="4" fontId="23" fillId="0" borderId="14" xfId="56" applyNumberFormat="1" applyFont="1" applyBorder="1" applyAlignment="1">
      <alignment horizontal="center"/>
      <protection/>
    </xf>
    <xf numFmtId="4" fontId="23" fillId="33" borderId="30" xfId="33" applyNumberFormat="1" applyFont="1" applyFill="1" applyBorder="1" applyAlignment="1">
      <alignment horizontal="right" vertical="center"/>
    </xf>
    <xf numFmtId="4" fontId="24" fillId="33" borderId="15" xfId="33" applyNumberFormat="1" applyFont="1" applyFill="1" applyBorder="1" applyAlignment="1">
      <alignment horizontal="right" vertical="center"/>
    </xf>
    <xf numFmtId="4" fontId="23" fillId="33" borderId="14" xfId="33" applyNumberFormat="1" applyFont="1" applyFill="1" applyBorder="1" applyAlignment="1">
      <alignment horizontal="right" vertical="center"/>
    </xf>
    <xf numFmtId="4" fontId="23" fillId="33" borderId="16" xfId="33" applyNumberFormat="1" applyFont="1" applyFill="1" applyBorder="1" applyAlignment="1">
      <alignment horizontal="right" vertical="center"/>
    </xf>
    <xf numFmtId="4" fontId="23" fillId="33" borderId="14" xfId="56" applyNumberFormat="1" applyFont="1" applyFill="1" applyBorder="1" applyAlignment="1">
      <alignment horizontal="left" vertical="center" wrapText="1"/>
      <protection/>
    </xf>
    <xf numFmtId="4" fontId="21" fillId="0" borderId="35" xfId="56" applyNumberFormat="1" applyFont="1" applyBorder="1" applyAlignment="1">
      <alignment horizontal="left" vertical="center" wrapText="1"/>
      <protection/>
    </xf>
    <xf numFmtId="4" fontId="21" fillId="34" borderId="15" xfId="33" applyNumberFormat="1" applyFont="1" applyFill="1" applyBorder="1" applyAlignment="1">
      <alignment horizontal="right" vertical="center"/>
    </xf>
    <xf numFmtId="4" fontId="21" fillId="34" borderId="30" xfId="33" applyNumberFormat="1" applyFont="1" applyFill="1" applyBorder="1" applyAlignment="1">
      <alignment horizontal="right" vertical="center"/>
    </xf>
    <xf numFmtId="4" fontId="24" fillId="34" borderId="15" xfId="33" applyNumberFormat="1" applyFont="1" applyFill="1" applyBorder="1" applyAlignment="1">
      <alignment horizontal="right" vertical="center"/>
    </xf>
    <xf numFmtId="4" fontId="21" fillId="34" borderId="14" xfId="33" applyNumberFormat="1" applyFont="1" applyFill="1" applyBorder="1" applyAlignment="1">
      <alignment horizontal="right" vertical="center"/>
    </xf>
    <xf numFmtId="4" fontId="23" fillId="34" borderId="45" xfId="33" applyNumberFormat="1" applyFont="1" applyFill="1" applyBorder="1" applyAlignment="1">
      <alignment horizontal="right" vertical="center"/>
    </xf>
    <xf numFmtId="4" fontId="23" fillId="42" borderId="14" xfId="56" applyNumberFormat="1" applyFont="1" applyFill="1" applyBorder="1" applyAlignment="1">
      <alignment horizontal="left" vertical="center" wrapText="1"/>
      <protection/>
    </xf>
    <xf numFmtId="4" fontId="23" fillId="42" borderId="15" xfId="33" applyNumberFormat="1" applyFont="1" applyFill="1" applyBorder="1" applyAlignment="1">
      <alignment horizontal="right" vertical="center"/>
    </xf>
    <xf numFmtId="4" fontId="23" fillId="42" borderId="30" xfId="33" applyNumberFormat="1" applyFont="1" applyFill="1" applyBorder="1" applyAlignment="1">
      <alignment horizontal="right" vertical="center"/>
    </xf>
    <xf numFmtId="4" fontId="24" fillId="42" borderId="15" xfId="33" applyNumberFormat="1" applyFont="1" applyFill="1" applyBorder="1" applyAlignment="1">
      <alignment horizontal="right" vertical="center"/>
    </xf>
    <xf numFmtId="4" fontId="23" fillId="42" borderId="14" xfId="33" applyNumberFormat="1" applyFont="1" applyFill="1" applyBorder="1" applyAlignment="1">
      <alignment horizontal="right" vertical="center"/>
    </xf>
    <xf numFmtId="4" fontId="23" fillId="42" borderId="16" xfId="33" applyNumberFormat="1" applyFont="1" applyFill="1" applyBorder="1" applyAlignment="1">
      <alignment horizontal="right" vertical="center"/>
    </xf>
    <xf numFmtId="4" fontId="23" fillId="36" borderId="47" xfId="56" applyNumberFormat="1" applyFont="1" applyFill="1" applyBorder="1" applyAlignment="1">
      <alignment horizontal="left" vertical="center" wrapText="1"/>
      <protection/>
    </xf>
    <xf numFmtId="4" fontId="23" fillId="36" borderId="32" xfId="33" applyNumberFormat="1" applyFont="1" applyFill="1" applyBorder="1" applyAlignment="1">
      <alignment horizontal="right" vertical="center" wrapText="1"/>
    </xf>
    <xf numFmtId="4" fontId="23" fillId="36" borderId="31" xfId="33" applyNumberFormat="1" applyFont="1" applyFill="1" applyBorder="1" applyAlignment="1">
      <alignment horizontal="right" vertical="center" wrapText="1"/>
    </xf>
    <xf numFmtId="4" fontId="24" fillId="36" borderId="32" xfId="33" applyNumberFormat="1" applyFont="1" applyFill="1" applyBorder="1" applyAlignment="1">
      <alignment horizontal="right" vertical="center" wrapText="1"/>
    </xf>
    <xf numFmtId="4" fontId="23" fillId="36" borderId="47" xfId="33" applyNumberFormat="1" applyFont="1" applyFill="1" applyBorder="1" applyAlignment="1">
      <alignment horizontal="right" vertical="center" wrapText="1"/>
    </xf>
    <xf numFmtId="4" fontId="23" fillId="36" borderId="48" xfId="33" applyNumberFormat="1" applyFont="1" applyFill="1" applyBorder="1" applyAlignment="1">
      <alignment horizontal="right" vertical="center" wrapText="1"/>
    </xf>
    <xf numFmtId="4" fontId="23" fillId="39" borderId="14" xfId="56" applyNumberFormat="1" applyFont="1" applyFill="1" applyBorder="1" applyAlignment="1">
      <alignment horizontal="left" vertical="center" wrapText="1"/>
      <protection/>
    </xf>
    <xf numFmtId="4" fontId="23" fillId="39" borderId="15" xfId="33" applyNumberFormat="1" applyFont="1" applyFill="1" applyBorder="1" applyAlignment="1">
      <alignment horizontal="right" vertical="center"/>
    </xf>
    <xf numFmtId="4" fontId="24" fillId="39" borderId="15" xfId="33" applyNumberFormat="1" applyFont="1" applyFill="1" applyBorder="1" applyAlignment="1">
      <alignment horizontal="right" vertical="center"/>
    </xf>
    <xf numFmtId="4" fontId="23" fillId="39" borderId="30" xfId="33" applyNumberFormat="1" applyFont="1" applyFill="1" applyBorder="1" applyAlignment="1">
      <alignment horizontal="right" vertical="center"/>
    </xf>
    <xf numFmtId="4" fontId="23" fillId="39" borderId="16" xfId="33" applyNumberFormat="1" applyFont="1" applyFill="1" applyBorder="1" applyAlignment="1">
      <alignment horizontal="right" vertical="center"/>
    </xf>
    <xf numFmtId="4" fontId="23" fillId="0" borderId="0" xfId="33" applyNumberFormat="1" applyFont="1" applyAlignment="1">
      <alignment/>
    </xf>
    <xf numFmtId="0" fontId="23" fillId="0" borderId="0" xfId="56" applyFont="1">
      <alignment/>
      <protection/>
    </xf>
    <xf numFmtId="4" fontId="21" fillId="19" borderId="20" xfId="58" applyNumberFormat="1" applyFont="1" applyFill="1" applyBorder="1" applyAlignment="1">
      <alignment horizontal="left" vertical="center" wrapText="1"/>
      <protection/>
    </xf>
    <xf numFmtId="4" fontId="23" fillId="39" borderId="15" xfId="35" applyNumberFormat="1" applyFont="1" applyFill="1" applyBorder="1" applyAlignment="1">
      <alignment horizontal="right" vertical="center"/>
    </xf>
    <xf numFmtId="4" fontId="23" fillId="39" borderId="16" xfId="35" applyNumberFormat="1" applyFont="1" applyFill="1" applyBorder="1" applyAlignment="1">
      <alignment horizontal="right" vertical="center"/>
    </xf>
    <xf numFmtId="4" fontId="24" fillId="19" borderId="13" xfId="33" applyNumberFormat="1" applyFont="1" applyFill="1" applyBorder="1" applyAlignment="1">
      <alignment horizontal="right" vertical="center"/>
    </xf>
    <xf numFmtId="4" fontId="23" fillId="19" borderId="21" xfId="33" applyNumberFormat="1" applyFont="1" applyFill="1" applyBorder="1" applyAlignment="1">
      <alignment horizontal="right" vertical="center"/>
    </xf>
    <xf numFmtId="0" fontId="22" fillId="0" borderId="0" xfId="56" applyFont="1">
      <alignment/>
      <protection/>
    </xf>
    <xf numFmtId="4" fontId="22" fillId="0" borderId="20" xfId="58" applyNumberFormat="1" applyFont="1" applyBorder="1" applyAlignment="1">
      <alignment horizontal="left" vertical="center" wrapText="1"/>
      <protection/>
    </xf>
    <xf numFmtId="4" fontId="21" fillId="0" borderId="13" xfId="33" applyNumberFormat="1" applyFont="1" applyFill="1" applyBorder="1" applyAlignment="1">
      <alignment horizontal="right" vertical="center"/>
    </xf>
    <xf numFmtId="4" fontId="21" fillId="0" borderId="21" xfId="33" applyNumberFormat="1" applyFont="1" applyFill="1" applyBorder="1" applyAlignment="1">
      <alignment horizontal="right" vertical="center"/>
    </xf>
    <xf numFmtId="4" fontId="24" fillId="37" borderId="13" xfId="33" applyNumberFormat="1" applyFont="1" applyFill="1" applyBorder="1" applyAlignment="1">
      <alignment horizontal="right" vertical="center"/>
    </xf>
    <xf numFmtId="4" fontId="21" fillId="0" borderId="25" xfId="33" applyNumberFormat="1" applyFont="1" applyFill="1" applyBorder="1" applyAlignment="1">
      <alignment horizontal="right" vertical="center"/>
    </xf>
    <xf numFmtId="4" fontId="22" fillId="0" borderId="20" xfId="33" applyNumberFormat="1" applyFont="1" applyFill="1" applyBorder="1" applyAlignment="1">
      <alignment horizontal="right" vertical="center"/>
    </xf>
    <xf numFmtId="4" fontId="24" fillId="37" borderId="21" xfId="33" applyNumberFormat="1" applyFont="1" applyFill="1" applyBorder="1" applyAlignment="1">
      <alignment horizontal="right" vertical="center"/>
    </xf>
    <xf numFmtId="4" fontId="59" fillId="0" borderId="25" xfId="33" applyNumberFormat="1" applyFont="1" applyFill="1" applyBorder="1" applyAlignment="1">
      <alignment horizontal="right" vertical="center"/>
    </xf>
    <xf numFmtId="4" fontId="22" fillId="37" borderId="11" xfId="33" applyNumberFormat="1" applyFont="1" applyFill="1" applyBorder="1" applyAlignment="1">
      <alignment horizontal="right" vertical="center"/>
    </xf>
    <xf numFmtId="4" fontId="21" fillId="0" borderId="20" xfId="33" applyNumberFormat="1" applyFont="1" applyFill="1" applyBorder="1" applyAlignment="1">
      <alignment horizontal="right" vertical="center"/>
    </xf>
    <xf numFmtId="4" fontId="22" fillId="0" borderId="13" xfId="33" applyNumberFormat="1" applyFont="1" applyBorder="1" applyAlignment="1">
      <alignment horizontal="right" vertical="center"/>
    </xf>
    <xf numFmtId="4" fontId="22" fillId="0" borderId="13" xfId="33" applyNumberFormat="1" applyFont="1" applyFill="1" applyBorder="1" applyAlignment="1">
      <alignment horizontal="right" vertical="center"/>
    </xf>
    <xf numFmtId="4" fontId="21" fillId="37" borderId="20" xfId="58" applyNumberFormat="1" applyFont="1" applyFill="1" applyBorder="1" applyAlignment="1">
      <alignment horizontal="left" vertical="center" wrapText="1"/>
      <protection/>
    </xf>
    <xf numFmtId="4" fontId="21" fillId="37" borderId="13" xfId="33" applyNumberFormat="1" applyFont="1" applyFill="1" applyBorder="1" applyAlignment="1">
      <alignment horizontal="right" vertical="center"/>
    </xf>
    <xf numFmtId="4" fontId="21" fillId="37" borderId="25" xfId="33" applyNumberFormat="1" applyFont="1" applyFill="1" applyBorder="1" applyAlignment="1">
      <alignment horizontal="right" vertical="center"/>
    </xf>
    <xf numFmtId="4" fontId="21" fillId="37" borderId="20" xfId="33" applyNumberFormat="1" applyFont="1" applyFill="1" applyBorder="1" applyAlignment="1">
      <alignment horizontal="right" vertical="center"/>
    </xf>
    <xf numFmtId="0" fontId="22" fillId="37" borderId="0" xfId="56" applyFont="1" applyFill="1">
      <alignment/>
      <protection/>
    </xf>
    <xf numFmtId="4" fontId="21" fillId="37" borderId="35" xfId="58" applyNumberFormat="1" applyFont="1" applyFill="1" applyBorder="1" applyAlignment="1">
      <alignment horizontal="left" vertical="center" wrapText="1"/>
      <protection/>
    </xf>
    <xf numFmtId="4" fontId="21" fillId="37" borderId="12" xfId="33" applyNumberFormat="1" applyFont="1" applyFill="1" applyBorder="1" applyAlignment="1">
      <alignment horizontal="right" vertical="center"/>
    </xf>
    <xf numFmtId="4" fontId="21" fillId="37" borderId="0" xfId="33" applyNumberFormat="1" applyFont="1" applyFill="1" applyBorder="1" applyAlignment="1">
      <alignment horizontal="right" vertical="center"/>
    </xf>
    <xf numFmtId="4" fontId="24" fillId="37" borderId="12" xfId="33" applyNumberFormat="1" applyFont="1" applyFill="1" applyBorder="1" applyAlignment="1">
      <alignment horizontal="right" vertical="center"/>
    </xf>
    <xf numFmtId="4" fontId="21" fillId="37" borderId="35" xfId="33" applyNumberFormat="1" applyFont="1" applyFill="1" applyBorder="1" applyAlignment="1">
      <alignment horizontal="right" vertical="center"/>
    </xf>
    <xf numFmtId="4" fontId="23" fillId="35" borderId="14" xfId="56" applyNumberFormat="1" applyFont="1" applyFill="1" applyBorder="1" applyAlignment="1">
      <alignment horizontal="left" vertical="center" wrapText="1"/>
      <protection/>
    </xf>
    <xf numFmtId="4" fontId="23" fillId="35" borderId="30" xfId="33" applyNumberFormat="1" applyFont="1" applyFill="1" applyBorder="1" applyAlignment="1">
      <alignment horizontal="right" vertical="center"/>
    </xf>
    <xf numFmtId="4" fontId="23" fillId="35" borderId="15" xfId="33" applyNumberFormat="1" applyFont="1" applyFill="1" applyBorder="1" applyAlignment="1">
      <alignment horizontal="right" vertical="center"/>
    </xf>
    <xf numFmtId="4" fontId="23" fillId="35" borderId="14" xfId="33" applyNumberFormat="1" applyFont="1" applyFill="1" applyBorder="1" applyAlignment="1">
      <alignment horizontal="right" vertical="center"/>
    </xf>
    <xf numFmtId="4" fontId="23" fillId="35" borderId="16" xfId="33" applyNumberFormat="1" applyFont="1" applyFill="1" applyBorder="1" applyAlignment="1">
      <alignment horizontal="right" vertical="center"/>
    </xf>
    <xf numFmtId="4" fontId="23" fillId="0" borderId="0" xfId="56" applyNumberFormat="1" applyFont="1">
      <alignment/>
      <protection/>
    </xf>
    <xf numFmtId="4" fontId="21" fillId="35" borderId="35" xfId="58" applyNumberFormat="1" applyFont="1" applyFill="1" applyBorder="1" applyAlignment="1">
      <alignment horizontal="left" vertical="center" wrapText="1"/>
      <protection/>
    </xf>
    <xf numFmtId="4" fontId="21" fillId="35" borderId="32" xfId="35" applyNumberFormat="1" applyFont="1" applyFill="1" applyBorder="1" applyAlignment="1">
      <alignment horizontal="right" vertical="center"/>
    </xf>
    <xf numFmtId="4" fontId="21" fillId="35" borderId="48" xfId="35" applyNumberFormat="1" applyFont="1" applyFill="1" applyBorder="1" applyAlignment="1">
      <alignment horizontal="right" vertical="center"/>
    </xf>
    <xf numFmtId="4" fontId="21" fillId="35" borderId="32" xfId="33" applyNumberFormat="1" applyFont="1" applyFill="1" applyBorder="1" applyAlignment="1">
      <alignment horizontal="right" vertical="center"/>
    </xf>
    <xf numFmtId="4" fontId="22" fillId="35" borderId="32" xfId="33" applyNumberFormat="1" applyFont="1" applyFill="1" applyBorder="1" applyAlignment="1">
      <alignment horizontal="right" vertical="center"/>
    </xf>
    <xf numFmtId="4" fontId="21" fillId="35" borderId="37" xfId="33" applyNumberFormat="1" applyFont="1" applyFill="1" applyBorder="1" applyAlignment="1">
      <alignment horizontal="right" vertical="center"/>
    </xf>
    <xf numFmtId="4" fontId="58" fillId="35" borderId="31" xfId="33" applyNumberFormat="1" applyFont="1" applyFill="1" applyBorder="1" applyAlignment="1">
      <alignment horizontal="right" vertical="center"/>
    </xf>
    <xf numFmtId="4" fontId="23" fillId="35" borderId="31" xfId="33" applyNumberFormat="1" applyFont="1" applyFill="1" applyBorder="1" applyAlignment="1">
      <alignment horizontal="right" vertical="center"/>
    </xf>
    <xf numFmtId="4" fontId="22" fillId="35" borderId="36" xfId="33" applyNumberFormat="1" applyFont="1" applyFill="1" applyBorder="1" applyAlignment="1">
      <alignment horizontal="right" vertical="center"/>
    </xf>
    <xf numFmtId="4" fontId="24" fillId="35" borderId="23" xfId="33" applyNumberFormat="1" applyFont="1" applyFill="1" applyBorder="1" applyAlignment="1">
      <alignment horizontal="right" vertical="center"/>
    </xf>
    <xf numFmtId="0" fontId="36" fillId="0" borderId="0" xfId="56" applyFont="1">
      <alignment/>
      <protection/>
    </xf>
    <xf numFmtId="4" fontId="22" fillId="0" borderId="49" xfId="58" applyNumberFormat="1" applyFont="1" applyBorder="1" applyAlignment="1">
      <alignment horizontal="left" vertical="center" wrapText="1"/>
      <protection/>
    </xf>
    <xf numFmtId="4" fontId="21" fillId="0" borderId="11" xfId="33" applyNumberFormat="1" applyFont="1" applyFill="1" applyBorder="1" applyAlignment="1">
      <alignment horizontal="right" vertical="center"/>
    </xf>
    <xf numFmtId="4" fontId="21" fillId="0" borderId="50" xfId="33" applyNumberFormat="1" applyFont="1" applyFill="1" applyBorder="1" applyAlignment="1">
      <alignment horizontal="right" vertical="center"/>
    </xf>
    <xf numFmtId="4" fontId="21" fillId="0" borderId="28" xfId="33" applyNumberFormat="1" applyFont="1" applyFill="1" applyBorder="1" applyAlignment="1">
      <alignment horizontal="right" vertical="center"/>
    </xf>
    <xf numFmtId="4" fontId="24" fillId="33" borderId="28" xfId="33" applyNumberFormat="1" applyFont="1" applyFill="1" applyBorder="1" applyAlignment="1">
      <alignment horizontal="right" vertical="center"/>
    </xf>
    <xf numFmtId="4" fontId="22" fillId="0" borderId="28" xfId="33" applyNumberFormat="1" applyFont="1" applyBorder="1" applyAlignment="1">
      <alignment horizontal="right" vertical="center"/>
    </xf>
    <xf numFmtId="4" fontId="22" fillId="0" borderId="28" xfId="33" applyNumberFormat="1" applyFont="1" applyFill="1" applyBorder="1" applyAlignment="1">
      <alignment horizontal="right" vertical="center"/>
    </xf>
    <xf numFmtId="4" fontId="24" fillId="37" borderId="28" xfId="33" applyNumberFormat="1" applyFont="1" applyFill="1" applyBorder="1" applyAlignment="1">
      <alignment horizontal="right" vertical="center"/>
    </xf>
    <xf numFmtId="4" fontId="21" fillId="37" borderId="11" xfId="33" applyNumberFormat="1" applyFont="1" applyFill="1" applyBorder="1" applyAlignment="1">
      <alignment horizontal="right" vertical="center"/>
    </xf>
    <xf numFmtId="4" fontId="63" fillId="37" borderId="26" xfId="33" applyNumberFormat="1" applyFont="1" applyFill="1" applyBorder="1" applyAlignment="1">
      <alignment horizontal="right" vertical="center"/>
    </xf>
    <xf numFmtId="4" fontId="22" fillId="37" borderId="39" xfId="33" applyNumberFormat="1" applyFont="1" applyFill="1" applyBorder="1" applyAlignment="1">
      <alignment horizontal="right" vertical="center"/>
    </xf>
    <xf numFmtId="4" fontId="21" fillId="0" borderId="26" xfId="33" applyNumberFormat="1" applyFont="1" applyFill="1" applyBorder="1" applyAlignment="1">
      <alignment horizontal="right" vertical="center"/>
    </xf>
    <xf numFmtId="4" fontId="24" fillId="33" borderId="13" xfId="33" applyNumberFormat="1" applyFont="1" applyFill="1" applyBorder="1" applyAlignment="1">
      <alignment horizontal="right" vertical="center"/>
    </xf>
    <xf numFmtId="4" fontId="22" fillId="0" borderId="11" xfId="33" applyNumberFormat="1" applyFont="1" applyBorder="1" applyAlignment="1">
      <alignment horizontal="right" vertical="center"/>
    </xf>
    <xf numFmtId="4" fontId="22" fillId="0" borderId="39" xfId="33" applyNumberFormat="1" applyFont="1" applyBorder="1" applyAlignment="1">
      <alignment horizontal="right" vertical="center"/>
    </xf>
    <xf numFmtId="4" fontId="22" fillId="0" borderId="36" xfId="58" applyNumberFormat="1" applyFont="1" applyBorder="1" applyAlignment="1">
      <alignment horizontal="left" vertical="center" wrapText="1"/>
      <protection/>
    </xf>
    <xf numFmtId="4" fontId="21" fillId="0" borderId="37" xfId="33" applyNumberFormat="1" applyFont="1" applyFill="1" applyBorder="1" applyAlignment="1">
      <alignment horizontal="right" vertical="center"/>
    </xf>
    <xf numFmtId="4" fontId="21" fillId="0" borderId="38" xfId="33" applyNumberFormat="1" applyFont="1" applyFill="1" applyBorder="1" applyAlignment="1">
      <alignment horizontal="right" vertical="center"/>
    </xf>
    <xf numFmtId="4" fontId="22" fillId="0" borderId="37" xfId="33" applyNumberFormat="1" applyFont="1" applyBorder="1" applyAlignment="1">
      <alignment horizontal="right" vertical="center"/>
    </xf>
    <xf numFmtId="4" fontId="22" fillId="0" borderId="36" xfId="33" applyNumberFormat="1" applyFont="1" applyBorder="1" applyAlignment="1">
      <alignment horizontal="right" vertical="center"/>
    </xf>
    <xf numFmtId="4" fontId="21" fillId="0" borderId="12" xfId="33" applyNumberFormat="1" applyFont="1" applyFill="1" applyBorder="1" applyAlignment="1">
      <alignment horizontal="right" vertical="center"/>
    </xf>
    <xf numFmtId="4" fontId="21" fillId="0" borderId="0" xfId="33" applyNumberFormat="1" applyFont="1" applyFill="1" applyBorder="1" applyAlignment="1">
      <alignment horizontal="right" vertical="center"/>
    </xf>
    <xf numFmtId="4" fontId="22" fillId="0" borderId="0" xfId="33" applyNumberFormat="1" applyFont="1" applyBorder="1" applyAlignment="1">
      <alignment horizontal="right" vertical="center"/>
    </xf>
    <xf numFmtId="4" fontId="23" fillId="43" borderId="14" xfId="56" applyNumberFormat="1" applyFont="1" applyFill="1" applyBorder="1" applyAlignment="1">
      <alignment horizontal="left" vertical="center" wrapText="1"/>
      <protection/>
    </xf>
    <xf numFmtId="4" fontId="23" fillId="38" borderId="15" xfId="33" applyNumberFormat="1" applyFont="1" applyFill="1" applyBorder="1" applyAlignment="1">
      <alignment horizontal="right" vertical="center"/>
    </xf>
    <xf numFmtId="4" fontId="23" fillId="38" borderId="30" xfId="33" applyNumberFormat="1" applyFont="1" applyFill="1" applyBorder="1" applyAlignment="1">
      <alignment horizontal="right" vertical="center"/>
    </xf>
    <xf numFmtId="4" fontId="24" fillId="38" borderId="15" xfId="33" applyNumberFormat="1" applyFont="1" applyFill="1" applyBorder="1" applyAlignment="1">
      <alignment horizontal="right" vertical="center"/>
    </xf>
    <xf numFmtId="4" fontId="23" fillId="38" borderId="16" xfId="33" applyNumberFormat="1" applyFont="1" applyFill="1" applyBorder="1" applyAlignment="1">
      <alignment horizontal="right" vertical="center"/>
    </xf>
    <xf numFmtId="4" fontId="21" fillId="43" borderId="51" xfId="58" applyNumberFormat="1" applyFont="1" applyFill="1" applyBorder="1" applyAlignment="1">
      <alignment horizontal="left" vertical="center" wrapText="1"/>
      <protection/>
    </xf>
    <xf numFmtId="4" fontId="21" fillId="43" borderId="13" xfId="33" applyNumberFormat="1" applyFont="1" applyFill="1" applyBorder="1" applyAlignment="1">
      <alignment horizontal="right" vertical="center"/>
    </xf>
    <xf numFmtId="4" fontId="21" fillId="43" borderId="21" xfId="33" applyNumberFormat="1" applyFont="1" applyFill="1" applyBorder="1" applyAlignment="1">
      <alignment horizontal="right" vertical="center"/>
    </xf>
    <xf numFmtId="4" fontId="24" fillId="38" borderId="13" xfId="33" applyNumberFormat="1" applyFont="1" applyFill="1" applyBorder="1" applyAlignment="1">
      <alignment horizontal="right" vertical="center"/>
    </xf>
    <xf numFmtId="4" fontId="21" fillId="43" borderId="17" xfId="33" applyNumberFormat="1" applyFont="1" applyFill="1" applyBorder="1" applyAlignment="1">
      <alignment horizontal="right" vertical="center"/>
    </xf>
    <xf numFmtId="4" fontId="24" fillId="43" borderId="21" xfId="33" applyNumberFormat="1" applyFont="1" applyFill="1" applyBorder="1" applyAlignment="1">
      <alignment horizontal="right" vertical="center"/>
    </xf>
    <xf numFmtId="0" fontId="21" fillId="37" borderId="0" xfId="56" applyFont="1" applyFill="1">
      <alignment/>
      <protection/>
    </xf>
    <xf numFmtId="4" fontId="21" fillId="0" borderId="11" xfId="35" applyNumberFormat="1" applyFont="1" applyFill="1" applyBorder="1" applyAlignment="1">
      <alignment horizontal="right" vertical="center"/>
    </xf>
    <xf numFmtId="4" fontId="21" fillId="0" borderId="26" xfId="35" applyNumberFormat="1" applyFont="1" applyFill="1" applyBorder="1" applyAlignment="1">
      <alignment horizontal="right" vertical="center"/>
    </xf>
    <xf numFmtId="4" fontId="24" fillId="0" borderId="11" xfId="35" applyNumberFormat="1" applyFont="1" applyFill="1" applyBorder="1" applyAlignment="1">
      <alignment horizontal="right" vertical="center"/>
    </xf>
    <xf numFmtId="4" fontId="21" fillId="0" borderId="13" xfId="35" applyNumberFormat="1" applyFont="1" applyFill="1" applyBorder="1" applyAlignment="1">
      <alignment horizontal="right" vertical="center"/>
    </xf>
    <xf numFmtId="4" fontId="21" fillId="0" borderId="25" xfId="35" applyNumberFormat="1" applyFont="1" applyFill="1" applyBorder="1" applyAlignment="1">
      <alignment horizontal="right" vertical="center"/>
    </xf>
    <xf numFmtId="4" fontId="24" fillId="0" borderId="13" xfId="35" applyNumberFormat="1" applyFont="1" applyFill="1" applyBorder="1" applyAlignment="1">
      <alignment horizontal="right" vertical="center"/>
    </xf>
    <xf numFmtId="3" fontId="21" fillId="0" borderId="39" xfId="58" applyNumberFormat="1" applyFont="1" applyBorder="1" applyAlignment="1">
      <alignment horizontal="left" vertical="center" wrapText="1"/>
      <protection/>
    </xf>
    <xf numFmtId="4" fontId="24" fillId="0" borderId="21" xfId="33" applyNumberFormat="1" applyFont="1" applyFill="1" applyBorder="1" applyAlignment="1">
      <alignment horizontal="right" vertical="center"/>
    </xf>
    <xf numFmtId="4" fontId="63" fillId="0" borderId="20" xfId="58" applyNumberFormat="1" applyFont="1" applyFill="1" applyBorder="1" applyAlignment="1">
      <alignment horizontal="left" vertical="center" wrapText="1"/>
      <protection/>
    </xf>
    <xf numFmtId="4" fontId="24" fillId="44" borderId="13" xfId="33" applyNumberFormat="1" applyFont="1" applyFill="1" applyBorder="1" applyAlignment="1">
      <alignment horizontal="right" vertical="center"/>
    </xf>
    <xf numFmtId="4" fontId="59" fillId="0" borderId="13" xfId="33" applyNumberFormat="1" applyFont="1" applyFill="1" applyBorder="1" applyAlignment="1">
      <alignment horizontal="right" vertical="center"/>
    </xf>
    <xf numFmtId="4" fontId="63" fillId="0" borderId="11" xfId="33" applyNumberFormat="1" applyFont="1" applyBorder="1" applyAlignment="1">
      <alignment horizontal="right" vertical="center"/>
    </xf>
    <xf numFmtId="4" fontId="22" fillId="0" borderId="26" xfId="33" applyNumberFormat="1" applyFont="1" applyBorder="1" applyAlignment="1">
      <alignment horizontal="right" vertical="center"/>
    </xf>
    <xf numFmtId="4" fontId="24" fillId="0" borderId="11" xfId="33" applyNumberFormat="1" applyFont="1" applyFill="1" applyBorder="1" applyAlignment="1">
      <alignment horizontal="right" vertical="center"/>
    </xf>
    <xf numFmtId="0" fontId="21" fillId="37" borderId="26" xfId="56" applyFont="1" applyFill="1" applyBorder="1">
      <alignment/>
      <protection/>
    </xf>
    <xf numFmtId="4" fontId="24" fillId="37" borderId="22" xfId="33" applyNumberFormat="1" applyFont="1" applyFill="1" applyBorder="1" applyAlignment="1">
      <alignment horizontal="right" vertical="center"/>
    </xf>
    <xf numFmtId="4" fontId="22" fillId="0" borderId="49" xfId="58" applyNumberFormat="1" applyFont="1" applyBorder="1" applyAlignment="1">
      <alignment vertical="center" wrapText="1"/>
      <protection/>
    </xf>
    <xf numFmtId="4" fontId="22" fillId="0" borderId="11" xfId="33" applyNumberFormat="1" applyFont="1" applyFill="1" applyBorder="1" applyAlignment="1">
      <alignment horizontal="right" vertical="center"/>
    </xf>
    <xf numFmtId="4" fontId="22" fillId="0" borderId="39" xfId="58" applyNumberFormat="1" applyFont="1" applyBorder="1" applyAlignment="1">
      <alignment vertical="center" wrapText="1"/>
      <protection/>
    </xf>
    <xf numFmtId="4" fontId="24" fillId="0" borderId="13" xfId="33" applyNumberFormat="1" applyFont="1" applyFill="1" applyBorder="1" applyAlignment="1">
      <alignment horizontal="right" vertical="center"/>
    </xf>
    <xf numFmtId="4" fontId="22" fillId="0" borderId="20" xfId="58" applyNumberFormat="1" applyFont="1" applyBorder="1" applyAlignment="1">
      <alignment vertical="center" wrapText="1"/>
      <protection/>
    </xf>
    <xf numFmtId="4" fontId="22" fillId="0" borderId="20" xfId="58" applyNumberFormat="1" applyFont="1" applyBorder="1" applyAlignment="1">
      <alignment horizontal="left" vertical="center"/>
      <protection/>
    </xf>
    <xf numFmtId="4" fontId="22" fillId="0" borderId="25" xfId="33" applyNumberFormat="1" applyFont="1" applyBorder="1" applyAlignment="1">
      <alignment horizontal="right" vertical="center"/>
    </xf>
    <xf numFmtId="4" fontId="22" fillId="37" borderId="26" xfId="33" applyNumberFormat="1" applyFont="1" applyFill="1" applyBorder="1" applyAlignment="1">
      <alignment horizontal="right" vertical="center"/>
    </xf>
    <xf numFmtId="4" fontId="22" fillId="37" borderId="20" xfId="58" applyNumberFormat="1" applyFont="1" applyFill="1" applyBorder="1" applyAlignment="1">
      <alignment horizontal="left" vertical="center"/>
      <protection/>
    </xf>
    <xf numFmtId="4" fontId="22" fillId="0" borderId="10" xfId="33" applyNumberFormat="1" applyFont="1" applyFill="1" applyBorder="1" applyAlignment="1">
      <alignment horizontal="right" vertical="center"/>
    </xf>
    <xf numFmtId="4" fontId="22" fillId="37" borderId="43" xfId="33" applyNumberFormat="1" applyFont="1" applyFill="1" applyBorder="1" applyAlignment="1">
      <alignment horizontal="right" vertical="center"/>
    </xf>
    <xf numFmtId="4" fontId="21" fillId="0" borderId="10" xfId="33" applyNumberFormat="1" applyFont="1" applyFill="1" applyBorder="1" applyAlignment="1">
      <alignment horizontal="right" vertical="center"/>
    </xf>
    <xf numFmtId="4" fontId="23" fillId="36" borderId="14" xfId="56" applyNumberFormat="1" applyFont="1" applyFill="1" applyBorder="1" applyAlignment="1">
      <alignment horizontal="left" vertical="center" wrapText="1"/>
      <protection/>
    </xf>
    <xf numFmtId="4" fontId="23" fillId="36" borderId="15" xfId="33" applyNumberFormat="1" applyFont="1" applyFill="1" applyBorder="1" applyAlignment="1">
      <alignment horizontal="right" vertical="center"/>
    </xf>
    <xf numFmtId="4" fontId="23" fillId="36" borderId="30" xfId="33" applyNumberFormat="1" applyFont="1" applyFill="1" applyBorder="1" applyAlignment="1">
      <alignment horizontal="right" vertical="center"/>
    </xf>
    <xf numFmtId="4" fontId="24" fillId="36" borderId="15" xfId="33" applyNumberFormat="1" applyFont="1" applyFill="1" applyBorder="1" applyAlignment="1">
      <alignment horizontal="right" vertical="center"/>
    </xf>
    <xf numFmtId="4" fontId="23" fillId="36" borderId="14" xfId="33" applyNumberFormat="1" applyFont="1" applyFill="1" applyBorder="1" applyAlignment="1">
      <alignment horizontal="right" vertical="center"/>
    </xf>
    <xf numFmtId="4" fontId="23" fillId="36" borderId="16" xfId="33" applyNumberFormat="1" applyFont="1" applyFill="1" applyBorder="1" applyAlignment="1">
      <alignment horizontal="right" vertical="center"/>
    </xf>
    <xf numFmtId="4" fontId="23" fillId="33" borderId="14" xfId="58" applyNumberFormat="1" applyFont="1" applyFill="1" applyBorder="1" applyAlignment="1">
      <alignment horizontal="center" vertical="center" wrapText="1"/>
      <protection/>
    </xf>
    <xf numFmtId="4" fontId="23" fillId="0" borderId="15" xfId="35" applyNumberFormat="1" applyFont="1" applyFill="1" applyBorder="1" applyAlignment="1">
      <alignment horizontal="right" vertical="center"/>
    </xf>
    <xf numFmtId="4" fontId="23" fillId="0" borderId="30" xfId="35" applyNumberFormat="1" applyFont="1" applyFill="1" applyBorder="1" applyAlignment="1">
      <alignment horizontal="right" vertical="center"/>
    </xf>
    <xf numFmtId="4" fontId="23" fillId="0" borderId="30" xfId="33" applyNumberFormat="1" applyFont="1" applyFill="1" applyBorder="1" applyAlignment="1">
      <alignment horizontal="right" vertical="center"/>
    </xf>
    <xf numFmtId="4" fontId="23" fillId="0" borderId="15" xfId="33" applyNumberFormat="1" applyFont="1" applyFill="1" applyBorder="1" applyAlignment="1">
      <alignment horizontal="right" vertical="center"/>
    </xf>
    <xf numFmtId="4" fontId="24" fillId="0" borderId="15" xfId="33" applyNumberFormat="1" applyFont="1" applyFill="1" applyBorder="1" applyAlignment="1">
      <alignment horizontal="right" vertical="center"/>
    </xf>
    <xf numFmtId="4" fontId="21" fillId="0" borderId="15" xfId="33" applyNumberFormat="1" applyFont="1" applyFill="1" applyBorder="1" applyAlignment="1">
      <alignment horizontal="right" vertical="center"/>
    </xf>
    <xf numFmtId="4" fontId="24" fillId="0" borderId="30" xfId="33" applyNumberFormat="1" applyFont="1" applyFill="1" applyBorder="1" applyAlignment="1">
      <alignment horizontal="right" vertical="center"/>
    </xf>
    <xf numFmtId="4" fontId="23" fillId="0" borderId="16" xfId="33" applyNumberFormat="1" applyFont="1" applyFill="1" applyBorder="1" applyAlignment="1">
      <alignment horizontal="right" vertical="center"/>
    </xf>
    <xf numFmtId="4" fontId="23" fillId="0" borderId="0" xfId="33" applyNumberFormat="1" applyFont="1" applyFill="1" applyBorder="1" applyAlignment="1">
      <alignment horizontal="right" vertical="center"/>
    </xf>
    <xf numFmtId="0" fontId="21" fillId="0" borderId="35" xfId="57" applyFont="1" applyBorder="1">
      <alignment/>
      <protection/>
    </xf>
    <xf numFmtId="4" fontId="21" fillId="0" borderId="13" xfId="35" applyNumberFormat="1" applyFont="1" applyBorder="1" applyAlignment="1">
      <alignment horizontal="right" vertical="center"/>
    </xf>
    <xf numFmtId="4" fontId="21" fillId="0" borderId="17" xfId="35" applyNumberFormat="1" applyFont="1" applyFill="1" applyBorder="1" applyAlignment="1">
      <alignment horizontal="right" vertical="center"/>
    </xf>
    <xf numFmtId="4" fontId="23" fillId="0" borderId="21" xfId="33" applyNumberFormat="1" applyFont="1" applyFill="1" applyBorder="1" applyAlignment="1">
      <alignment horizontal="right" vertical="center"/>
    </xf>
    <xf numFmtId="0" fontId="21" fillId="0" borderId="11" xfId="57" applyFont="1" applyBorder="1">
      <alignment/>
      <protection/>
    </xf>
    <xf numFmtId="4" fontId="21" fillId="0" borderId="11" xfId="35" applyNumberFormat="1" applyFont="1" applyBorder="1" applyAlignment="1">
      <alignment horizontal="right" vertical="center"/>
    </xf>
    <xf numFmtId="4" fontId="23" fillId="0" borderId="22" xfId="33" applyNumberFormat="1" applyFont="1" applyFill="1" applyBorder="1" applyAlignment="1">
      <alignment horizontal="right" vertical="center"/>
    </xf>
    <xf numFmtId="4" fontId="24" fillId="0" borderId="20" xfId="58" applyNumberFormat="1" applyFont="1" applyBorder="1" applyAlignment="1">
      <alignment horizontal="left" vertical="center" wrapText="1"/>
      <protection/>
    </xf>
    <xf numFmtId="4" fontId="22" fillId="0" borderId="39" xfId="58" applyNumberFormat="1" applyFont="1" applyFill="1" applyBorder="1" applyAlignment="1">
      <alignment horizontal="left" vertical="center" wrapText="1"/>
      <protection/>
    </xf>
    <xf numFmtId="4" fontId="24" fillId="37" borderId="11" xfId="35" applyNumberFormat="1" applyFont="1" applyFill="1" applyBorder="1" applyAlignment="1">
      <alignment horizontal="right" vertical="center"/>
    </xf>
    <xf numFmtId="3" fontId="22" fillId="0" borderId="39" xfId="58" applyNumberFormat="1" applyFont="1" applyBorder="1" applyAlignment="1">
      <alignment horizontal="left" vertical="center" wrapText="1"/>
      <protection/>
    </xf>
    <xf numFmtId="4" fontId="22" fillId="0" borderId="13" xfId="35" applyNumberFormat="1" applyFont="1" applyFill="1" applyBorder="1" applyAlignment="1">
      <alignment horizontal="right" vertical="center"/>
    </xf>
    <xf numFmtId="4" fontId="22" fillId="0" borderId="11" xfId="35" applyNumberFormat="1" applyFont="1" applyBorder="1" applyAlignment="1">
      <alignment horizontal="right" vertical="center"/>
    </xf>
    <xf numFmtId="4" fontId="22" fillId="0" borderId="26" xfId="35" applyNumberFormat="1" applyFont="1" applyBorder="1" applyAlignment="1">
      <alignment horizontal="right" vertical="center"/>
    </xf>
    <xf numFmtId="4" fontId="22" fillId="37" borderId="13" xfId="35" applyNumberFormat="1" applyFont="1" applyFill="1" applyBorder="1" applyAlignment="1">
      <alignment horizontal="right" vertical="center"/>
    </xf>
    <xf numFmtId="4" fontId="22" fillId="0" borderId="13" xfId="35" applyNumberFormat="1" applyFont="1" applyBorder="1" applyAlignment="1">
      <alignment horizontal="right" vertical="center"/>
    </xf>
    <xf numFmtId="4" fontId="22" fillId="0" borderId="25" xfId="35" applyNumberFormat="1" applyFont="1" applyBorder="1" applyAlignment="1">
      <alignment horizontal="right" vertical="center"/>
    </xf>
    <xf numFmtId="3" fontId="22" fillId="0" borderId="20" xfId="58" applyNumberFormat="1" applyFont="1" applyBorder="1" applyAlignment="1">
      <alignment horizontal="left" vertical="center" wrapText="1"/>
      <protection/>
    </xf>
    <xf numFmtId="4" fontId="24" fillId="37" borderId="13" xfId="35" applyNumberFormat="1" applyFont="1" applyFill="1" applyBorder="1" applyAlignment="1">
      <alignment horizontal="right" vertical="center"/>
    </xf>
    <xf numFmtId="4" fontId="22" fillId="0" borderId="11" xfId="35" applyNumberFormat="1" applyFont="1" applyFill="1" applyBorder="1" applyAlignment="1">
      <alignment horizontal="right" vertical="center"/>
    </xf>
    <xf numFmtId="4" fontId="22" fillId="0" borderId="12" xfId="35" applyNumberFormat="1" applyFont="1" applyBorder="1" applyAlignment="1">
      <alignment horizontal="right" vertical="center"/>
    </xf>
    <xf numFmtId="0" fontId="22" fillId="0" borderId="14" xfId="55" applyFont="1" applyFill="1" applyBorder="1" applyAlignment="1">
      <alignment wrapText="1"/>
      <protection/>
    </xf>
    <xf numFmtId="4" fontId="21" fillId="37" borderId="13" xfId="35" applyNumberFormat="1" applyFont="1" applyFill="1" applyBorder="1" applyAlignment="1">
      <alignment horizontal="right" vertical="center"/>
    </xf>
    <xf numFmtId="4" fontId="22" fillId="0" borderId="35" xfId="58" applyNumberFormat="1" applyFont="1" applyBorder="1" applyAlignment="1">
      <alignment vertical="center" wrapText="1"/>
      <protection/>
    </xf>
    <xf numFmtId="4" fontId="21" fillId="0" borderId="12" xfId="35" applyNumberFormat="1" applyFont="1" applyFill="1" applyBorder="1" applyAlignment="1">
      <alignment horizontal="right" vertical="center"/>
    </xf>
    <xf numFmtId="4" fontId="21" fillId="0" borderId="0" xfId="35" applyNumberFormat="1" applyFont="1" applyFill="1" applyBorder="1" applyAlignment="1">
      <alignment horizontal="right" vertical="center"/>
    </xf>
    <xf numFmtId="4" fontId="24" fillId="0" borderId="37" xfId="35" applyNumberFormat="1" applyFont="1" applyFill="1" applyBorder="1" applyAlignment="1">
      <alignment horizontal="right" vertical="center"/>
    </xf>
    <xf numFmtId="4" fontId="22" fillId="0" borderId="41" xfId="35" applyNumberFormat="1" applyFont="1" applyBorder="1" applyAlignment="1">
      <alignment horizontal="right" vertical="center"/>
    </xf>
    <xf numFmtId="4" fontId="21" fillId="0" borderId="10" xfId="35" applyNumberFormat="1" applyFont="1" applyFill="1" applyBorder="1" applyAlignment="1">
      <alignment horizontal="right" vertical="center"/>
    </xf>
    <xf numFmtId="4" fontId="23" fillId="0" borderId="27" xfId="33" applyNumberFormat="1" applyFont="1" applyFill="1" applyBorder="1" applyAlignment="1">
      <alignment horizontal="right" vertical="center"/>
    </xf>
    <xf numFmtId="4" fontId="23" fillId="45" borderId="14" xfId="56" applyNumberFormat="1" applyFont="1" applyFill="1" applyBorder="1" applyAlignment="1">
      <alignment horizontal="center" vertical="center" wrapText="1"/>
      <protection/>
    </xf>
    <xf numFmtId="4" fontId="23" fillId="45" borderId="15" xfId="33" applyNumberFormat="1" applyFont="1" applyFill="1" applyBorder="1" applyAlignment="1">
      <alignment horizontal="right" vertical="center"/>
    </xf>
    <xf numFmtId="4" fontId="23" fillId="45" borderId="16" xfId="33" applyNumberFormat="1" applyFont="1" applyFill="1" applyBorder="1" applyAlignment="1">
      <alignment horizontal="right" vertical="center"/>
    </xf>
    <xf numFmtId="4" fontId="24" fillId="45" borderId="15" xfId="33" applyNumberFormat="1" applyFont="1" applyFill="1" applyBorder="1" applyAlignment="1">
      <alignment horizontal="right" vertical="center"/>
    </xf>
    <xf numFmtId="4" fontId="23" fillId="45" borderId="30" xfId="33" applyNumberFormat="1" applyFont="1" applyFill="1" applyBorder="1" applyAlignment="1">
      <alignment horizontal="right" vertical="center"/>
    </xf>
    <xf numFmtId="4" fontId="23" fillId="4" borderId="35" xfId="56" applyNumberFormat="1" applyFont="1" applyFill="1" applyBorder="1" applyAlignment="1">
      <alignment horizontal="center" vertical="center" wrapText="1"/>
      <protection/>
    </xf>
    <xf numFmtId="4" fontId="23" fillId="4" borderId="13" xfId="33" applyNumberFormat="1" applyFont="1" applyFill="1" applyBorder="1" applyAlignment="1">
      <alignment horizontal="right" vertical="center"/>
    </xf>
    <xf numFmtId="4" fontId="23" fillId="4" borderId="21" xfId="33" applyNumberFormat="1" applyFont="1" applyFill="1" applyBorder="1" applyAlignment="1">
      <alignment horizontal="right" vertical="center"/>
    </xf>
    <xf numFmtId="4" fontId="24" fillId="4" borderId="13" xfId="33" applyNumberFormat="1" applyFont="1" applyFill="1" applyBorder="1" applyAlignment="1">
      <alignment horizontal="right" vertical="center"/>
    </xf>
    <xf numFmtId="4" fontId="23" fillId="4" borderId="12" xfId="33" applyNumberFormat="1" applyFont="1" applyFill="1" applyBorder="1" applyAlignment="1">
      <alignment horizontal="right" vertical="center"/>
    </xf>
    <xf numFmtId="4" fontId="23" fillId="4" borderId="0" xfId="33" applyNumberFormat="1" applyFont="1" applyFill="1" applyBorder="1" applyAlignment="1">
      <alignment horizontal="right" vertical="center"/>
    </xf>
    <xf numFmtId="4" fontId="24" fillId="4" borderId="12" xfId="33" applyNumberFormat="1" applyFont="1" applyFill="1" applyBorder="1" applyAlignment="1">
      <alignment horizontal="right" vertical="center"/>
    </xf>
    <xf numFmtId="4" fontId="23" fillId="36" borderId="16" xfId="33" applyNumberFormat="1" applyFont="1" applyFill="1" applyBorder="1" applyAlignment="1">
      <alignment horizontal="right" vertical="center" wrapText="1"/>
    </xf>
    <xf numFmtId="4" fontId="63" fillId="0" borderId="29" xfId="56" applyNumberFormat="1" applyFont="1" applyFill="1" applyBorder="1" applyAlignment="1">
      <alignment horizontal="left" vertical="center" wrapText="1"/>
      <protection/>
    </xf>
    <xf numFmtId="4" fontId="24" fillId="0" borderId="12" xfId="33" applyNumberFormat="1" applyFont="1" applyFill="1" applyBorder="1" applyAlignment="1">
      <alignment horizontal="right" vertical="center"/>
    </xf>
    <xf numFmtId="0" fontId="21" fillId="0" borderId="0" xfId="56" applyFont="1" applyFill="1">
      <alignment/>
      <protection/>
    </xf>
    <xf numFmtId="4" fontId="23" fillId="36" borderId="15" xfId="33" applyNumberFormat="1" applyFont="1" applyFill="1" applyBorder="1" applyAlignment="1">
      <alignment horizontal="right" vertical="center" wrapText="1"/>
    </xf>
    <xf numFmtId="4" fontId="23" fillId="36" borderId="30" xfId="33" applyNumberFormat="1" applyFont="1" applyFill="1" applyBorder="1" applyAlignment="1">
      <alignment horizontal="right" vertical="center" wrapText="1"/>
    </xf>
    <xf numFmtId="4" fontId="21" fillId="0" borderId="19" xfId="58" applyNumberFormat="1" applyFont="1" applyFill="1" applyBorder="1" applyAlignment="1">
      <alignment horizontal="left" vertical="center" wrapText="1"/>
      <protection/>
    </xf>
    <xf numFmtId="4" fontId="21" fillId="0" borderId="17" xfId="33" applyNumberFormat="1" applyFont="1" applyFill="1" applyBorder="1" applyAlignment="1">
      <alignment horizontal="right" vertical="center"/>
    </xf>
    <xf numFmtId="4" fontId="21" fillId="0" borderId="18" xfId="33" applyNumberFormat="1" applyFont="1" applyFill="1" applyBorder="1" applyAlignment="1">
      <alignment horizontal="right" vertical="center"/>
    </xf>
    <xf numFmtId="4" fontId="24" fillId="0" borderId="52" xfId="33" applyNumberFormat="1" applyFont="1" applyFill="1" applyBorder="1" applyAlignment="1">
      <alignment horizontal="right" vertical="center"/>
    </xf>
    <xf numFmtId="4" fontId="23" fillId="0" borderId="48" xfId="33" applyNumberFormat="1" applyFont="1" applyFill="1" applyBorder="1" applyAlignment="1">
      <alignment horizontal="right" vertical="center"/>
    </xf>
    <xf numFmtId="4" fontId="24" fillId="0" borderId="28" xfId="33" applyNumberFormat="1" applyFont="1" applyFill="1" applyBorder="1" applyAlignment="1">
      <alignment horizontal="right" vertical="center"/>
    </xf>
    <xf numFmtId="4" fontId="23" fillId="0" borderId="50" xfId="33" applyNumberFormat="1" applyFont="1" applyFill="1" applyBorder="1" applyAlignment="1">
      <alignment horizontal="right" vertical="center"/>
    </xf>
    <xf numFmtId="4" fontId="21" fillId="0" borderId="39" xfId="58" applyNumberFormat="1" applyFont="1" applyFill="1" applyBorder="1" applyAlignment="1">
      <alignment horizontal="left" vertical="center" wrapText="1"/>
      <protection/>
    </xf>
    <xf numFmtId="4" fontId="21" fillId="0" borderId="22" xfId="33" applyNumberFormat="1" applyFont="1" applyFill="1" applyBorder="1" applyAlignment="1">
      <alignment horizontal="right" vertical="center"/>
    </xf>
    <xf numFmtId="4" fontId="21" fillId="0" borderId="23" xfId="33" applyNumberFormat="1" applyFont="1" applyFill="1" applyBorder="1" applyAlignment="1">
      <alignment horizontal="right" vertical="center"/>
    </xf>
    <xf numFmtId="4" fontId="23" fillId="46" borderId="14" xfId="58" applyNumberFormat="1" applyFont="1" applyFill="1" applyBorder="1" applyAlignment="1">
      <alignment horizontal="left" vertical="center" wrapText="1"/>
      <protection/>
    </xf>
    <xf numFmtId="4" fontId="23" fillId="46" borderId="15" xfId="33" applyNumberFormat="1" applyFont="1" applyFill="1" applyBorder="1" applyAlignment="1">
      <alignment horizontal="right" vertical="center"/>
    </xf>
    <xf numFmtId="4" fontId="23" fillId="46" borderId="30" xfId="33" applyNumberFormat="1" applyFont="1" applyFill="1" applyBorder="1" applyAlignment="1">
      <alignment horizontal="right" vertical="center"/>
    </xf>
    <xf numFmtId="4" fontId="24" fillId="46" borderId="15" xfId="33" applyNumberFormat="1" applyFont="1" applyFill="1" applyBorder="1" applyAlignment="1">
      <alignment horizontal="right" vertical="center"/>
    </xf>
    <xf numFmtId="4" fontId="23" fillId="46" borderId="16" xfId="33" applyNumberFormat="1" applyFont="1" applyFill="1" applyBorder="1" applyAlignment="1">
      <alignment horizontal="right" vertical="center" wrapText="1"/>
    </xf>
    <xf numFmtId="4" fontId="23" fillId="47" borderId="14" xfId="58" applyNumberFormat="1" applyFont="1" applyFill="1" applyBorder="1" applyAlignment="1">
      <alignment horizontal="left" vertical="center" wrapText="1"/>
      <protection/>
    </xf>
    <xf numFmtId="4" fontId="23" fillId="9" borderId="15" xfId="33" applyNumberFormat="1" applyFont="1" applyFill="1" applyBorder="1" applyAlignment="1">
      <alignment horizontal="right" vertical="center" wrapText="1"/>
    </xf>
    <xf numFmtId="4" fontId="23" fillId="9" borderId="30" xfId="33" applyNumberFormat="1" applyFont="1" applyFill="1" applyBorder="1" applyAlignment="1">
      <alignment horizontal="right" vertical="center" wrapText="1"/>
    </xf>
    <xf numFmtId="4" fontId="24" fillId="9" borderId="15" xfId="35" applyNumberFormat="1" applyFont="1" applyFill="1" applyBorder="1" applyAlignment="1">
      <alignment horizontal="right" vertical="center" wrapText="1"/>
    </xf>
    <xf numFmtId="4" fontId="23" fillId="9" borderId="15" xfId="35" applyNumberFormat="1" applyFont="1" applyFill="1" applyBorder="1" applyAlignment="1">
      <alignment horizontal="right" vertical="center" wrapText="1"/>
    </xf>
    <xf numFmtId="4" fontId="23" fillId="47" borderId="21" xfId="33" applyNumberFormat="1" applyFont="1" applyFill="1" applyBorder="1" applyAlignment="1">
      <alignment horizontal="right" vertical="center"/>
    </xf>
    <xf numFmtId="4" fontId="21" fillId="39" borderId="20" xfId="58" applyNumberFormat="1" applyFont="1" applyFill="1" applyBorder="1" applyAlignment="1">
      <alignment horizontal="left" vertical="center" wrapText="1"/>
      <protection/>
    </xf>
    <xf numFmtId="4" fontId="21" fillId="39" borderId="11" xfId="33" applyNumberFormat="1" applyFont="1" applyFill="1" applyBorder="1" applyAlignment="1">
      <alignment horizontal="right" vertical="center"/>
    </xf>
    <xf numFmtId="4" fontId="21" fillId="39" borderId="26" xfId="33" applyNumberFormat="1" applyFont="1" applyFill="1" applyBorder="1" applyAlignment="1">
      <alignment horizontal="right" vertical="center"/>
    </xf>
    <xf numFmtId="4" fontId="21" fillId="39" borderId="17" xfId="33" applyNumberFormat="1" applyFont="1" applyFill="1" applyBorder="1" applyAlignment="1">
      <alignment horizontal="right" vertical="center"/>
    </xf>
    <xf numFmtId="4" fontId="21" fillId="39" borderId="13" xfId="33" applyNumberFormat="1" applyFont="1" applyFill="1" applyBorder="1" applyAlignment="1">
      <alignment horizontal="right" vertical="center"/>
    </xf>
    <xf numFmtId="4" fontId="24" fillId="39" borderId="13" xfId="35" applyNumberFormat="1" applyFont="1" applyFill="1" applyBorder="1" applyAlignment="1">
      <alignment horizontal="right" vertical="center"/>
    </xf>
    <xf numFmtId="4" fontId="21" fillId="39" borderId="11" xfId="35" applyNumberFormat="1" applyFont="1" applyFill="1" applyBorder="1" applyAlignment="1">
      <alignment horizontal="right" vertical="center"/>
    </xf>
    <xf numFmtId="4" fontId="21" fillId="24" borderId="11" xfId="33" applyNumberFormat="1" applyFont="1" applyFill="1" applyBorder="1" applyAlignment="1">
      <alignment horizontal="right" vertical="center"/>
    </xf>
    <xf numFmtId="4" fontId="21" fillId="24" borderId="26" xfId="33" applyNumberFormat="1" applyFont="1" applyFill="1" applyBorder="1" applyAlignment="1">
      <alignment horizontal="right" vertical="center"/>
    </xf>
    <xf numFmtId="4" fontId="22" fillId="24" borderId="26" xfId="33" applyNumberFormat="1" applyFont="1" applyFill="1" applyBorder="1" applyAlignment="1">
      <alignment horizontal="right" vertical="center"/>
    </xf>
    <xf numFmtId="4" fontId="23" fillId="24" borderId="22" xfId="33" applyNumberFormat="1" applyFont="1" applyFill="1" applyBorder="1" applyAlignment="1">
      <alignment horizontal="right" vertical="center"/>
    </xf>
    <xf numFmtId="4" fontId="21" fillId="48" borderId="39" xfId="58" applyNumberFormat="1" applyFont="1" applyFill="1" applyBorder="1" applyAlignment="1">
      <alignment horizontal="left" vertical="center" wrapText="1"/>
      <protection/>
    </xf>
    <xf numFmtId="4" fontId="21" fillId="48" borderId="11" xfId="33" applyNumberFormat="1" applyFont="1" applyFill="1" applyBorder="1" applyAlignment="1">
      <alignment horizontal="right" vertical="center"/>
    </xf>
    <xf numFmtId="4" fontId="21" fillId="48" borderId="26" xfId="33" applyNumberFormat="1" applyFont="1" applyFill="1" applyBorder="1" applyAlignment="1">
      <alignment horizontal="right" vertical="center"/>
    </xf>
    <xf numFmtId="4" fontId="21" fillId="48" borderId="13" xfId="33" applyNumberFormat="1" applyFont="1" applyFill="1" applyBorder="1" applyAlignment="1">
      <alignment horizontal="right" vertical="center"/>
    </xf>
    <xf numFmtId="4" fontId="24" fillId="49" borderId="13" xfId="35" applyNumberFormat="1" applyFont="1" applyFill="1" applyBorder="1" applyAlignment="1">
      <alignment horizontal="right" vertical="center"/>
    </xf>
    <xf numFmtId="4" fontId="21" fillId="49" borderId="11" xfId="35" applyNumberFormat="1" applyFont="1" applyFill="1" applyBorder="1" applyAlignment="1">
      <alignment horizontal="right" vertical="center"/>
    </xf>
    <xf numFmtId="4" fontId="21" fillId="49" borderId="11" xfId="33" applyNumberFormat="1" applyFont="1" applyFill="1" applyBorder="1" applyAlignment="1">
      <alignment horizontal="right" vertical="center"/>
    </xf>
    <xf numFmtId="4" fontId="21" fillId="49" borderId="26" xfId="33" applyNumberFormat="1" applyFont="1" applyFill="1" applyBorder="1" applyAlignment="1">
      <alignment horizontal="right" vertical="center"/>
    </xf>
    <xf numFmtId="4" fontId="22" fillId="49" borderId="26" xfId="33" applyNumberFormat="1" applyFont="1" applyFill="1" applyBorder="1" applyAlignment="1">
      <alignment horizontal="right" vertical="center"/>
    </xf>
    <xf numFmtId="4" fontId="23" fillId="49" borderId="22" xfId="33" applyNumberFormat="1" applyFont="1" applyFill="1" applyBorder="1" applyAlignment="1">
      <alignment horizontal="right" vertical="center"/>
    </xf>
    <xf numFmtId="4" fontId="21" fillId="50" borderId="39" xfId="58" applyNumberFormat="1" applyFont="1" applyFill="1" applyBorder="1" applyAlignment="1">
      <alignment horizontal="left" vertical="center" wrapText="1"/>
      <protection/>
    </xf>
    <xf numFmtId="4" fontId="21" fillId="50" borderId="11" xfId="33" applyNumberFormat="1" applyFont="1" applyFill="1" applyBorder="1" applyAlignment="1">
      <alignment horizontal="right" vertical="center"/>
    </xf>
    <xf numFmtId="4" fontId="21" fillId="50" borderId="26" xfId="33" applyNumberFormat="1" applyFont="1" applyFill="1" applyBorder="1" applyAlignment="1">
      <alignment horizontal="right" vertical="center"/>
    </xf>
    <xf numFmtId="4" fontId="21" fillId="50" borderId="13" xfId="33" applyNumberFormat="1" applyFont="1" applyFill="1" applyBorder="1" applyAlignment="1">
      <alignment horizontal="right" vertical="center"/>
    </xf>
    <xf numFmtId="4" fontId="21" fillId="50" borderId="11" xfId="35" applyNumberFormat="1" applyFont="1" applyFill="1" applyBorder="1" applyAlignment="1">
      <alignment horizontal="right" vertical="center"/>
    </xf>
    <xf numFmtId="4" fontId="22" fillId="50" borderId="26" xfId="33" applyNumberFormat="1" applyFont="1" applyFill="1" applyBorder="1" applyAlignment="1">
      <alignment horizontal="right" vertical="center"/>
    </xf>
    <xf numFmtId="4" fontId="23" fillId="50" borderId="22" xfId="33" applyNumberFormat="1" applyFont="1" applyFill="1" applyBorder="1" applyAlignment="1">
      <alignment horizontal="right" vertical="center"/>
    </xf>
    <xf numFmtId="4" fontId="21" fillId="51" borderId="39" xfId="58" applyNumberFormat="1" applyFont="1" applyFill="1" applyBorder="1" applyAlignment="1">
      <alignment horizontal="left" vertical="center" wrapText="1"/>
      <protection/>
    </xf>
    <xf numFmtId="4" fontId="21" fillId="51" borderId="11" xfId="33" applyNumberFormat="1" applyFont="1" applyFill="1" applyBorder="1" applyAlignment="1">
      <alignment horizontal="right" vertical="center"/>
    </xf>
    <xf numFmtId="4" fontId="21" fillId="51" borderId="26" xfId="33" applyNumberFormat="1" applyFont="1" applyFill="1" applyBorder="1" applyAlignment="1">
      <alignment horizontal="right" vertical="center"/>
    </xf>
    <xf numFmtId="4" fontId="24" fillId="52" borderId="13" xfId="35" applyNumberFormat="1" applyFont="1" applyFill="1" applyBorder="1" applyAlignment="1">
      <alignment horizontal="right" vertical="center"/>
    </xf>
    <xf numFmtId="4" fontId="21" fillId="52" borderId="11" xfId="35" applyNumberFormat="1" applyFont="1" applyFill="1" applyBorder="1" applyAlignment="1">
      <alignment horizontal="right" vertical="center"/>
    </xf>
    <xf numFmtId="4" fontId="21" fillId="52" borderId="11" xfId="33" applyNumberFormat="1" applyFont="1" applyFill="1" applyBorder="1" applyAlignment="1">
      <alignment horizontal="right" vertical="center"/>
    </xf>
    <xf numFmtId="4" fontId="21" fillId="52" borderId="26" xfId="33" applyNumberFormat="1" applyFont="1" applyFill="1" applyBorder="1" applyAlignment="1">
      <alignment horizontal="right" vertical="center"/>
    </xf>
    <xf numFmtId="4" fontId="22" fillId="52" borderId="26" xfId="33" applyNumberFormat="1" applyFont="1" applyFill="1" applyBorder="1" applyAlignment="1">
      <alignment horizontal="right" vertical="center"/>
    </xf>
    <xf numFmtId="4" fontId="23" fillId="52" borderId="21" xfId="33" applyNumberFormat="1" applyFont="1" applyFill="1" applyBorder="1" applyAlignment="1">
      <alignment horizontal="right" vertical="center" wrapText="1"/>
    </xf>
    <xf numFmtId="4" fontId="21" fillId="51" borderId="20" xfId="58" applyNumberFormat="1" applyFont="1" applyFill="1" applyBorder="1" applyAlignment="1">
      <alignment horizontal="left" vertical="center" wrapText="1"/>
      <protection/>
    </xf>
    <xf numFmtId="4" fontId="23" fillId="52" borderId="11" xfId="33" applyNumberFormat="1" applyFont="1" applyFill="1" applyBorder="1" applyAlignment="1">
      <alignment horizontal="right" vertical="center"/>
    </xf>
    <xf numFmtId="4" fontId="23" fillId="52" borderId="26" xfId="33" applyNumberFormat="1" applyFont="1" applyFill="1" applyBorder="1" applyAlignment="1">
      <alignment horizontal="right" vertical="center"/>
    </xf>
    <xf numFmtId="4" fontId="24" fillId="52" borderId="26" xfId="33" applyNumberFormat="1" applyFont="1" applyFill="1" applyBorder="1" applyAlignment="1">
      <alignment horizontal="right" vertical="center"/>
    </xf>
    <xf numFmtId="4" fontId="21" fillId="33" borderId="39" xfId="58" applyNumberFormat="1" applyFont="1" applyFill="1" applyBorder="1" applyAlignment="1">
      <alignment horizontal="left" vertical="center" wrapText="1"/>
      <protection/>
    </xf>
    <xf numFmtId="4" fontId="22" fillId="0" borderId="26" xfId="33" applyNumberFormat="1" applyFont="1" applyFill="1" applyBorder="1" applyAlignment="1">
      <alignment horizontal="right" vertical="center"/>
    </xf>
    <xf numFmtId="4" fontId="21" fillId="0" borderId="53" xfId="58" applyNumberFormat="1" applyFont="1" applyBorder="1" applyAlignment="1">
      <alignment horizontal="left" vertical="center" wrapText="1"/>
      <protection/>
    </xf>
    <xf numFmtId="0" fontId="21" fillId="0" borderId="38" xfId="56" applyFont="1" applyBorder="1">
      <alignment/>
      <protection/>
    </xf>
    <xf numFmtId="0" fontId="21" fillId="0" borderId="37" xfId="56" applyFont="1" applyBorder="1">
      <alignment/>
      <protection/>
    </xf>
    <xf numFmtId="4" fontId="24" fillId="0" borderId="37" xfId="33" applyNumberFormat="1" applyFont="1" applyFill="1" applyBorder="1" applyAlignment="1">
      <alignment horizontal="right" vertical="center"/>
    </xf>
    <xf numFmtId="4" fontId="21" fillId="0" borderId="12" xfId="56" applyNumberFormat="1" applyFont="1" applyBorder="1">
      <alignment/>
      <protection/>
    </xf>
    <xf numFmtId="4" fontId="22" fillId="0" borderId="38" xfId="33" applyNumberFormat="1" applyFont="1" applyFill="1" applyBorder="1" applyAlignment="1">
      <alignment horizontal="right" vertical="center"/>
    </xf>
    <xf numFmtId="4" fontId="23" fillId="0" borderId="23" xfId="33" applyNumberFormat="1" applyFont="1" applyFill="1" applyBorder="1" applyAlignment="1">
      <alignment horizontal="right" vertical="center" wrapText="1"/>
    </xf>
    <xf numFmtId="4" fontId="21" fillId="0" borderId="36" xfId="33" applyNumberFormat="1" applyFont="1" applyFill="1" applyBorder="1" applyAlignment="1">
      <alignment horizontal="right" vertical="center"/>
    </xf>
    <xf numFmtId="0" fontId="21" fillId="0" borderId="28" xfId="56" applyFont="1" applyBorder="1">
      <alignment/>
      <protection/>
    </xf>
    <xf numFmtId="4" fontId="21" fillId="0" borderId="28" xfId="56" applyNumberFormat="1" applyFont="1" applyBorder="1">
      <alignment/>
      <protection/>
    </xf>
    <xf numFmtId="4" fontId="23" fillId="0" borderId="28" xfId="33" applyNumberFormat="1" applyFont="1" applyFill="1" applyBorder="1" applyAlignment="1">
      <alignment horizontal="right" vertical="center" wrapText="1"/>
    </xf>
    <xf numFmtId="4" fontId="21" fillId="0" borderId="49" xfId="58" applyNumberFormat="1" applyFont="1" applyBorder="1" applyAlignment="1">
      <alignment horizontal="left" vertical="center" wrapText="1"/>
      <protection/>
    </xf>
    <xf numFmtId="4" fontId="21" fillId="0" borderId="11" xfId="55" applyNumberFormat="1" applyFont="1" applyFill="1" applyBorder="1">
      <alignment/>
      <protection/>
    </xf>
    <xf numFmtId="4" fontId="21" fillId="0" borderId="11" xfId="55" applyNumberFormat="1" applyFont="1" applyFill="1" applyBorder="1" applyAlignment="1">
      <alignment wrapText="1"/>
      <protection/>
    </xf>
    <xf numFmtId="4" fontId="22" fillId="0" borderId="49" xfId="33" applyNumberFormat="1" applyFont="1" applyFill="1" applyBorder="1" applyAlignment="1">
      <alignment horizontal="right" vertical="center"/>
    </xf>
    <xf numFmtId="4" fontId="23" fillId="0" borderId="22" xfId="33" applyNumberFormat="1" applyFont="1" applyFill="1" applyBorder="1" applyAlignment="1">
      <alignment horizontal="right" vertical="center" wrapText="1"/>
    </xf>
    <xf numFmtId="4" fontId="22" fillId="0" borderId="0" xfId="33" applyNumberFormat="1" applyFont="1" applyFill="1" applyBorder="1" applyAlignment="1">
      <alignment horizontal="right" vertical="center"/>
    </xf>
    <xf numFmtId="4" fontId="59" fillId="0" borderId="12" xfId="33" applyNumberFormat="1" applyFont="1" applyFill="1" applyBorder="1" applyAlignment="1">
      <alignment horizontal="right" vertical="center"/>
    </xf>
    <xf numFmtId="4" fontId="23" fillId="0" borderId="21" xfId="33" applyNumberFormat="1" applyFont="1" applyFill="1" applyBorder="1" applyAlignment="1">
      <alignment horizontal="right" vertical="center" wrapText="1"/>
    </xf>
    <xf numFmtId="4" fontId="63" fillId="0" borderId="35" xfId="58" applyNumberFormat="1" applyFont="1" applyFill="1" applyBorder="1" applyAlignment="1">
      <alignment horizontal="left" vertical="center" wrapText="1"/>
      <protection/>
    </xf>
    <xf numFmtId="4" fontId="23" fillId="52" borderId="14" xfId="56" applyNumberFormat="1" applyFont="1" applyFill="1" applyBorder="1">
      <alignment/>
      <protection/>
    </xf>
    <xf numFmtId="4" fontId="21" fillId="10" borderId="15" xfId="33" applyNumberFormat="1" applyFont="1" applyFill="1" applyBorder="1" applyAlignment="1">
      <alignment horizontal="right" vertical="center"/>
    </xf>
    <xf numFmtId="4" fontId="21" fillId="10" borderId="16" xfId="33" applyNumberFormat="1" applyFont="1" applyFill="1" applyBorder="1" applyAlignment="1">
      <alignment horizontal="right" vertical="center"/>
    </xf>
    <xf numFmtId="4" fontId="24" fillId="10" borderId="15" xfId="33" applyNumberFormat="1" applyFont="1" applyFill="1" applyBorder="1" applyAlignment="1">
      <alignment horizontal="right" vertical="center"/>
    </xf>
    <xf numFmtId="4" fontId="21" fillId="10" borderId="30" xfId="33" applyNumberFormat="1" applyFont="1" applyFill="1" applyBorder="1" applyAlignment="1">
      <alignment horizontal="right" vertical="center"/>
    </xf>
    <xf numFmtId="4" fontId="23" fillId="10" borderId="16" xfId="33" applyNumberFormat="1" applyFont="1" applyFill="1" applyBorder="1" applyAlignment="1">
      <alignment horizontal="right" vertical="center"/>
    </xf>
    <xf numFmtId="4" fontId="23" fillId="10" borderId="35" xfId="56" applyNumberFormat="1" applyFont="1" applyFill="1" applyBorder="1" applyAlignment="1">
      <alignment horizontal="left" vertical="center" wrapText="1"/>
      <protection/>
    </xf>
    <xf numFmtId="4" fontId="21" fillId="10" borderId="12" xfId="33" applyNumberFormat="1" applyFont="1" applyFill="1" applyBorder="1" applyAlignment="1">
      <alignment horizontal="right" vertical="center"/>
    </xf>
    <xf numFmtId="4" fontId="21" fillId="10" borderId="0" xfId="33" applyNumberFormat="1" applyFont="1" applyFill="1" applyBorder="1" applyAlignment="1">
      <alignment horizontal="right" vertical="center"/>
    </xf>
    <xf numFmtId="4" fontId="23" fillId="10" borderId="14" xfId="56" applyNumberFormat="1" applyFont="1" applyFill="1" applyBorder="1">
      <alignment/>
      <protection/>
    </xf>
    <xf numFmtId="4" fontId="23" fillId="10" borderId="27" xfId="33" applyNumberFormat="1" applyFont="1" applyFill="1" applyBorder="1" applyAlignment="1">
      <alignment horizontal="right" vertical="center"/>
    </xf>
    <xf numFmtId="4" fontId="23" fillId="10" borderId="14" xfId="56" applyNumberFormat="1" applyFont="1" applyFill="1" applyBorder="1" applyAlignment="1">
      <alignment horizontal="left" vertical="center" wrapText="1"/>
      <protection/>
    </xf>
    <xf numFmtId="4" fontId="23" fillId="10" borderId="13" xfId="33" applyNumberFormat="1" applyFont="1" applyFill="1" applyBorder="1" applyAlignment="1">
      <alignment horizontal="right" vertical="center"/>
    </xf>
    <xf numFmtId="4" fontId="23" fillId="0" borderId="35" xfId="56" applyNumberFormat="1" applyFont="1" applyFill="1" applyBorder="1" applyAlignment="1">
      <alignment horizontal="left" vertical="center" wrapText="1"/>
      <protection/>
    </xf>
    <xf numFmtId="4" fontId="23" fillId="33" borderId="35" xfId="56" applyNumberFormat="1" applyFont="1" applyFill="1" applyBorder="1" applyAlignment="1">
      <alignment horizontal="left" vertical="center" wrapText="1"/>
      <protection/>
    </xf>
    <xf numFmtId="4" fontId="21" fillId="33" borderId="12" xfId="33" applyNumberFormat="1" applyFont="1" applyFill="1" applyBorder="1" applyAlignment="1">
      <alignment horizontal="right" vertical="center"/>
    </xf>
    <xf numFmtId="4" fontId="21" fillId="33" borderId="0" xfId="33" applyNumberFormat="1" applyFont="1" applyFill="1" applyBorder="1" applyAlignment="1">
      <alignment horizontal="right" vertical="center"/>
    </xf>
    <xf numFmtId="4" fontId="24" fillId="33" borderId="12" xfId="33" applyNumberFormat="1" applyFont="1" applyFill="1" applyBorder="1" applyAlignment="1">
      <alignment horizontal="right" vertical="center"/>
    </xf>
    <xf numFmtId="4" fontId="23" fillId="33" borderId="27" xfId="33" applyNumberFormat="1" applyFont="1" applyFill="1" applyBorder="1" applyAlignment="1">
      <alignment horizontal="right" vertical="center"/>
    </xf>
    <xf numFmtId="0" fontId="21" fillId="33" borderId="0" xfId="56" applyFont="1" applyFill="1">
      <alignment/>
      <protection/>
    </xf>
    <xf numFmtId="4" fontId="23" fillId="53" borderId="14" xfId="56" applyNumberFormat="1" applyFont="1" applyFill="1" applyBorder="1" applyAlignment="1">
      <alignment horizontal="left" vertical="center" wrapText="1"/>
      <protection/>
    </xf>
    <xf numFmtId="4" fontId="23" fillId="53" borderId="15" xfId="33" applyNumberFormat="1" applyFont="1" applyFill="1" applyBorder="1" applyAlignment="1">
      <alignment horizontal="right" vertical="center"/>
    </xf>
    <xf numFmtId="4" fontId="23" fillId="53" borderId="30" xfId="33" applyNumberFormat="1" applyFont="1" applyFill="1" applyBorder="1" applyAlignment="1">
      <alignment horizontal="right" vertical="center"/>
    </xf>
    <xf numFmtId="4" fontId="24" fillId="53" borderId="15" xfId="33" applyNumberFormat="1" applyFont="1" applyFill="1" applyBorder="1" applyAlignment="1">
      <alignment horizontal="right" vertical="center"/>
    </xf>
    <xf numFmtId="4" fontId="23" fillId="53" borderId="16" xfId="33" applyNumberFormat="1" applyFont="1" applyFill="1" applyBorder="1" applyAlignment="1">
      <alignment horizontal="right" vertical="center"/>
    </xf>
    <xf numFmtId="4" fontId="23" fillId="44" borderId="14" xfId="56" applyNumberFormat="1" applyFont="1" applyFill="1" applyBorder="1" applyAlignment="1">
      <alignment horizontal="left" vertical="center" wrapText="1"/>
      <protection/>
    </xf>
    <xf numFmtId="4" fontId="23" fillId="44" borderId="15" xfId="33" applyNumberFormat="1" applyFont="1" applyFill="1" applyBorder="1" applyAlignment="1">
      <alignment horizontal="right" vertical="center"/>
    </xf>
    <xf numFmtId="4" fontId="23" fillId="44" borderId="30" xfId="33" applyNumberFormat="1" applyFont="1" applyFill="1" applyBorder="1" applyAlignment="1">
      <alignment horizontal="right" vertical="center"/>
    </xf>
    <xf numFmtId="4" fontId="24" fillId="44" borderId="15" xfId="33" applyNumberFormat="1" applyFont="1" applyFill="1" applyBorder="1" applyAlignment="1">
      <alignment horizontal="right" vertical="center"/>
    </xf>
    <xf numFmtId="4" fontId="23" fillId="44" borderId="16" xfId="33" applyNumberFormat="1" applyFont="1" applyFill="1" applyBorder="1" applyAlignment="1">
      <alignment horizontal="right" vertical="center"/>
    </xf>
    <xf numFmtId="4" fontId="23" fillId="0" borderId="13" xfId="33" applyNumberFormat="1" applyFont="1" applyFill="1" applyBorder="1" applyAlignment="1">
      <alignment horizontal="right" vertical="center"/>
    </xf>
    <xf numFmtId="4" fontId="23" fillId="0" borderId="25" xfId="33" applyNumberFormat="1" applyFont="1" applyFill="1" applyBorder="1" applyAlignment="1">
      <alignment horizontal="right" vertical="center"/>
    </xf>
    <xf numFmtId="4" fontId="23" fillId="0" borderId="12" xfId="33" applyNumberFormat="1" applyFont="1" applyFill="1" applyBorder="1" applyAlignment="1">
      <alignment horizontal="right" vertical="center"/>
    </xf>
    <xf numFmtId="4" fontId="21" fillId="52" borderId="15" xfId="33" applyNumberFormat="1" applyFont="1" applyFill="1" applyBorder="1" applyAlignment="1">
      <alignment horizontal="right" vertical="center"/>
    </xf>
    <xf numFmtId="4" fontId="21" fillId="52" borderId="30" xfId="33" applyNumberFormat="1" applyFont="1" applyFill="1" applyBorder="1" applyAlignment="1">
      <alignment horizontal="right" vertical="center"/>
    </xf>
    <xf numFmtId="4" fontId="24" fillId="52" borderId="15" xfId="33" applyNumberFormat="1" applyFont="1" applyFill="1" applyBorder="1" applyAlignment="1">
      <alignment horizontal="right" vertical="center"/>
    </xf>
    <xf numFmtId="4" fontId="23" fillId="52" borderId="16" xfId="33" applyNumberFormat="1" applyFont="1" applyFill="1" applyBorder="1" applyAlignment="1">
      <alignment horizontal="right" vertical="center"/>
    </xf>
    <xf numFmtId="4" fontId="23" fillId="52" borderId="14" xfId="56" applyNumberFormat="1" applyFont="1" applyFill="1" applyBorder="1" applyAlignment="1">
      <alignment horizontal="left" vertical="center" wrapText="1"/>
      <protection/>
    </xf>
    <xf numFmtId="4" fontId="21" fillId="52" borderId="41" xfId="33" applyNumberFormat="1" applyFont="1" applyFill="1" applyBorder="1" applyAlignment="1">
      <alignment/>
    </xf>
    <xf numFmtId="4" fontId="21" fillId="52" borderId="42" xfId="33" applyNumberFormat="1" applyFont="1" applyFill="1" applyBorder="1" applyAlignment="1">
      <alignment/>
    </xf>
    <xf numFmtId="4" fontId="24" fillId="52" borderId="41" xfId="33" applyNumberFormat="1" applyFont="1" applyFill="1" applyBorder="1" applyAlignment="1">
      <alignment vertical="center"/>
    </xf>
    <xf numFmtId="4" fontId="23" fillId="52" borderId="24" xfId="33" applyNumberFormat="1" applyFont="1" applyFill="1" applyBorder="1" applyAlignment="1">
      <alignment/>
    </xf>
    <xf numFmtId="4" fontId="21" fillId="0" borderId="20" xfId="56" applyNumberFormat="1" applyFont="1" applyBorder="1" applyAlignment="1">
      <alignment horizontal="left" vertical="center" wrapText="1"/>
      <protection/>
    </xf>
    <xf numFmtId="4" fontId="21" fillId="33" borderId="13" xfId="33" applyNumberFormat="1" applyFont="1" applyFill="1" applyBorder="1" applyAlignment="1">
      <alignment/>
    </xf>
    <xf numFmtId="4" fontId="21" fillId="33" borderId="21" xfId="33" applyNumberFormat="1" applyFont="1" applyFill="1" applyBorder="1" applyAlignment="1">
      <alignment/>
    </xf>
    <xf numFmtId="4" fontId="21" fillId="33" borderId="25" xfId="33" applyNumberFormat="1" applyFont="1" applyFill="1" applyBorder="1" applyAlignment="1">
      <alignment/>
    </xf>
    <xf numFmtId="4" fontId="24" fillId="33" borderId="21" xfId="33" applyNumberFormat="1" applyFont="1" applyFill="1" applyBorder="1" applyAlignment="1">
      <alignment vertical="center"/>
    </xf>
    <xf numFmtId="4" fontId="21" fillId="33" borderId="20" xfId="33" applyNumberFormat="1" applyFont="1" applyFill="1" applyBorder="1" applyAlignment="1">
      <alignment/>
    </xf>
    <xf numFmtId="4" fontId="21" fillId="37" borderId="13" xfId="33" applyNumberFormat="1" applyFont="1" applyFill="1" applyBorder="1" applyAlignment="1">
      <alignment/>
    </xf>
    <xf numFmtId="4" fontId="23" fillId="0" borderId="21" xfId="33" applyNumberFormat="1" applyFont="1" applyFill="1" applyBorder="1" applyAlignment="1">
      <alignment/>
    </xf>
    <xf numFmtId="4" fontId="21" fillId="0" borderId="39" xfId="56" applyNumberFormat="1" applyFont="1" applyBorder="1" applyAlignment="1">
      <alignment horizontal="left" vertical="center" wrapText="1"/>
      <protection/>
    </xf>
    <xf numFmtId="4" fontId="21" fillId="0" borderId="12" xfId="33" applyNumberFormat="1" applyFont="1" applyFill="1" applyBorder="1" applyAlignment="1">
      <alignment/>
    </xf>
    <xf numFmtId="4" fontId="21" fillId="0" borderId="27" xfId="33" applyNumberFormat="1" applyFont="1" applyFill="1" applyBorder="1" applyAlignment="1">
      <alignment/>
    </xf>
    <xf numFmtId="4" fontId="21" fillId="0" borderId="0" xfId="33" applyNumberFormat="1" applyFont="1" applyFill="1" applyBorder="1" applyAlignment="1">
      <alignment/>
    </xf>
    <xf numFmtId="4" fontId="21" fillId="33" borderId="26" xfId="33" applyNumberFormat="1" applyFont="1" applyFill="1" applyBorder="1" applyAlignment="1">
      <alignment/>
    </xf>
    <xf numFmtId="4" fontId="24" fillId="33" borderId="22" xfId="33" applyNumberFormat="1" applyFont="1" applyFill="1" applyBorder="1" applyAlignment="1">
      <alignment vertical="center"/>
    </xf>
    <xf numFmtId="4" fontId="21" fillId="33" borderId="11" xfId="33" applyNumberFormat="1" applyFont="1" applyFill="1" applyBorder="1" applyAlignment="1">
      <alignment/>
    </xf>
    <xf numFmtId="4" fontId="21" fillId="33" borderId="39" xfId="33" applyNumberFormat="1" applyFont="1" applyFill="1" applyBorder="1" applyAlignment="1">
      <alignment/>
    </xf>
    <xf numFmtId="4" fontId="23" fillId="33" borderId="22" xfId="33" applyNumberFormat="1" applyFont="1" applyFill="1" applyBorder="1" applyAlignment="1">
      <alignment/>
    </xf>
    <xf numFmtId="4" fontId="21" fillId="35" borderId="39" xfId="56" applyNumberFormat="1" applyFont="1" applyFill="1" applyBorder="1" applyAlignment="1">
      <alignment horizontal="left" vertical="center" wrapText="1"/>
      <protection/>
    </xf>
    <xf numFmtId="4" fontId="21" fillId="54" borderId="11" xfId="33" applyNumberFormat="1" applyFont="1" applyFill="1" applyBorder="1" applyAlignment="1">
      <alignment/>
    </xf>
    <xf numFmtId="4" fontId="21" fillId="54" borderId="22" xfId="33" applyNumberFormat="1" applyFont="1" applyFill="1" applyBorder="1" applyAlignment="1">
      <alignment/>
    </xf>
    <xf numFmtId="4" fontId="21" fillId="35" borderId="26" xfId="33" applyNumberFormat="1" applyFont="1" applyFill="1" applyBorder="1" applyAlignment="1">
      <alignment/>
    </xf>
    <xf numFmtId="4" fontId="21" fillId="35" borderId="11" xfId="33" applyNumberFormat="1" applyFont="1" applyFill="1" applyBorder="1" applyAlignment="1">
      <alignment/>
    </xf>
    <xf numFmtId="4" fontId="21" fillId="54" borderId="39" xfId="33" applyNumberFormat="1" applyFont="1" applyFill="1" applyBorder="1" applyAlignment="1">
      <alignment/>
    </xf>
    <xf numFmtId="4" fontId="21" fillId="54" borderId="37" xfId="33" applyNumberFormat="1" applyFont="1" applyFill="1" applyBorder="1" applyAlignment="1">
      <alignment/>
    </xf>
    <xf numFmtId="4" fontId="23" fillId="54" borderId="23" xfId="33" applyNumberFormat="1" applyFont="1" applyFill="1" applyBorder="1" applyAlignment="1">
      <alignment/>
    </xf>
    <xf numFmtId="4" fontId="21" fillId="33" borderId="41" xfId="33" applyNumberFormat="1" applyFont="1" applyFill="1" applyBorder="1" applyAlignment="1">
      <alignment/>
    </xf>
    <xf numFmtId="4" fontId="21" fillId="33" borderId="22" xfId="33" applyNumberFormat="1" applyFont="1" applyFill="1" applyBorder="1" applyAlignment="1">
      <alignment/>
    </xf>
    <xf numFmtId="4" fontId="21" fillId="33" borderId="37" xfId="33" applyNumberFormat="1" applyFont="1" applyFill="1" applyBorder="1" applyAlignment="1">
      <alignment/>
    </xf>
    <xf numFmtId="4" fontId="23" fillId="33" borderId="23" xfId="33" applyNumberFormat="1" applyFont="1" applyFill="1" applyBorder="1" applyAlignment="1">
      <alignment/>
    </xf>
    <xf numFmtId="4" fontId="23" fillId="34" borderId="40" xfId="56" applyNumberFormat="1" applyFont="1" applyFill="1" applyBorder="1">
      <alignment/>
      <protection/>
    </xf>
    <xf numFmtId="4" fontId="21" fillId="34" borderId="10" xfId="33" applyNumberFormat="1" applyFont="1" applyFill="1" applyBorder="1" applyAlignment="1">
      <alignment/>
    </xf>
    <xf numFmtId="4" fontId="21" fillId="34" borderId="24" xfId="33" applyNumberFormat="1" applyFont="1" applyFill="1" applyBorder="1" applyAlignment="1">
      <alignment/>
    </xf>
    <xf numFmtId="4" fontId="21" fillId="34" borderId="42" xfId="33" applyNumberFormat="1" applyFont="1" applyFill="1" applyBorder="1" applyAlignment="1">
      <alignment/>
    </xf>
    <xf numFmtId="4" fontId="21" fillId="34" borderId="41" xfId="33" applyNumberFormat="1" applyFont="1" applyFill="1" applyBorder="1" applyAlignment="1">
      <alignment/>
    </xf>
    <xf numFmtId="4" fontId="21" fillId="34" borderId="45" xfId="33" applyNumberFormat="1" applyFont="1" applyFill="1" applyBorder="1" applyAlignment="1">
      <alignment/>
    </xf>
    <xf numFmtId="4" fontId="24" fillId="34" borderId="45" xfId="33" applyNumberFormat="1" applyFont="1" applyFill="1" applyBorder="1" applyAlignment="1">
      <alignment vertical="center"/>
    </xf>
    <xf numFmtId="4" fontId="21" fillId="54" borderId="41" xfId="33" applyNumberFormat="1" applyFont="1" applyFill="1" applyBorder="1" applyAlignment="1">
      <alignment/>
    </xf>
    <xf numFmtId="4" fontId="21" fillId="34" borderId="40" xfId="33" applyNumberFormat="1" applyFont="1" applyFill="1" applyBorder="1" applyAlignment="1">
      <alignment/>
    </xf>
    <xf numFmtId="4" fontId="23" fillId="34" borderId="24" xfId="33" applyNumberFormat="1" applyFont="1" applyFill="1" applyBorder="1" applyAlignment="1">
      <alignment/>
    </xf>
    <xf numFmtId="4" fontId="23" fillId="34" borderId="20" xfId="56" applyNumberFormat="1" applyFont="1" applyFill="1" applyBorder="1" applyAlignment="1">
      <alignment horizontal="left" vertical="center" wrapText="1"/>
      <protection/>
    </xf>
    <xf numFmtId="4" fontId="24" fillId="34" borderId="10" xfId="33" applyNumberFormat="1" applyFont="1" applyFill="1" applyBorder="1" applyAlignment="1">
      <alignment vertical="center"/>
    </xf>
    <xf numFmtId="4" fontId="21" fillId="34" borderId="29" xfId="33" applyNumberFormat="1" applyFont="1" applyFill="1" applyBorder="1" applyAlignment="1">
      <alignment/>
    </xf>
    <xf numFmtId="4" fontId="23" fillId="34" borderId="45" xfId="33" applyNumberFormat="1" applyFont="1" applyFill="1" applyBorder="1" applyAlignment="1">
      <alignment/>
    </xf>
    <xf numFmtId="4" fontId="21" fillId="0" borderId="10" xfId="33" applyNumberFormat="1" applyFont="1" applyBorder="1" applyAlignment="1">
      <alignment/>
    </xf>
    <xf numFmtId="4" fontId="24" fillId="0" borderId="0" xfId="33" applyNumberFormat="1" applyFont="1" applyAlignment="1">
      <alignment vertical="center"/>
    </xf>
    <xf numFmtId="4" fontId="21" fillId="0" borderId="12" xfId="33" applyNumberFormat="1" applyFont="1" applyBorder="1" applyAlignment="1">
      <alignment/>
    </xf>
    <xf numFmtId="4" fontId="21" fillId="0" borderId="0" xfId="56" applyNumberFormat="1" applyFont="1" applyAlignment="1">
      <alignment horizontal="right"/>
      <protection/>
    </xf>
    <xf numFmtId="4" fontId="24" fillId="0" borderId="0" xfId="56" applyNumberFormat="1" applyFont="1" applyAlignment="1">
      <alignment vertical="center"/>
      <protection/>
    </xf>
    <xf numFmtId="4" fontId="21" fillId="33" borderId="0" xfId="56" applyNumberFormat="1" applyFont="1" applyFill="1">
      <alignment/>
      <protection/>
    </xf>
    <xf numFmtId="4" fontId="21" fillId="33" borderId="12" xfId="56" applyNumberFormat="1" applyFont="1" applyFill="1" applyBorder="1">
      <alignment/>
      <protection/>
    </xf>
    <xf numFmtId="4" fontId="23" fillId="33" borderId="0" xfId="56" applyNumberFormat="1" applyFont="1" applyFill="1">
      <alignment/>
      <protection/>
    </xf>
    <xf numFmtId="4" fontId="38" fillId="33" borderId="0" xfId="56" applyNumberFormat="1" applyFont="1" applyFill="1">
      <alignment/>
      <protection/>
    </xf>
    <xf numFmtId="4" fontId="21" fillId="0" borderId="11" xfId="57" applyNumberFormat="1" applyFont="1" applyBorder="1">
      <alignment/>
      <protection/>
    </xf>
    <xf numFmtId="4" fontId="23" fillId="37" borderId="0" xfId="56" applyNumberFormat="1" applyFont="1" applyFill="1" applyBorder="1" applyAlignment="1">
      <alignment horizontal="center"/>
      <protection/>
    </xf>
    <xf numFmtId="4" fontId="21" fillId="37" borderId="28" xfId="56" applyNumberFormat="1" applyFont="1" applyFill="1" applyBorder="1">
      <alignment/>
      <protection/>
    </xf>
    <xf numFmtId="4" fontId="21" fillId="37" borderId="12" xfId="56" applyNumberFormat="1" applyFont="1" applyFill="1" applyBorder="1">
      <alignment/>
      <protection/>
    </xf>
    <xf numFmtId="4" fontId="21" fillId="35" borderId="22" xfId="33" applyNumberFormat="1" applyFont="1" applyFill="1" applyBorder="1" applyAlignment="1">
      <alignment/>
    </xf>
    <xf numFmtId="4" fontId="24" fillId="35" borderId="22" xfId="33" applyNumberFormat="1" applyFont="1" applyFill="1" applyBorder="1" applyAlignment="1">
      <alignment vertical="center"/>
    </xf>
    <xf numFmtId="0" fontId="22" fillId="37" borderId="28" xfId="54" applyFont="1" applyFill="1" applyBorder="1">
      <alignment/>
      <protection/>
    </xf>
    <xf numFmtId="0" fontId="22" fillId="37" borderId="28" xfId="54" applyFont="1" applyFill="1" applyBorder="1" applyAlignment="1">
      <alignment wrapText="1"/>
      <protection/>
    </xf>
    <xf numFmtId="4" fontId="21" fillId="37" borderId="28" xfId="58" applyNumberFormat="1" applyFont="1" applyFill="1" applyBorder="1" applyAlignment="1">
      <alignment horizontal="left" vertical="center" wrapText="1"/>
      <protection/>
    </xf>
    <xf numFmtId="0" fontId="22" fillId="37" borderId="28" xfId="55" applyFont="1" applyFill="1" applyBorder="1" applyAlignment="1">
      <alignment wrapText="1"/>
      <protection/>
    </xf>
    <xf numFmtId="4" fontId="22" fillId="37" borderId="28" xfId="58" applyNumberFormat="1" applyFont="1" applyFill="1" applyBorder="1" applyAlignment="1">
      <alignment horizontal="left" vertical="center" wrapText="1"/>
      <protection/>
    </xf>
    <xf numFmtId="0" fontId="22" fillId="37" borderId="28" xfId="54" applyFont="1" applyFill="1" applyBorder="1" applyAlignment="1">
      <alignment horizontal="left"/>
      <protection/>
    </xf>
    <xf numFmtId="0" fontId="22" fillId="37" borderId="28" xfId="55" applyFont="1" applyFill="1" applyBorder="1" applyAlignment="1">
      <alignment horizontal="left"/>
      <protection/>
    </xf>
    <xf numFmtId="3" fontId="22" fillId="37" borderId="28" xfId="58" applyNumberFormat="1" applyFont="1" applyFill="1" applyBorder="1" applyAlignment="1">
      <alignment horizontal="left" vertical="center" wrapText="1"/>
      <protection/>
    </xf>
    <xf numFmtId="4" fontId="22" fillId="37" borderId="28" xfId="58" applyNumberFormat="1" applyFont="1" applyFill="1" applyBorder="1" applyAlignment="1">
      <alignment vertical="center" wrapText="1"/>
      <protection/>
    </xf>
    <xf numFmtId="4" fontId="22" fillId="37" borderId="28" xfId="58" applyNumberFormat="1" applyFont="1" applyFill="1" applyBorder="1" applyAlignment="1">
      <alignment horizontal="left" shrinkToFit="1"/>
      <protection/>
    </xf>
    <xf numFmtId="4" fontId="21" fillId="37" borderId="28" xfId="58" applyNumberFormat="1" applyFont="1" applyFill="1" applyBorder="1" applyAlignment="1">
      <alignment horizontal="left" shrinkToFit="1"/>
      <protection/>
    </xf>
    <xf numFmtId="0" fontId="21" fillId="37" borderId="28" xfId="55" applyFont="1" applyFill="1" applyBorder="1" applyAlignment="1">
      <alignment wrapText="1"/>
      <protection/>
    </xf>
    <xf numFmtId="0" fontId="21" fillId="37" borderId="28" xfId="55" applyFont="1" applyFill="1" applyBorder="1">
      <alignment/>
      <protection/>
    </xf>
    <xf numFmtId="0" fontId="21" fillId="37" borderId="28" xfId="0" applyFont="1" applyFill="1" applyBorder="1" applyAlignment="1">
      <alignment/>
    </xf>
    <xf numFmtId="0" fontId="21" fillId="37" borderId="28" xfId="0" applyFont="1" applyFill="1" applyBorder="1" applyAlignment="1">
      <alignment wrapText="1"/>
    </xf>
    <xf numFmtId="0" fontId="22" fillId="37" borderId="20" xfId="55" applyFont="1" applyFill="1" applyBorder="1">
      <alignment/>
      <protection/>
    </xf>
    <xf numFmtId="0" fontId="22" fillId="37" borderId="20" xfId="54" applyFont="1" applyFill="1" applyBorder="1">
      <alignment/>
      <protection/>
    </xf>
    <xf numFmtId="0" fontId="22" fillId="37" borderId="13" xfId="54" applyFont="1" applyFill="1" applyBorder="1" applyAlignment="1">
      <alignment wrapText="1"/>
      <protection/>
    </xf>
    <xf numFmtId="0" fontId="22" fillId="37" borderId="11" xfId="54" applyFont="1" applyFill="1" applyBorder="1" applyAlignment="1">
      <alignment wrapText="1"/>
      <protection/>
    </xf>
    <xf numFmtId="0" fontId="21" fillId="37" borderId="11" xfId="54" applyFont="1" applyFill="1" applyBorder="1" applyAlignment="1">
      <alignment vertical="top" wrapText="1"/>
      <protection/>
    </xf>
    <xf numFmtId="0" fontId="23" fillId="0" borderId="14" xfId="54" applyFont="1" applyFill="1" applyBorder="1" applyAlignment="1">
      <alignment horizontal="left" wrapText="1"/>
      <protection/>
    </xf>
    <xf numFmtId="0" fontId="23" fillId="0" borderId="16" xfId="54" applyFont="1" applyFill="1" applyBorder="1" applyAlignment="1">
      <alignment horizontal="left" wrapText="1"/>
      <protection/>
    </xf>
    <xf numFmtId="0" fontId="23" fillId="36" borderId="14" xfId="54" applyFont="1" applyFill="1" applyBorder="1" applyAlignment="1">
      <alignment horizontal="left" wrapText="1"/>
      <protection/>
    </xf>
    <xf numFmtId="0" fontId="23" fillId="36" borderId="16" xfId="54" applyFont="1" applyFill="1" applyBorder="1" applyAlignment="1">
      <alignment horizontal="left" wrapText="1"/>
      <protection/>
    </xf>
    <xf numFmtId="4" fontId="23" fillId="0" borderId="0" xfId="56" applyNumberFormat="1" applyFont="1" applyBorder="1" applyAlignment="1">
      <alignment horizontal="center"/>
      <protection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4" xfId="36"/>
    <cellStyle name="Dobrá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Normal_250496_headcount" xfId="48"/>
    <cellStyle name="Normálna 10" xfId="49"/>
    <cellStyle name="Normálna 2" xfId="50"/>
    <cellStyle name="normálne 2" xfId="51"/>
    <cellStyle name="normálne 2 2" xfId="52"/>
    <cellStyle name="normálne 3" xfId="53"/>
    <cellStyle name="normálne_Príloha è. 1 - AS STU r.2007" xfId="54"/>
    <cellStyle name="normálne_Príloha è. 1 - AS STU r.2007 2" xfId="55"/>
    <cellStyle name="normálne_Suhrn DOT 2005 dofinanc v maji + korekcia v dec05 2" xfId="56"/>
    <cellStyle name="normálne_Suhrn DOT 2005 dofinanc v maji + korekcia v dec05 2 2" xfId="57"/>
    <cellStyle name="normálne_Suhrn DOT 2005 dofinanc v maji + korekcia v dec05 3 2" xfId="58"/>
    <cellStyle name="Percent" xfId="59"/>
    <cellStyle name="percentá 2" xfId="60"/>
    <cellStyle name="percentá 2 2" xfId="61"/>
    <cellStyle name="Followed Hyperlink" xfId="62"/>
    <cellStyle name="Poznámka" xfId="63"/>
    <cellStyle name="Prepojená bunka" xfId="64"/>
    <cellStyle name="Spolu" xfId="65"/>
    <cellStyle name="Text upozornenia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MODEL%202002SR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oz99\V9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My%20Documents\HZnov&#233;\Dotacia\DOT%202005\UPRAVY\Zv&#253;&#353;enie%20zn&#237;&#382;enia%20k%2031.12.05\Upravy%20TP%20jul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datab&#225;za_&#353;tudentov_2005_PM_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%20pre%20%20KR%2021%2002%20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STU%20S2FIIIT%20Kopie%20-%20Meder%20%20igr_doc_20040130_1a_r_2004_SR_V_9_oprave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erly1\dokumenty_M1\r2002\r2002_DATABAZA_VS_a_metodika\r2002_rozpis_rozpo&#269;tu_pre_VS_SKK_VVZ_OK_V5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_SR_V_17_19012005%20%20%20H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0STUmar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navrh%20rozpisu%20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MODEL%202002SR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05\r_2004_SR_V_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R2003_navrh%20rozpisu%20kv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r2002_rozpis_rozpo&#269;tu_pre_VS_V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r2002_rozpis_rozpo&#269;tu_pre_VS_V5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rozpis_dot&#225;cii_VVS_FIN_200303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ozpis%20%20z%20M&#352;\R2003_navrh%20rozpisu%20k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VYR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nakova\My%20Documents\rozpo&#269;et\dot&#225;cia\dot&#225;cia_%202012\UD%20k%2031.3.2012\Upravy%20%20D%202012%20%20po%20AS_k_3_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zickova\AppData\Local\Microsoft\Windows\INetCache\Content.Outlook\IGLO4BBI\Alenka%20_Dot&#225;cia_Fakulty%20a%20R-STU_03_2022%20-%2004.04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2022\Nov&#253;%20prie&#269;inok\FEI_SvF_Dot&#225;cia_fakulty%20a%20R-STU_10_202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%20opraveRektor&#225;t_aktu&#225;lna_SD_2022_STU_po_SR_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VY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Y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MZDY%20-%20pokusy%20s%20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St&#244;l-BV\2004\SR_2004\Arch&#237;v\r2004_navrh_rozpoctu%20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r_2005_SR_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>
        <row r="2">
          <cell r="J2">
            <v>0.5</v>
          </cell>
        </row>
        <row r="45">
          <cell r="AK45">
            <v>13263.81745266041</v>
          </cell>
        </row>
        <row r="47">
          <cell r="AA47">
            <v>284425</v>
          </cell>
        </row>
        <row r="52">
          <cell r="AQ52">
            <v>476234761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prava- tarifné platy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3">
        <row r="49">
          <cell r="C49">
            <v>2</v>
          </cell>
        </row>
        <row r="52">
          <cell r="C5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2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48356.64799999999</v>
          </cell>
        </row>
        <row r="82">
          <cell r="C82">
            <v>37000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2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723369.9360000007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875741.6000000001</v>
          </cell>
        </row>
        <row r="70">
          <cell r="C70">
            <v>1.1</v>
          </cell>
        </row>
        <row r="75">
          <cell r="C75">
            <v>58186.30000000014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1">
        <row r="27">
          <cell r="I27">
            <v>0.24152542372881355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3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21">
        <row r="33">
          <cell r="P33">
            <v>0.30080900097311114</v>
          </cell>
        </row>
      </sheetData>
      <sheetData sheetId="25">
        <row r="3">
          <cell r="N3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4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2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92">
          <cell r="C92">
            <v>35000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5">
        <row r="49">
          <cell r="AA49">
            <v>157800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D 2012  po AS zaokr"/>
      <sheetName val="SD2012"/>
      <sheetName val="Hárok2"/>
      <sheetName val="Hárok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0">
        <row r="90">
          <cell r="I90">
            <v>0</v>
          </cell>
          <cell r="J90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0">
        <row r="28">
          <cell r="C28">
            <v>73683.32</v>
          </cell>
        </row>
        <row r="29">
          <cell r="C29">
            <v>24863.38</v>
          </cell>
        </row>
        <row r="30">
          <cell r="C30">
            <v>11330</v>
          </cell>
        </row>
        <row r="31">
          <cell r="C31">
            <v>3861.75</v>
          </cell>
        </row>
        <row r="130">
          <cell r="C130">
            <v>-942</v>
          </cell>
        </row>
        <row r="131">
          <cell r="C131">
            <v>-332</v>
          </cell>
        </row>
        <row r="141">
          <cell r="C141">
            <v>680739.64</v>
          </cell>
        </row>
        <row r="142">
          <cell r="C142">
            <v>239620.36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  <sheetName val="špičkové tímy"/>
      <sheetName val="aktivity"/>
    </sheetNames>
    <sheetDataSet>
      <sheetData sheetId="0">
        <row r="28">
          <cell r="C28">
            <v>155487.99</v>
          </cell>
        </row>
        <row r="29">
          <cell r="C29">
            <v>52674.58</v>
          </cell>
        </row>
        <row r="30">
          <cell r="C30">
            <v>18978.35</v>
          </cell>
        </row>
        <row r="31">
          <cell r="C31">
            <v>6338.04</v>
          </cell>
        </row>
        <row r="120">
          <cell r="C120">
            <v>33090</v>
          </cell>
        </row>
        <row r="121">
          <cell r="C121">
            <v>11597</v>
          </cell>
        </row>
        <row r="126">
          <cell r="C126">
            <v>-1317</v>
          </cell>
        </row>
        <row r="127">
          <cell r="C127">
            <v>-464</v>
          </cell>
        </row>
        <row r="128">
          <cell r="C128">
            <v>5387</v>
          </cell>
        </row>
        <row r="129">
          <cell r="C129">
            <v>1896</v>
          </cell>
        </row>
        <row r="130">
          <cell r="C130">
            <v>942</v>
          </cell>
        </row>
        <row r="131">
          <cell r="C131">
            <v>332</v>
          </cell>
        </row>
        <row r="132">
          <cell r="C132">
            <v>18981</v>
          </cell>
        </row>
        <row r="133">
          <cell r="C133">
            <v>6681</v>
          </cell>
        </row>
        <row r="134">
          <cell r="C134">
            <v>990</v>
          </cell>
        </row>
        <row r="135">
          <cell r="C135">
            <v>349</v>
          </cell>
        </row>
        <row r="140">
          <cell r="C140">
            <v>-1284400</v>
          </cell>
        </row>
        <row r="141">
          <cell r="C141">
            <v>950000</v>
          </cell>
        </row>
        <row r="142">
          <cell r="C142">
            <v>334400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2-KPN POKUS"/>
      <sheetName val="T6-výkon 1500  POKUS"/>
      <sheetName val="T6-výkon 700  POKUS (2)"/>
      <sheetName val="T6-výkon 250  POKUS (3)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1">
        <row r="34">
          <cell r="D34">
            <v>1.5</v>
          </cell>
        </row>
        <row r="35">
          <cell r="D35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2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45"/>
  <sheetViews>
    <sheetView zoomScale="130" zoomScaleNormal="130" zoomScaleSheetLayoutView="75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36" sqref="A236"/>
    </sheetView>
  </sheetViews>
  <sheetFormatPr defaultColWidth="8.8515625" defaultRowHeight="12.75"/>
  <cols>
    <col min="1" max="1" width="35.28125" style="9" customWidth="1"/>
    <col min="2" max="2" width="15.57421875" style="9" customWidth="1"/>
    <col min="3" max="3" width="16.140625" style="26" bestFit="1" customWidth="1"/>
    <col min="4" max="5" width="14.57421875" style="26" bestFit="1" customWidth="1"/>
    <col min="6" max="6" width="15.140625" style="26" customWidth="1"/>
    <col min="7" max="7" width="13.140625" style="26" bestFit="1" customWidth="1"/>
    <col min="8" max="8" width="14.140625" style="26" bestFit="1" customWidth="1"/>
    <col min="9" max="9" width="11.57421875" style="26" customWidth="1"/>
    <col min="10" max="11" width="13.140625" style="26" bestFit="1" customWidth="1"/>
    <col min="12" max="12" width="14.140625" style="26" bestFit="1" customWidth="1"/>
    <col min="13" max="14" width="13.140625" style="26" customWidth="1"/>
    <col min="15" max="15" width="14.421875" style="26" customWidth="1"/>
    <col min="16" max="16" width="13.421875" style="26" customWidth="1"/>
    <col min="17" max="18" width="15.00390625" style="26" customWidth="1"/>
    <col min="19" max="19" width="13.57421875" style="26" bestFit="1" customWidth="1"/>
    <col min="20" max="16384" width="8.8515625" style="9" customWidth="1"/>
  </cols>
  <sheetData>
    <row r="1" spans="1:18" ht="12">
      <c r="A1" s="197"/>
      <c r="B1" s="78"/>
      <c r="C1" s="198"/>
      <c r="D1" s="198"/>
      <c r="E1" s="8"/>
      <c r="F1" s="8"/>
      <c r="G1" s="8"/>
      <c r="H1" s="8"/>
      <c r="I1" s="8"/>
      <c r="J1" s="8"/>
      <c r="K1" s="198"/>
      <c r="L1" s="198"/>
      <c r="M1" s="199"/>
      <c r="N1" s="199"/>
      <c r="O1" s="198"/>
      <c r="P1" s="198"/>
      <c r="Q1" s="198"/>
      <c r="R1" s="198"/>
    </row>
    <row r="2" spans="1:19" ht="19.5" customHeight="1" thickBot="1">
      <c r="A2" s="7" t="s">
        <v>161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 t="s">
        <v>276</v>
      </c>
    </row>
    <row r="3" spans="1:19" ht="44.25" customHeight="1" thickBot="1">
      <c r="A3" s="10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70</v>
      </c>
      <c r="H3" s="12" t="s">
        <v>6</v>
      </c>
      <c r="I3" s="13" t="s">
        <v>135</v>
      </c>
      <c r="J3" s="12" t="s">
        <v>7</v>
      </c>
      <c r="K3" s="14" t="s">
        <v>17</v>
      </c>
      <c r="L3" s="15" t="s">
        <v>45</v>
      </c>
      <c r="M3" s="12" t="s">
        <v>9</v>
      </c>
      <c r="N3" s="13" t="s">
        <v>134</v>
      </c>
      <c r="O3" s="16" t="s">
        <v>163</v>
      </c>
      <c r="P3" s="17" t="s">
        <v>75</v>
      </c>
      <c r="Q3" s="18" t="s">
        <v>76</v>
      </c>
      <c r="R3" s="18" t="s">
        <v>162</v>
      </c>
      <c r="S3" s="12" t="s">
        <v>19</v>
      </c>
    </row>
    <row r="4" spans="1:19" ht="23.25" customHeight="1" thickBot="1">
      <c r="A4" s="19" t="s">
        <v>218</v>
      </c>
      <c r="B4" s="20"/>
      <c r="C4" s="21">
        <f>10897327-3</f>
        <v>10897324</v>
      </c>
      <c r="D4" s="21">
        <v>4180749</v>
      </c>
      <c r="E4" s="21">
        <v>13268937</v>
      </c>
      <c r="F4" s="21">
        <v>11616705</v>
      </c>
      <c r="G4" s="21">
        <f>4030258+3640</f>
        <v>4033898</v>
      </c>
      <c r="H4" s="21">
        <f>7927940+1145+6317</f>
        <v>7935402</v>
      </c>
      <c r="I4" s="21">
        <v>219405</v>
      </c>
      <c r="J4" s="21">
        <f>3821695+24</f>
        <v>3821719</v>
      </c>
      <c r="K4" s="22">
        <v>2949860</v>
      </c>
      <c r="L4" s="21">
        <v>0</v>
      </c>
      <c r="M4" s="21">
        <v>1058521</v>
      </c>
      <c r="N4" s="23">
        <v>0</v>
      </c>
      <c r="O4" s="24">
        <f>3752898+3</f>
        <v>3752901</v>
      </c>
      <c r="P4" s="22">
        <v>1790838</v>
      </c>
      <c r="Q4" s="21">
        <v>1231534</v>
      </c>
      <c r="R4" s="21"/>
      <c r="S4" s="25">
        <f>SUM(C4:R4)</f>
        <v>66757793</v>
      </c>
    </row>
    <row r="5" spans="1:19" ht="21.75" customHeight="1" thickBot="1">
      <c r="A5" s="27" t="s">
        <v>26</v>
      </c>
      <c r="B5" s="28"/>
      <c r="C5" s="29">
        <f aca="true" t="shared" si="0" ref="C5:R5">C4+C198</f>
        <v>12187325.02</v>
      </c>
      <c r="D5" s="29">
        <f t="shared" si="0"/>
        <v>4810616.17</v>
      </c>
      <c r="E5" s="29">
        <f t="shared" si="0"/>
        <v>14503252.1</v>
      </c>
      <c r="F5" s="29">
        <f t="shared" si="0"/>
        <v>13018251.22</v>
      </c>
      <c r="G5" s="29">
        <f t="shared" si="0"/>
        <v>4335589.2</v>
      </c>
      <c r="H5" s="29">
        <f t="shared" si="0"/>
        <v>8892836.26</v>
      </c>
      <c r="I5" s="30">
        <f t="shared" si="0"/>
        <v>226127.09</v>
      </c>
      <c r="J5" s="29">
        <f t="shared" si="0"/>
        <v>3997069.66</v>
      </c>
      <c r="K5" s="31">
        <f t="shared" si="0"/>
        <v>3195180.09</v>
      </c>
      <c r="L5" s="29">
        <f t="shared" si="0"/>
        <v>32087</v>
      </c>
      <c r="M5" s="29">
        <f t="shared" si="0"/>
        <v>1144806.7</v>
      </c>
      <c r="N5" s="30">
        <f t="shared" si="0"/>
        <v>0</v>
      </c>
      <c r="O5" s="29">
        <f t="shared" si="0"/>
        <v>4004582.2</v>
      </c>
      <c r="P5" s="31">
        <f t="shared" si="0"/>
        <v>1593819</v>
      </c>
      <c r="Q5" s="29">
        <f t="shared" si="0"/>
        <v>893973.6799999999</v>
      </c>
      <c r="R5" s="29">
        <f t="shared" si="0"/>
        <v>369333.61</v>
      </c>
      <c r="S5" s="29">
        <f>SUM(C5:R5)</f>
        <v>73204849.00000001</v>
      </c>
    </row>
    <row r="6" spans="1:19" ht="20.25" customHeight="1">
      <c r="A6" s="150" t="s">
        <v>43</v>
      </c>
      <c r="B6" s="151" t="s">
        <v>20</v>
      </c>
      <c r="C6" s="152"/>
      <c r="D6" s="152"/>
      <c r="E6" s="152"/>
      <c r="F6" s="152"/>
      <c r="G6" s="152"/>
      <c r="H6" s="4"/>
      <c r="I6" s="100"/>
      <c r="J6" s="4"/>
      <c r="K6" s="47"/>
      <c r="L6" s="4"/>
      <c r="M6" s="4"/>
      <c r="N6" s="100"/>
      <c r="O6" s="4"/>
      <c r="P6" s="47"/>
      <c r="Q6" s="4"/>
      <c r="R6" s="4"/>
      <c r="S6" s="4"/>
    </row>
    <row r="7" spans="1:19" ht="12">
      <c r="A7" s="617" t="s">
        <v>46</v>
      </c>
      <c r="B7" s="158" t="s">
        <v>52</v>
      </c>
      <c r="C7" s="48">
        <f>16390+5120+22530-1600+10740-180+9960+280+21920-2240-640+14800</f>
        <v>97080</v>
      </c>
      <c r="D7" s="48">
        <f>16140+2495+4950+200+2960</f>
        <v>26745</v>
      </c>
      <c r="E7" s="48">
        <f>43700+14320+59080-8040+100+25400-2080-5140+29770+280+63430-4845-1280+39220</f>
        <v>253915</v>
      </c>
      <c r="F7" s="48">
        <f>7860+2400+9640-770+4580-430-80+6820+280+17300-280-80+11100</f>
        <v>58340</v>
      </c>
      <c r="G7" s="48">
        <f>5850+2080+350+8490+4220+4170+280+8360-280-80+3700</f>
        <v>37140</v>
      </c>
      <c r="H7" s="48">
        <f>840+240+1080+560+520+1080+740</f>
        <v>5060</v>
      </c>
      <c r="I7" s="48"/>
      <c r="J7" s="48">
        <f>10080+3120+12420-2160+4480-380-80+6235+13440-720+200+8880</f>
        <v>55515</v>
      </c>
      <c r="K7" s="48"/>
      <c r="L7" s="48"/>
      <c r="M7" s="48">
        <f>1680+480+2160+1120+1040+2160+1480</f>
        <v>10120</v>
      </c>
      <c r="N7" s="54"/>
      <c r="O7" s="54"/>
      <c r="P7" s="159"/>
      <c r="Q7" s="54"/>
      <c r="R7" s="54"/>
      <c r="S7" s="56">
        <f aca="true" t="shared" si="1" ref="S7:S54">SUM(C7:R7)</f>
        <v>543915</v>
      </c>
    </row>
    <row r="8" spans="1:19" ht="12">
      <c r="A8" s="617" t="s">
        <v>57</v>
      </c>
      <c r="B8" s="158" t="s">
        <v>53</v>
      </c>
      <c r="C8" s="48">
        <f>990+990+2020+404+330</f>
        <v>4734</v>
      </c>
      <c r="D8" s="48">
        <f>840+840+1400+400+1200</f>
        <v>4680</v>
      </c>
      <c r="E8" s="48">
        <f>1120+840-280+1400+400+1200</f>
        <v>4680</v>
      </c>
      <c r="F8" s="48">
        <f>840+560+1680+1200-280-120</f>
        <v>3880</v>
      </c>
      <c r="G8" s="48">
        <f>840+1390+2080+800+2400-800</f>
        <v>6710</v>
      </c>
      <c r="H8" s="48"/>
      <c r="I8" s="48"/>
      <c r="J8" s="48">
        <f>1940-1940</f>
        <v>0</v>
      </c>
      <c r="K8" s="48"/>
      <c r="L8" s="48"/>
      <c r="M8" s="48"/>
      <c r="N8" s="54"/>
      <c r="O8" s="54"/>
      <c r="P8" s="54"/>
      <c r="Q8" s="54"/>
      <c r="R8" s="54"/>
      <c r="S8" s="56">
        <f t="shared" si="1"/>
        <v>24684</v>
      </c>
    </row>
    <row r="9" spans="1:19" ht="12">
      <c r="A9" s="617" t="s">
        <v>44</v>
      </c>
      <c r="B9" s="158" t="s">
        <v>47</v>
      </c>
      <c r="C9" s="48">
        <f>492588+66932+25375</f>
        <v>584895</v>
      </c>
      <c r="D9" s="48">
        <f>2500+521658+3450-9375-41656+163529+3450</f>
        <v>643556</v>
      </c>
      <c r="E9" s="48">
        <f>2000+5000+338021+24145+340749+60005+206034</f>
        <v>975954</v>
      </c>
      <c r="F9" s="48">
        <f>17650+925774+2700+9375+7050+554166+137797</f>
        <v>1654512</v>
      </c>
      <c r="G9" s="48"/>
      <c r="H9" s="48">
        <f>8750+190123+3450+2650+249638-60005+21460+3450+98429</f>
        <v>517945</v>
      </c>
      <c r="I9" s="48"/>
      <c r="J9" s="48">
        <f>41656+1700+33168</f>
        <v>76524</v>
      </c>
      <c r="K9" s="48"/>
      <c r="L9" s="48"/>
      <c r="M9" s="48">
        <f>28495</f>
        <v>28495</v>
      </c>
      <c r="N9" s="54"/>
      <c r="O9" s="54"/>
      <c r="P9" s="54"/>
      <c r="Q9" s="54"/>
      <c r="R9" s="54"/>
      <c r="S9" s="56">
        <f t="shared" si="1"/>
        <v>4481881</v>
      </c>
    </row>
    <row r="10" spans="1:19" ht="12">
      <c r="A10" s="618" t="s">
        <v>48</v>
      </c>
      <c r="B10" s="158" t="s">
        <v>54</v>
      </c>
      <c r="C10" s="54"/>
      <c r="D10" s="54">
        <v>266539.8</v>
      </c>
      <c r="E10" s="54">
        <f>51500+19610+46650+78073.75+88292+74900</f>
        <v>359025.75</v>
      </c>
      <c r="F10" s="48"/>
      <c r="G10" s="54"/>
      <c r="H10" s="48"/>
      <c r="I10" s="48"/>
      <c r="J10" s="54"/>
      <c r="K10" s="54"/>
      <c r="L10" s="54"/>
      <c r="M10" s="54"/>
      <c r="N10" s="54"/>
      <c r="O10" s="54"/>
      <c r="P10" s="54"/>
      <c r="Q10" s="54"/>
      <c r="R10" s="54"/>
      <c r="S10" s="56">
        <f t="shared" si="1"/>
        <v>625565.55</v>
      </c>
    </row>
    <row r="11" spans="1:19" ht="24" hidden="1">
      <c r="A11" s="619" t="s">
        <v>172</v>
      </c>
      <c r="B11" s="49" t="s">
        <v>173</v>
      </c>
      <c r="C11" s="50"/>
      <c r="D11" s="50"/>
      <c r="E11" s="50"/>
      <c r="F11" s="50"/>
      <c r="G11" s="50"/>
      <c r="H11" s="50"/>
      <c r="I11" s="50"/>
      <c r="J11" s="50"/>
      <c r="K11" s="51"/>
      <c r="L11" s="51"/>
      <c r="M11" s="50"/>
      <c r="N11" s="50"/>
      <c r="O11" s="51"/>
      <c r="P11" s="51"/>
      <c r="Q11" s="51"/>
      <c r="R11" s="51"/>
      <c r="S11" s="56">
        <f t="shared" si="1"/>
        <v>0</v>
      </c>
    </row>
    <row r="12" spans="1:19" ht="12" hidden="1">
      <c r="A12" s="619" t="s">
        <v>174</v>
      </c>
      <c r="B12" s="49" t="s">
        <v>173</v>
      </c>
      <c r="C12" s="50"/>
      <c r="D12" s="50"/>
      <c r="E12" s="50"/>
      <c r="F12" s="50"/>
      <c r="G12" s="50"/>
      <c r="H12" s="50"/>
      <c r="I12" s="50"/>
      <c r="J12" s="50"/>
      <c r="K12" s="51"/>
      <c r="L12" s="51"/>
      <c r="M12" s="50"/>
      <c r="N12" s="50"/>
      <c r="O12" s="48"/>
      <c r="P12" s="51"/>
      <c r="Q12" s="51"/>
      <c r="R12" s="51"/>
      <c r="S12" s="56">
        <f t="shared" si="1"/>
        <v>0</v>
      </c>
    </row>
    <row r="13" spans="1:19" ht="12" hidden="1">
      <c r="A13" s="620" t="s">
        <v>175</v>
      </c>
      <c r="B13" s="48" t="s">
        <v>67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56">
        <f t="shared" si="1"/>
        <v>0</v>
      </c>
    </row>
    <row r="14" spans="1:19" s="36" customFormat="1" ht="12" hidden="1">
      <c r="A14" s="620" t="s">
        <v>175</v>
      </c>
      <c r="B14" s="48" t="s">
        <v>71</v>
      </c>
      <c r="C14" s="160"/>
      <c r="D14" s="48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48"/>
      <c r="P14" s="48"/>
      <c r="Q14" s="48"/>
      <c r="R14" s="48"/>
      <c r="S14" s="56">
        <f t="shared" si="1"/>
        <v>0</v>
      </c>
    </row>
    <row r="15" spans="1:19" s="36" customFormat="1" ht="12">
      <c r="A15" s="620" t="s">
        <v>185</v>
      </c>
      <c r="B15" s="48" t="s">
        <v>186</v>
      </c>
      <c r="C15" s="160"/>
      <c r="D15" s="48">
        <v>21148</v>
      </c>
      <c r="E15" s="160">
        <v>4698</v>
      </c>
      <c r="F15" s="160"/>
      <c r="G15" s="160"/>
      <c r="H15" s="160">
        <v>10574</v>
      </c>
      <c r="I15" s="160"/>
      <c r="J15" s="160"/>
      <c r="K15" s="160"/>
      <c r="L15" s="160"/>
      <c r="M15" s="160"/>
      <c r="N15" s="160"/>
      <c r="O15" s="48">
        <v>17033</v>
      </c>
      <c r="P15" s="48">
        <f>-36420-17033</f>
        <v>-53453</v>
      </c>
      <c r="Q15" s="48"/>
      <c r="R15" s="48"/>
      <c r="S15" s="56">
        <f t="shared" si="1"/>
        <v>0</v>
      </c>
    </row>
    <row r="16" spans="1:19" s="36" customFormat="1" ht="12">
      <c r="A16" s="618" t="s">
        <v>176</v>
      </c>
      <c r="B16" s="158" t="s">
        <v>178</v>
      </c>
      <c r="C16" s="160">
        <v>445705</v>
      </c>
      <c r="D16" s="160">
        <v>72877</v>
      </c>
      <c r="E16" s="160">
        <v>392694</v>
      </c>
      <c r="F16" s="160">
        <v>551847</v>
      </c>
      <c r="G16" s="160">
        <v>14065</v>
      </c>
      <c r="H16" s="160">
        <v>248942</v>
      </c>
      <c r="I16" s="160"/>
      <c r="J16" s="160">
        <v>13157</v>
      </c>
      <c r="K16" s="160"/>
      <c r="L16" s="160"/>
      <c r="M16" s="160">
        <v>4228</v>
      </c>
      <c r="N16" s="161"/>
      <c r="O16" s="161"/>
      <c r="P16" s="161"/>
      <c r="Q16" s="161"/>
      <c r="R16" s="161"/>
      <c r="S16" s="56">
        <f t="shared" si="1"/>
        <v>1743515</v>
      </c>
    </row>
    <row r="17" spans="1:19" s="36" customFormat="1" ht="12">
      <c r="A17" s="618" t="s">
        <v>177</v>
      </c>
      <c r="B17" s="162" t="s">
        <v>179</v>
      </c>
      <c r="C17" s="160">
        <v>27023</v>
      </c>
      <c r="D17" s="160">
        <v>233014</v>
      </c>
      <c r="E17" s="160">
        <v>103137</v>
      </c>
      <c r="F17" s="160">
        <v>23198</v>
      </c>
      <c r="G17" s="160">
        <v>48500</v>
      </c>
      <c r="H17" s="160">
        <v>132339</v>
      </c>
      <c r="I17" s="160"/>
      <c r="J17" s="160">
        <v>14220</v>
      </c>
      <c r="K17" s="160"/>
      <c r="L17" s="160"/>
      <c r="M17" s="160">
        <v>8914</v>
      </c>
      <c r="N17" s="161"/>
      <c r="O17" s="161"/>
      <c r="P17" s="161"/>
      <c r="Q17" s="161"/>
      <c r="R17" s="161"/>
      <c r="S17" s="56">
        <f t="shared" si="1"/>
        <v>590345</v>
      </c>
    </row>
    <row r="18" spans="1:19" s="36" customFormat="1" ht="12">
      <c r="A18" s="618" t="s">
        <v>180</v>
      </c>
      <c r="B18" s="162" t="s">
        <v>173</v>
      </c>
      <c r="C18" s="160"/>
      <c r="D18" s="160"/>
      <c r="E18" s="160"/>
      <c r="F18" s="160"/>
      <c r="G18" s="160"/>
      <c r="H18" s="160">
        <v>-1145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56">
        <f t="shared" si="1"/>
        <v>-1145</v>
      </c>
    </row>
    <row r="19" spans="1:19" s="36" customFormat="1" ht="12">
      <c r="A19" s="618" t="s">
        <v>181</v>
      </c>
      <c r="B19" s="158" t="s">
        <v>189</v>
      </c>
      <c r="C19" s="160">
        <v>3</v>
      </c>
      <c r="D19" s="160"/>
      <c r="E19" s="160"/>
      <c r="F19" s="160"/>
      <c r="G19" s="160">
        <v>-3640</v>
      </c>
      <c r="H19" s="160">
        <v>-6317</v>
      </c>
      <c r="I19" s="160"/>
      <c r="J19" s="160">
        <v>-24</v>
      </c>
      <c r="K19" s="160"/>
      <c r="L19" s="160"/>
      <c r="M19" s="160"/>
      <c r="N19" s="160"/>
      <c r="O19" s="160"/>
      <c r="P19" s="160"/>
      <c r="Q19" s="160"/>
      <c r="R19" s="160"/>
      <c r="S19" s="56">
        <f t="shared" si="1"/>
        <v>-9978</v>
      </c>
    </row>
    <row r="20" spans="1:19" s="36" customFormat="1" ht="12">
      <c r="A20" s="169" t="s">
        <v>219</v>
      </c>
      <c r="B20" s="158" t="s">
        <v>178</v>
      </c>
      <c r="C20" s="161">
        <v>3700</v>
      </c>
      <c r="D20" s="161"/>
      <c r="E20" s="161"/>
      <c r="F20" s="160"/>
      <c r="G20" s="161"/>
      <c r="H20" s="160"/>
      <c r="I20" s="160"/>
      <c r="J20" s="161"/>
      <c r="K20" s="161"/>
      <c r="L20" s="161"/>
      <c r="M20" s="161"/>
      <c r="N20" s="161"/>
      <c r="O20" s="161"/>
      <c r="P20" s="161"/>
      <c r="Q20" s="161"/>
      <c r="R20" s="161"/>
      <c r="S20" s="56">
        <f t="shared" si="1"/>
        <v>3700</v>
      </c>
    </row>
    <row r="21" spans="1:19" s="36" customFormat="1" ht="12">
      <c r="A21" s="169" t="s">
        <v>234</v>
      </c>
      <c r="B21" s="158" t="s">
        <v>240</v>
      </c>
      <c r="C21" s="161">
        <v>77410</v>
      </c>
      <c r="D21" s="161">
        <v>36606</v>
      </c>
      <c r="E21" s="161">
        <v>66040</v>
      </c>
      <c r="F21" s="160">
        <v>75739</v>
      </c>
      <c r="G21" s="161">
        <v>36224</v>
      </c>
      <c r="H21" s="160">
        <v>58162</v>
      </c>
      <c r="I21" s="160"/>
      <c r="J21" s="161">
        <v>16743</v>
      </c>
      <c r="K21" s="161"/>
      <c r="L21" s="161"/>
      <c r="M21" s="161">
        <v>9927</v>
      </c>
      <c r="N21" s="161"/>
      <c r="O21" s="161">
        <v>27891</v>
      </c>
      <c r="P21" s="161"/>
      <c r="Q21" s="161"/>
      <c r="R21" s="161">
        <f>547211-547211</f>
        <v>0</v>
      </c>
      <c r="S21" s="56">
        <f t="shared" si="1"/>
        <v>404742</v>
      </c>
    </row>
    <row r="22" spans="1:19" s="36" customFormat="1" ht="12">
      <c r="A22" s="169" t="s">
        <v>234</v>
      </c>
      <c r="B22" s="158" t="s">
        <v>239</v>
      </c>
      <c r="C22" s="161">
        <v>27249</v>
      </c>
      <c r="D22" s="161">
        <v>12885</v>
      </c>
      <c r="E22" s="161">
        <v>23246</v>
      </c>
      <c r="F22" s="160">
        <v>26660</v>
      </c>
      <c r="G22" s="161">
        <v>12751</v>
      </c>
      <c r="H22" s="160">
        <v>20473</v>
      </c>
      <c r="I22" s="160"/>
      <c r="J22" s="161">
        <v>5893</v>
      </c>
      <c r="K22" s="161"/>
      <c r="L22" s="161"/>
      <c r="M22" s="161">
        <v>3495</v>
      </c>
      <c r="N22" s="161"/>
      <c r="O22" s="161">
        <v>9817</v>
      </c>
      <c r="P22" s="161"/>
      <c r="Q22" s="161"/>
      <c r="R22" s="161"/>
      <c r="S22" s="56">
        <f t="shared" si="1"/>
        <v>142469</v>
      </c>
    </row>
    <row r="23" spans="1:19" ht="12">
      <c r="A23" s="169" t="s">
        <v>234</v>
      </c>
      <c r="B23" s="158" t="s">
        <v>238</v>
      </c>
      <c r="C23" s="54">
        <v>10329</v>
      </c>
      <c r="D23" s="54">
        <v>5304</v>
      </c>
      <c r="E23" s="54">
        <v>18238</v>
      </c>
      <c r="F23" s="48">
        <v>26465</v>
      </c>
      <c r="G23" s="54">
        <v>5084</v>
      </c>
      <c r="H23" s="48">
        <v>16361</v>
      </c>
      <c r="I23" s="48"/>
      <c r="J23" s="54">
        <v>4040</v>
      </c>
      <c r="K23" s="54"/>
      <c r="L23" s="54"/>
      <c r="M23" s="54">
        <v>640</v>
      </c>
      <c r="N23" s="54"/>
      <c r="O23" s="54"/>
      <c r="P23" s="54"/>
      <c r="Q23" s="54"/>
      <c r="R23" s="54">
        <f>206956-116894</f>
        <v>90062</v>
      </c>
      <c r="S23" s="56">
        <f t="shared" si="1"/>
        <v>176523</v>
      </c>
    </row>
    <row r="24" spans="1:19" ht="12">
      <c r="A24" s="169" t="s">
        <v>234</v>
      </c>
      <c r="B24" s="158" t="s">
        <v>237</v>
      </c>
      <c r="C24" s="54">
        <v>3636</v>
      </c>
      <c r="D24" s="54">
        <v>1866</v>
      </c>
      <c r="E24" s="54">
        <v>6420</v>
      </c>
      <c r="F24" s="48">
        <v>9316</v>
      </c>
      <c r="G24" s="54">
        <v>1789</v>
      </c>
      <c r="H24" s="48">
        <v>5759</v>
      </c>
      <c r="I24" s="48"/>
      <c r="J24" s="54">
        <v>1422</v>
      </c>
      <c r="K24" s="54"/>
      <c r="L24" s="54"/>
      <c r="M24" s="54">
        <v>225</v>
      </c>
      <c r="N24" s="54"/>
      <c r="O24" s="54"/>
      <c r="P24" s="54"/>
      <c r="Q24" s="54"/>
      <c r="R24" s="54"/>
      <c r="S24" s="56">
        <f t="shared" si="1"/>
        <v>30433</v>
      </c>
    </row>
    <row r="25" spans="1:19" ht="12">
      <c r="A25" s="169" t="s">
        <v>234</v>
      </c>
      <c r="B25" s="158" t="s">
        <v>241</v>
      </c>
      <c r="C25" s="54"/>
      <c r="D25" s="54"/>
      <c r="E25" s="54"/>
      <c r="F25" s="48"/>
      <c r="G25" s="54"/>
      <c r="H25" s="48">
        <v>4929</v>
      </c>
      <c r="I25" s="48"/>
      <c r="J25" s="54"/>
      <c r="K25" s="54">
        <v>19542</v>
      </c>
      <c r="L25" s="54"/>
      <c r="M25" s="54"/>
      <c r="N25" s="54"/>
      <c r="O25" s="54"/>
      <c r="P25" s="54"/>
      <c r="Q25" s="54"/>
      <c r="R25" s="54">
        <f>33085-33085</f>
        <v>0</v>
      </c>
      <c r="S25" s="56">
        <f t="shared" si="1"/>
        <v>24471</v>
      </c>
    </row>
    <row r="26" spans="1:19" s="37" customFormat="1" ht="12">
      <c r="A26" s="169" t="s">
        <v>234</v>
      </c>
      <c r="B26" s="158" t="s">
        <v>242</v>
      </c>
      <c r="C26" s="161"/>
      <c r="D26" s="161"/>
      <c r="E26" s="161"/>
      <c r="F26" s="160"/>
      <c r="G26" s="161"/>
      <c r="H26" s="160">
        <v>1735</v>
      </c>
      <c r="I26" s="160"/>
      <c r="J26" s="161"/>
      <c r="K26" s="161">
        <v>6879</v>
      </c>
      <c r="L26" s="161"/>
      <c r="M26" s="161"/>
      <c r="N26" s="161"/>
      <c r="O26" s="161"/>
      <c r="P26" s="161"/>
      <c r="Q26" s="161"/>
      <c r="R26" s="161"/>
      <c r="S26" s="56">
        <f t="shared" si="1"/>
        <v>8614</v>
      </c>
    </row>
    <row r="27" spans="1:19" s="36" customFormat="1" ht="24">
      <c r="A27" s="169" t="s">
        <v>244</v>
      </c>
      <c r="B27" s="158" t="s">
        <v>243</v>
      </c>
      <c r="C27" s="54">
        <v>24125</v>
      </c>
      <c r="D27" s="54">
        <v>6895</v>
      </c>
      <c r="E27" s="54">
        <v>13252</v>
      </c>
      <c r="F27" s="48">
        <v>23497</v>
      </c>
      <c r="G27" s="54">
        <v>5596</v>
      </c>
      <c r="H27" s="48">
        <v>10326</v>
      </c>
      <c r="I27" s="48"/>
      <c r="J27" s="54">
        <v>4163</v>
      </c>
      <c r="K27" s="54"/>
      <c r="L27" s="54"/>
      <c r="M27" s="54">
        <v>2208</v>
      </c>
      <c r="N27" s="54"/>
      <c r="O27" s="54"/>
      <c r="P27" s="54"/>
      <c r="Q27" s="54"/>
      <c r="R27" s="54">
        <v>-90062</v>
      </c>
      <c r="S27" s="56">
        <f t="shared" si="1"/>
        <v>0</v>
      </c>
    </row>
    <row r="28" spans="1:19" s="36" customFormat="1" ht="36">
      <c r="A28" s="169" t="s">
        <v>249</v>
      </c>
      <c r="B28" s="158" t="s">
        <v>240</v>
      </c>
      <c r="C28" s="54">
        <v>155487.99</v>
      </c>
      <c r="D28" s="54">
        <v>73683.32</v>
      </c>
      <c r="E28" s="54">
        <v>132219.74</v>
      </c>
      <c r="F28" s="48">
        <v>151244.7</v>
      </c>
      <c r="G28" s="54">
        <v>65735</v>
      </c>
      <c r="H28" s="48">
        <v>125716.67</v>
      </c>
      <c r="I28" s="48"/>
      <c r="J28" s="54">
        <v>45750.76</v>
      </c>
      <c r="K28" s="163"/>
      <c r="L28" s="163"/>
      <c r="M28" s="54">
        <v>16320</v>
      </c>
      <c r="N28" s="54"/>
      <c r="O28" s="54">
        <v>87813.56</v>
      </c>
      <c r="P28" s="54"/>
      <c r="Q28" s="54"/>
      <c r="R28" s="54"/>
      <c r="S28" s="56">
        <f t="shared" si="1"/>
        <v>853971.74</v>
      </c>
    </row>
    <row r="29" spans="1:19" s="36" customFormat="1" ht="36">
      <c r="A29" s="169" t="s">
        <v>249</v>
      </c>
      <c r="B29" s="158" t="s">
        <v>239</v>
      </c>
      <c r="C29" s="54">
        <v>52674.58</v>
      </c>
      <c r="D29" s="54">
        <v>24863.38</v>
      </c>
      <c r="E29" s="54">
        <v>44460.59</v>
      </c>
      <c r="F29" s="48">
        <v>50812.14</v>
      </c>
      <c r="G29" s="54">
        <v>21938.75</v>
      </c>
      <c r="H29" s="48">
        <v>42096.78</v>
      </c>
      <c r="I29" s="48"/>
      <c r="J29" s="54">
        <v>15520.56</v>
      </c>
      <c r="K29" s="54"/>
      <c r="L29" s="54"/>
      <c r="M29" s="54">
        <v>5548</v>
      </c>
      <c r="N29" s="54"/>
      <c r="O29" s="54">
        <v>29659.48</v>
      </c>
      <c r="P29" s="54"/>
      <c r="Q29" s="54"/>
      <c r="R29" s="54"/>
      <c r="S29" s="56">
        <f t="shared" si="1"/>
        <v>287574.26</v>
      </c>
    </row>
    <row r="30" spans="1:19" s="36" customFormat="1" ht="36">
      <c r="A30" s="169" t="s">
        <v>249</v>
      </c>
      <c r="B30" s="158" t="s">
        <v>238</v>
      </c>
      <c r="C30" s="54">
        <v>18978.35</v>
      </c>
      <c r="D30" s="54">
        <v>11330</v>
      </c>
      <c r="E30" s="54">
        <v>50459.21</v>
      </c>
      <c r="F30" s="48">
        <v>51712.26</v>
      </c>
      <c r="G30" s="54">
        <v>11425</v>
      </c>
      <c r="H30" s="48">
        <v>30175</v>
      </c>
      <c r="I30" s="48"/>
      <c r="J30" s="54">
        <v>8600</v>
      </c>
      <c r="K30" s="54"/>
      <c r="L30" s="54"/>
      <c r="M30" s="54">
        <v>1625</v>
      </c>
      <c r="N30" s="54"/>
      <c r="O30" s="54">
        <v>7000.65</v>
      </c>
      <c r="P30" s="63"/>
      <c r="Q30" s="164"/>
      <c r="R30" s="164"/>
      <c r="S30" s="56">
        <f t="shared" si="1"/>
        <v>191305.47</v>
      </c>
    </row>
    <row r="31" spans="1:19" s="36" customFormat="1" ht="36">
      <c r="A31" s="169" t="s">
        <v>249</v>
      </c>
      <c r="B31" s="158" t="s">
        <v>237</v>
      </c>
      <c r="C31" s="161">
        <v>6338.04</v>
      </c>
      <c r="D31" s="54">
        <v>3861.75</v>
      </c>
      <c r="E31" s="161">
        <v>17544.08</v>
      </c>
      <c r="F31" s="160">
        <v>17721.64</v>
      </c>
      <c r="G31" s="161">
        <v>3981.09</v>
      </c>
      <c r="H31" s="160">
        <v>10375.97</v>
      </c>
      <c r="I31" s="160"/>
      <c r="J31" s="161">
        <v>3008.03</v>
      </c>
      <c r="K31" s="161"/>
      <c r="L31" s="161"/>
      <c r="M31" s="161">
        <v>554.48</v>
      </c>
      <c r="N31" s="161"/>
      <c r="O31" s="161">
        <v>2224.45</v>
      </c>
      <c r="P31" s="165"/>
      <c r="Q31" s="166"/>
      <c r="R31" s="166"/>
      <c r="S31" s="56">
        <f t="shared" si="1"/>
        <v>65609.53000000001</v>
      </c>
    </row>
    <row r="32" spans="1:19" s="36" customFormat="1" ht="36">
      <c r="A32" s="169" t="s">
        <v>249</v>
      </c>
      <c r="B32" s="158" t="s">
        <v>241</v>
      </c>
      <c r="C32" s="161"/>
      <c r="D32" s="161"/>
      <c r="E32" s="161"/>
      <c r="F32" s="160"/>
      <c r="G32" s="161"/>
      <c r="H32" s="160">
        <v>21700.5</v>
      </c>
      <c r="I32" s="160"/>
      <c r="J32" s="161"/>
      <c r="K32" s="161">
        <v>82783.8</v>
      </c>
      <c r="L32" s="161"/>
      <c r="M32" s="161"/>
      <c r="N32" s="161"/>
      <c r="O32" s="161"/>
      <c r="P32" s="161"/>
      <c r="Q32" s="167"/>
      <c r="R32" s="167"/>
      <c r="S32" s="56">
        <f t="shared" si="1"/>
        <v>104484.3</v>
      </c>
    </row>
    <row r="33" spans="1:19" s="38" customFormat="1" ht="36">
      <c r="A33" s="169" t="s">
        <v>249</v>
      </c>
      <c r="B33" s="158" t="s">
        <v>242</v>
      </c>
      <c r="C33" s="54"/>
      <c r="D33" s="54"/>
      <c r="E33" s="54"/>
      <c r="F33" s="48"/>
      <c r="G33" s="54"/>
      <c r="H33" s="48">
        <v>7188.49</v>
      </c>
      <c r="I33" s="48"/>
      <c r="J33" s="54"/>
      <c r="K33" s="54">
        <v>27317.21</v>
      </c>
      <c r="L33" s="54"/>
      <c r="M33" s="54"/>
      <c r="N33" s="54"/>
      <c r="O33" s="54"/>
      <c r="P33" s="54"/>
      <c r="Q33" s="54"/>
      <c r="R33" s="54"/>
      <c r="S33" s="56">
        <f t="shared" si="1"/>
        <v>34505.7</v>
      </c>
    </row>
    <row r="34" spans="1:19" s="38" customFormat="1" ht="33.75" customHeight="1">
      <c r="A34" s="169" t="s">
        <v>250</v>
      </c>
      <c r="B34" s="168" t="s">
        <v>67</v>
      </c>
      <c r="C34" s="54"/>
      <c r="D34" s="54"/>
      <c r="E34" s="54"/>
      <c r="F34" s="48"/>
      <c r="G34" s="54"/>
      <c r="H34" s="48"/>
      <c r="I34" s="48"/>
      <c r="J34" s="54"/>
      <c r="K34" s="54"/>
      <c r="L34" s="54"/>
      <c r="M34" s="54"/>
      <c r="N34" s="54"/>
      <c r="O34" s="54"/>
      <c r="P34" s="54"/>
      <c r="Q34" s="54"/>
      <c r="R34" s="54">
        <v>362596</v>
      </c>
      <c r="S34" s="56">
        <f t="shared" si="1"/>
        <v>362596</v>
      </c>
    </row>
    <row r="35" spans="1:19" ht="24">
      <c r="A35" s="169" t="s">
        <v>256</v>
      </c>
      <c r="B35" s="170" t="s">
        <v>131</v>
      </c>
      <c r="C35" s="54"/>
      <c r="D35" s="54"/>
      <c r="E35" s="54"/>
      <c r="F35" s="48"/>
      <c r="G35" s="54"/>
      <c r="H35" s="48">
        <v>27813</v>
      </c>
      <c r="I35" s="48"/>
      <c r="J35" s="54"/>
      <c r="K35" s="54">
        <v>102187</v>
      </c>
      <c r="L35" s="54"/>
      <c r="M35" s="54"/>
      <c r="N35" s="54"/>
      <c r="O35" s="54"/>
      <c r="P35" s="63"/>
      <c r="Q35" s="63"/>
      <c r="R35" s="54">
        <f>130000-27813-102187</f>
        <v>0</v>
      </c>
      <c r="S35" s="56">
        <f t="shared" si="1"/>
        <v>130000</v>
      </c>
    </row>
    <row r="36" spans="1:19" ht="36">
      <c r="A36" s="169" t="s">
        <v>258</v>
      </c>
      <c r="B36" s="170" t="s">
        <v>257</v>
      </c>
      <c r="C36" s="54">
        <v>38319</v>
      </c>
      <c r="D36" s="54">
        <v>13910</v>
      </c>
      <c r="E36" s="54">
        <v>187</v>
      </c>
      <c r="F36" s="48">
        <v>42207</v>
      </c>
      <c r="G36" s="54">
        <v>5187</v>
      </c>
      <c r="H36" s="48"/>
      <c r="I36" s="48"/>
      <c r="J36" s="54"/>
      <c r="K36" s="54"/>
      <c r="L36" s="54"/>
      <c r="M36" s="54">
        <v>190</v>
      </c>
      <c r="N36" s="54"/>
      <c r="O36" s="54"/>
      <c r="P36" s="63"/>
      <c r="Q36" s="54"/>
      <c r="R36" s="54">
        <f>100000-100000</f>
        <v>0</v>
      </c>
      <c r="S36" s="56">
        <f t="shared" si="1"/>
        <v>100000</v>
      </c>
    </row>
    <row r="37" spans="1:19" ht="48">
      <c r="A37" s="169" t="s">
        <v>259</v>
      </c>
      <c r="B37" s="54" t="s">
        <v>263</v>
      </c>
      <c r="C37" s="54"/>
      <c r="D37" s="54"/>
      <c r="E37" s="54"/>
      <c r="F37" s="48"/>
      <c r="G37" s="54"/>
      <c r="H37" s="48"/>
      <c r="I37" s="48"/>
      <c r="J37" s="54">
        <v>6550</v>
      </c>
      <c r="K37" s="54"/>
      <c r="L37" s="54"/>
      <c r="M37" s="54"/>
      <c r="N37" s="54"/>
      <c r="O37" s="54"/>
      <c r="P37" s="63"/>
      <c r="Q37" s="164"/>
      <c r="R37" s="164"/>
      <c r="S37" s="56">
        <f t="shared" si="1"/>
        <v>6550</v>
      </c>
    </row>
    <row r="38" spans="1:19" ht="36">
      <c r="A38" s="169" t="s">
        <v>261</v>
      </c>
      <c r="B38" s="54" t="s">
        <v>263</v>
      </c>
      <c r="C38" s="161"/>
      <c r="D38" s="54"/>
      <c r="E38" s="161"/>
      <c r="F38" s="160">
        <v>14000</v>
      </c>
      <c r="G38" s="161"/>
      <c r="H38" s="160"/>
      <c r="I38" s="160"/>
      <c r="J38" s="161"/>
      <c r="K38" s="161"/>
      <c r="L38" s="161"/>
      <c r="M38" s="161"/>
      <c r="N38" s="161"/>
      <c r="O38" s="161"/>
      <c r="P38" s="165"/>
      <c r="Q38" s="166"/>
      <c r="R38" s="166"/>
      <c r="S38" s="56">
        <f t="shared" si="1"/>
        <v>14000</v>
      </c>
    </row>
    <row r="39" spans="1:19" ht="36">
      <c r="A39" s="169" t="s">
        <v>262</v>
      </c>
      <c r="B39" s="158" t="s">
        <v>260</v>
      </c>
      <c r="C39" s="161"/>
      <c r="D39" s="161"/>
      <c r="E39" s="161"/>
      <c r="F39" s="160"/>
      <c r="G39" s="161">
        <v>15000</v>
      </c>
      <c r="H39" s="160"/>
      <c r="I39" s="160"/>
      <c r="J39" s="161"/>
      <c r="K39" s="161"/>
      <c r="L39" s="161"/>
      <c r="M39" s="161"/>
      <c r="N39" s="161"/>
      <c r="O39" s="161"/>
      <c r="P39" s="161"/>
      <c r="Q39" s="167"/>
      <c r="R39" s="161"/>
      <c r="S39" s="56">
        <f t="shared" si="1"/>
        <v>15000</v>
      </c>
    </row>
    <row r="40" spans="1:19" ht="36">
      <c r="A40" s="169" t="s">
        <v>279</v>
      </c>
      <c r="B40" s="168" t="s">
        <v>67</v>
      </c>
      <c r="C40" s="54">
        <v>20342</v>
      </c>
      <c r="D40" s="54">
        <v>9484</v>
      </c>
      <c r="E40" s="54">
        <v>13274</v>
      </c>
      <c r="F40" s="48">
        <v>17309</v>
      </c>
      <c r="G40" s="54">
        <v>5373</v>
      </c>
      <c r="H40" s="48">
        <v>17833</v>
      </c>
      <c r="I40" s="48"/>
      <c r="J40" s="54">
        <v>3484</v>
      </c>
      <c r="K40" s="54"/>
      <c r="L40" s="54"/>
      <c r="M40" s="54"/>
      <c r="N40" s="54"/>
      <c r="O40" s="54">
        <v>12044</v>
      </c>
      <c r="P40" s="54"/>
      <c r="Q40" s="54"/>
      <c r="R40" s="54"/>
      <c r="S40" s="56">
        <f t="shared" si="1"/>
        <v>99143</v>
      </c>
    </row>
    <row r="41" spans="1:19" ht="36">
      <c r="A41" s="169" t="s">
        <v>279</v>
      </c>
      <c r="B41" s="171" t="s">
        <v>71</v>
      </c>
      <c r="C41" s="54">
        <v>1201</v>
      </c>
      <c r="D41" s="54">
        <v>268</v>
      </c>
      <c r="E41" s="54">
        <v>1974</v>
      </c>
      <c r="F41" s="48">
        <v>4560</v>
      </c>
      <c r="G41" s="54">
        <v>0</v>
      </c>
      <c r="H41" s="48">
        <v>4135</v>
      </c>
      <c r="I41" s="48"/>
      <c r="J41" s="54">
        <v>442</v>
      </c>
      <c r="K41" s="54"/>
      <c r="L41" s="54"/>
      <c r="M41" s="54"/>
      <c r="N41" s="54"/>
      <c r="O41" s="54">
        <v>1724</v>
      </c>
      <c r="P41" s="54"/>
      <c r="Q41" s="54"/>
      <c r="R41" s="54"/>
      <c r="S41" s="56">
        <f t="shared" si="1"/>
        <v>14304</v>
      </c>
    </row>
    <row r="42" spans="1:19" ht="36">
      <c r="A42" s="169" t="s">
        <v>279</v>
      </c>
      <c r="B42" s="171" t="s">
        <v>131</v>
      </c>
      <c r="C42" s="54"/>
      <c r="D42" s="54"/>
      <c r="E42" s="54"/>
      <c r="F42" s="48"/>
      <c r="G42" s="54"/>
      <c r="H42" s="48">
        <v>1439.19</v>
      </c>
      <c r="I42" s="48"/>
      <c r="J42" s="54"/>
      <c r="K42" s="54">
        <v>5696.81</v>
      </c>
      <c r="L42" s="54"/>
      <c r="M42" s="54"/>
      <c r="N42" s="54"/>
      <c r="O42" s="54"/>
      <c r="P42" s="54"/>
      <c r="Q42" s="54"/>
      <c r="R42" s="54"/>
      <c r="S42" s="56">
        <f t="shared" si="1"/>
        <v>7136</v>
      </c>
    </row>
    <row r="43" spans="1:19" ht="24">
      <c r="A43" s="169" t="s">
        <v>270</v>
      </c>
      <c r="B43" s="171" t="s">
        <v>67</v>
      </c>
      <c r="C43" s="54">
        <v>1469</v>
      </c>
      <c r="D43" s="54">
        <v>1219</v>
      </c>
      <c r="E43" s="54">
        <v>2227</v>
      </c>
      <c r="F43" s="48">
        <v>2972</v>
      </c>
      <c r="G43" s="54">
        <v>1260</v>
      </c>
      <c r="H43" s="48">
        <v>977</v>
      </c>
      <c r="I43" s="48"/>
      <c r="J43" s="54">
        <v>823</v>
      </c>
      <c r="K43" s="54"/>
      <c r="L43" s="54"/>
      <c r="M43" s="54"/>
      <c r="N43" s="54"/>
      <c r="O43" s="54">
        <v>49</v>
      </c>
      <c r="P43" s="54"/>
      <c r="Q43" s="54"/>
      <c r="R43" s="54">
        <v>7825</v>
      </c>
      <c r="S43" s="56">
        <f t="shared" si="1"/>
        <v>18821</v>
      </c>
    </row>
    <row r="44" spans="1:19" ht="24">
      <c r="A44" s="169" t="s">
        <v>281</v>
      </c>
      <c r="B44" s="171" t="s">
        <v>67</v>
      </c>
      <c r="C44" s="54"/>
      <c r="D44" s="54"/>
      <c r="E44" s="54"/>
      <c r="F44" s="48"/>
      <c r="G44" s="54"/>
      <c r="H44" s="48"/>
      <c r="I44" s="48"/>
      <c r="J44" s="54"/>
      <c r="K44" s="54"/>
      <c r="L44" s="54"/>
      <c r="M44" s="54"/>
      <c r="N44" s="54"/>
      <c r="O44" s="54"/>
      <c r="P44" s="54"/>
      <c r="Q44" s="54"/>
      <c r="R44" s="54">
        <v>-168392</v>
      </c>
      <c r="S44" s="56">
        <f t="shared" si="1"/>
        <v>-168392</v>
      </c>
    </row>
    <row r="45" spans="1:19" ht="24">
      <c r="A45" s="169" t="s">
        <v>271</v>
      </c>
      <c r="B45" s="171" t="s">
        <v>67</v>
      </c>
      <c r="C45" s="54"/>
      <c r="D45" s="54"/>
      <c r="E45" s="54"/>
      <c r="F45" s="48"/>
      <c r="G45" s="54"/>
      <c r="H45" s="48"/>
      <c r="I45" s="48"/>
      <c r="J45" s="54"/>
      <c r="K45" s="54"/>
      <c r="L45" s="54"/>
      <c r="M45" s="54"/>
      <c r="N45" s="54"/>
      <c r="O45" s="54"/>
      <c r="P45" s="54"/>
      <c r="Q45" s="54"/>
      <c r="R45" s="54">
        <v>146293</v>
      </c>
      <c r="S45" s="56">
        <f t="shared" si="1"/>
        <v>146293</v>
      </c>
    </row>
    <row r="46" spans="1:19" ht="24">
      <c r="A46" s="169" t="s">
        <v>272</v>
      </c>
      <c r="B46" s="158" t="s">
        <v>71</v>
      </c>
      <c r="C46" s="54">
        <v>194573.74</v>
      </c>
      <c r="D46" s="54">
        <v>75684.73</v>
      </c>
      <c r="E46" s="54">
        <v>241124.19</v>
      </c>
      <c r="F46" s="48">
        <v>236226.43</v>
      </c>
      <c r="G46" s="54">
        <v>52144.64</v>
      </c>
      <c r="H46" s="48">
        <v>101308.46</v>
      </c>
      <c r="I46" s="48">
        <v>6722.09</v>
      </c>
      <c r="J46" s="54">
        <v>32913.31</v>
      </c>
      <c r="K46" s="54"/>
      <c r="L46" s="54"/>
      <c r="M46" s="54">
        <v>25966.43</v>
      </c>
      <c r="N46" s="54"/>
      <c r="O46" s="54">
        <v>61701.98</v>
      </c>
      <c r="P46" s="54"/>
      <c r="Q46" s="54"/>
      <c r="R46" s="54">
        <f>1050465-1028366</f>
        <v>22099</v>
      </c>
      <c r="S46" s="56">
        <f t="shared" si="1"/>
        <v>1050465</v>
      </c>
    </row>
    <row r="47" spans="1:19" ht="12">
      <c r="A47" s="59"/>
      <c r="B47" s="158"/>
      <c r="C47" s="54"/>
      <c r="D47" s="54"/>
      <c r="E47" s="54"/>
      <c r="F47" s="48"/>
      <c r="G47" s="54"/>
      <c r="H47" s="48"/>
      <c r="I47" s="48"/>
      <c r="J47" s="54"/>
      <c r="K47" s="54"/>
      <c r="L47" s="54"/>
      <c r="M47" s="54"/>
      <c r="N47" s="54"/>
      <c r="O47" s="54"/>
      <c r="P47" s="54"/>
      <c r="Q47" s="56"/>
      <c r="R47" s="54"/>
      <c r="S47" s="56">
        <f t="shared" si="1"/>
        <v>0</v>
      </c>
    </row>
    <row r="48" spans="1:19" ht="12" hidden="1">
      <c r="A48" s="59"/>
      <c r="B48" s="158"/>
      <c r="C48" s="54"/>
      <c r="D48" s="54"/>
      <c r="E48" s="54"/>
      <c r="F48" s="48"/>
      <c r="G48" s="54"/>
      <c r="H48" s="48"/>
      <c r="I48" s="48"/>
      <c r="J48" s="54"/>
      <c r="K48" s="54"/>
      <c r="L48" s="54"/>
      <c r="M48" s="54"/>
      <c r="N48" s="54"/>
      <c r="O48" s="55"/>
      <c r="P48" s="54"/>
      <c r="Q48" s="56"/>
      <c r="R48" s="54"/>
      <c r="S48" s="56">
        <f t="shared" si="1"/>
        <v>0</v>
      </c>
    </row>
    <row r="49" spans="1:19" ht="12" hidden="1">
      <c r="A49" s="59"/>
      <c r="B49" s="158"/>
      <c r="C49" s="54"/>
      <c r="D49" s="54"/>
      <c r="E49" s="54"/>
      <c r="F49" s="48"/>
      <c r="G49" s="54"/>
      <c r="H49" s="48"/>
      <c r="I49" s="48"/>
      <c r="J49" s="54"/>
      <c r="K49" s="54"/>
      <c r="L49" s="54"/>
      <c r="M49" s="54"/>
      <c r="N49" s="54"/>
      <c r="O49" s="54"/>
      <c r="P49" s="54"/>
      <c r="Q49" s="54"/>
      <c r="R49" s="54"/>
      <c r="S49" s="56">
        <f t="shared" si="1"/>
        <v>0</v>
      </c>
    </row>
    <row r="50" spans="1:19" ht="12" hidden="1">
      <c r="A50" s="59"/>
      <c r="B50" s="158"/>
      <c r="C50" s="54"/>
      <c r="D50" s="54"/>
      <c r="E50" s="54"/>
      <c r="F50" s="48"/>
      <c r="G50" s="54"/>
      <c r="H50" s="48"/>
      <c r="I50" s="48"/>
      <c r="J50" s="54"/>
      <c r="K50" s="54"/>
      <c r="L50" s="54"/>
      <c r="M50" s="54"/>
      <c r="N50" s="54"/>
      <c r="O50" s="54"/>
      <c r="P50" s="54"/>
      <c r="Q50" s="54"/>
      <c r="R50" s="54"/>
      <c r="S50" s="56">
        <f t="shared" si="1"/>
        <v>0</v>
      </c>
    </row>
    <row r="51" spans="1:19" ht="12" hidden="1">
      <c r="A51" s="59"/>
      <c r="B51" s="158"/>
      <c r="C51" s="54"/>
      <c r="D51" s="54"/>
      <c r="E51" s="54"/>
      <c r="F51" s="48"/>
      <c r="G51" s="54"/>
      <c r="H51" s="48"/>
      <c r="I51" s="48"/>
      <c r="J51" s="54"/>
      <c r="K51" s="54"/>
      <c r="L51" s="54"/>
      <c r="M51" s="54"/>
      <c r="N51" s="54"/>
      <c r="O51" s="54"/>
      <c r="P51" s="54"/>
      <c r="Q51" s="54"/>
      <c r="R51" s="54"/>
      <c r="S51" s="56">
        <f t="shared" si="1"/>
        <v>0</v>
      </c>
    </row>
    <row r="52" spans="1:19" ht="12" hidden="1">
      <c r="A52" s="169"/>
      <c r="B52" s="158"/>
      <c r="C52" s="54"/>
      <c r="D52" s="54"/>
      <c r="E52" s="54"/>
      <c r="F52" s="48"/>
      <c r="G52" s="54"/>
      <c r="H52" s="48"/>
      <c r="I52" s="48"/>
      <c r="J52" s="54"/>
      <c r="K52" s="54"/>
      <c r="L52" s="54"/>
      <c r="M52" s="54"/>
      <c r="N52" s="54"/>
      <c r="O52" s="54"/>
      <c r="P52" s="54"/>
      <c r="Q52" s="54"/>
      <c r="R52" s="54"/>
      <c r="S52" s="56">
        <f t="shared" si="1"/>
        <v>0</v>
      </c>
    </row>
    <row r="53" spans="1:19" ht="12" hidden="1">
      <c r="A53" s="169"/>
      <c r="B53" s="158"/>
      <c r="C53" s="54"/>
      <c r="D53" s="54"/>
      <c r="E53" s="54"/>
      <c r="F53" s="48"/>
      <c r="G53" s="54"/>
      <c r="H53" s="48"/>
      <c r="I53" s="48"/>
      <c r="J53" s="54"/>
      <c r="K53" s="54"/>
      <c r="L53" s="54"/>
      <c r="M53" s="54"/>
      <c r="N53" s="54"/>
      <c r="O53" s="54"/>
      <c r="P53" s="54"/>
      <c r="Q53" s="54"/>
      <c r="R53" s="54"/>
      <c r="S53" s="56">
        <f t="shared" si="1"/>
        <v>0</v>
      </c>
    </row>
    <row r="54" spans="1:19" ht="12" hidden="1">
      <c r="A54" s="169"/>
      <c r="B54" s="158"/>
      <c r="C54" s="54"/>
      <c r="D54" s="54"/>
      <c r="E54" s="54"/>
      <c r="F54" s="48"/>
      <c r="G54" s="54"/>
      <c r="H54" s="48"/>
      <c r="I54" s="48"/>
      <c r="J54" s="54"/>
      <c r="K54" s="54"/>
      <c r="L54" s="54"/>
      <c r="M54" s="54"/>
      <c r="N54" s="54"/>
      <c r="O54" s="54"/>
      <c r="P54" s="54"/>
      <c r="Q54" s="54"/>
      <c r="R54" s="54"/>
      <c r="S54" s="56">
        <f t="shared" si="1"/>
        <v>0</v>
      </c>
    </row>
    <row r="55" spans="1:19" ht="12" hidden="1">
      <c r="A55" s="169"/>
      <c r="B55" s="158"/>
      <c r="C55" s="54"/>
      <c r="D55" s="54"/>
      <c r="E55" s="172"/>
      <c r="F55" s="172"/>
      <c r="G55" s="54"/>
      <c r="H55" s="48"/>
      <c r="I55" s="48"/>
      <c r="J55" s="54"/>
      <c r="K55" s="54"/>
      <c r="L55" s="54"/>
      <c r="M55" s="54"/>
      <c r="N55" s="54"/>
      <c r="O55" s="54"/>
      <c r="P55" s="54"/>
      <c r="Q55" s="54"/>
      <c r="R55" s="54"/>
      <c r="S55" s="56">
        <f>SUM(C55:R55)-S56-S57</f>
        <v>0</v>
      </c>
    </row>
    <row r="56" spans="1:19" ht="12" hidden="1">
      <c r="A56" s="169"/>
      <c r="B56" s="158"/>
      <c r="C56" s="54"/>
      <c r="D56" s="54"/>
      <c r="E56" s="172"/>
      <c r="F56" s="172"/>
      <c r="G56" s="54"/>
      <c r="H56" s="48"/>
      <c r="I56" s="48"/>
      <c r="J56" s="54"/>
      <c r="K56" s="54"/>
      <c r="L56" s="54"/>
      <c r="M56" s="54"/>
      <c r="N56" s="54"/>
      <c r="O56" s="54"/>
      <c r="P56" s="54"/>
      <c r="Q56" s="54"/>
      <c r="R56" s="54"/>
      <c r="S56" s="56">
        <f aca="true" t="shared" si="2" ref="S56:S87">SUM(C56:R56)</f>
        <v>0</v>
      </c>
    </row>
    <row r="57" spans="1:19" ht="12" hidden="1">
      <c r="A57" s="169"/>
      <c r="B57" s="158"/>
      <c r="C57" s="54"/>
      <c r="D57" s="54"/>
      <c r="E57" s="172"/>
      <c r="F57" s="172"/>
      <c r="G57" s="54"/>
      <c r="H57" s="48"/>
      <c r="I57" s="48"/>
      <c r="J57" s="54"/>
      <c r="K57" s="54"/>
      <c r="L57" s="54"/>
      <c r="M57" s="54"/>
      <c r="N57" s="54"/>
      <c r="O57" s="54"/>
      <c r="P57" s="54"/>
      <c r="Q57" s="54"/>
      <c r="R57" s="54"/>
      <c r="S57" s="56">
        <f t="shared" si="2"/>
        <v>0</v>
      </c>
    </row>
    <row r="58" spans="1:19" ht="12" hidden="1">
      <c r="A58" s="169"/>
      <c r="B58" s="158"/>
      <c r="C58" s="54"/>
      <c r="D58" s="54"/>
      <c r="E58" s="54"/>
      <c r="F58" s="172"/>
      <c r="G58" s="54"/>
      <c r="H58" s="48"/>
      <c r="I58" s="48"/>
      <c r="J58" s="54"/>
      <c r="K58" s="54"/>
      <c r="L58" s="54"/>
      <c r="M58" s="54"/>
      <c r="N58" s="54"/>
      <c r="O58" s="54"/>
      <c r="P58" s="54"/>
      <c r="Q58" s="54"/>
      <c r="R58" s="54"/>
      <c r="S58" s="56">
        <f t="shared" si="2"/>
        <v>0</v>
      </c>
    </row>
    <row r="59" spans="1:19" ht="12" hidden="1">
      <c r="A59" s="169"/>
      <c r="B59" s="158"/>
      <c r="C59" s="54"/>
      <c r="D59" s="54"/>
      <c r="E59" s="54"/>
      <c r="F59" s="172"/>
      <c r="G59" s="54"/>
      <c r="H59" s="48"/>
      <c r="I59" s="48"/>
      <c r="J59" s="54"/>
      <c r="K59" s="54"/>
      <c r="L59" s="54"/>
      <c r="M59" s="54"/>
      <c r="N59" s="54"/>
      <c r="O59" s="54"/>
      <c r="P59" s="54"/>
      <c r="Q59" s="54"/>
      <c r="R59" s="54"/>
      <c r="S59" s="56">
        <f t="shared" si="2"/>
        <v>0</v>
      </c>
    </row>
    <row r="60" spans="1:19" ht="12" hidden="1">
      <c r="A60" s="169"/>
      <c r="B60" s="158"/>
      <c r="C60" s="172"/>
      <c r="D60" s="172"/>
      <c r="E60" s="54"/>
      <c r="F60" s="48"/>
      <c r="G60" s="54"/>
      <c r="H60" s="172"/>
      <c r="I60" s="172"/>
      <c r="J60" s="54"/>
      <c r="K60" s="54"/>
      <c r="L60" s="54"/>
      <c r="M60" s="54"/>
      <c r="N60" s="54"/>
      <c r="O60" s="54"/>
      <c r="P60" s="54"/>
      <c r="Q60" s="54"/>
      <c r="R60" s="54"/>
      <c r="S60" s="56">
        <f t="shared" si="2"/>
        <v>0</v>
      </c>
    </row>
    <row r="61" spans="1:19" ht="12" hidden="1">
      <c r="A61" s="169"/>
      <c r="B61" s="158"/>
      <c r="C61" s="54"/>
      <c r="D61" s="54"/>
      <c r="E61" s="54"/>
      <c r="F61" s="48"/>
      <c r="G61" s="54"/>
      <c r="H61" s="48"/>
      <c r="I61" s="48"/>
      <c r="J61" s="54"/>
      <c r="K61" s="54"/>
      <c r="L61" s="54"/>
      <c r="M61" s="54"/>
      <c r="N61" s="54"/>
      <c r="O61" s="54"/>
      <c r="P61" s="54"/>
      <c r="Q61" s="54"/>
      <c r="R61" s="54"/>
      <c r="S61" s="56">
        <f t="shared" si="2"/>
        <v>0</v>
      </c>
    </row>
    <row r="62" spans="1:19" ht="12" hidden="1">
      <c r="A62" s="61"/>
      <c r="B62" s="158"/>
      <c r="C62" s="54"/>
      <c r="D62" s="54"/>
      <c r="E62" s="172"/>
      <c r="F62" s="172"/>
      <c r="G62" s="54"/>
      <c r="H62" s="48"/>
      <c r="I62" s="48"/>
      <c r="J62" s="54"/>
      <c r="K62" s="54"/>
      <c r="L62" s="54"/>
      <c r="M62" s="54"/>
      <c r="N62" s="54"/>
      <c r="O62" s="54"/>
      <c r="P62" s="54"/>
      <c r="Q62" s="54"/>
      <c r="R62" s="54"/>
      <c r="S62" s="56">
        <f t="shared" si="2"/>
        <v>0</v>
      </c>
    </row>
    <row r="63" spans="1:19" ht="12" hidden="1">
      <c r="A63" s="61"/>
      <c r="B63" s="158"/>
      <c r="C63" s="54"/>
      <c r="D63" s="54"/>
      <c r="E63" s="54"/>
      <c r="F63" s="172"/>
      <c r="G63" s="54"/>
      <c r="H63" s="48"/>
      <c r="I63" s="48"/>
      <c r="J63" s="54"/>
      <c r="K63" s="54"/>
      <c r="L63" s="54"/>
      <c r="M63" s="54"/>
      <c r="N63" s="54"/>
      <c r="O63" s="54"/>
      <c r="P63" s="54"/>
      <c r="Q63" s="54"/>
      <c r="R63" s="54"/>
      <c r="S63" s="56">
        <f t="shared" si="2"/>
        <v>0</v>
      </c>
    </row>
    <row r="64" spans="1:19" ht="12" hidden="1">
      <c r="A64" s="61"/>
      <c r="B64" s="158"/>
      <c r="C64" s="54"/>
      <c r="D64" s="54"/>
      <c r="E64" s="54"/>
      <c r="F64" s="172"/>
      <c r="G64" s="54"/>
      <c r="H64" s="48"/>
      <c r="I64" s="48"/>
      <c r="J64" s="54"/>
      <c r="K64" s="54"/>
      <c r="L64" s="54"/>
      <c r="M64" s="54"/>
      <c r="N64" s="54"/>
      <c r="O64" s="54"/>
      <c r="P64" s="54"/>
      <c r="Q64" s="54"/>
      <c r="R64" s="54"/>
      <c r="S64" s="56">
        <f t="shared" si="2"/>
        <v>0</v>
      </c>
    </row>
    <row r="65" spans="1:19" ht="12" hidden="1">
      <c r="A65" s="61"/>
      <c r="B65" s="158"/>
      <c r="C65" s="54"/>
      <c r="D65" s="54"/>
      <c r="E65" s="54"/>
      <c r="F65" s="172"/>
      <c r="G65" s="54"/>
      <c r="H65" s="48"/>
      <c r="I65" s="48"/>
      <c r="J65" s="54"/>
      <c r="K65" s="54"/>
      <c r="L65" s="54"/>
      <c r="M65" s="54"/>
      <c r="N65" s="54"/>
      <c r="O65" s="54"/>
      <c r="P65" s="54"/>
      <c r="Q65" s="54"/>
      <c r="R65" s="54"/>
      <c r="S65" s="56">
        <f t="shared" si="2"/>
        <v>0</v>
      </c>
    </row>
    <row r="66" spans="1:19" ht="12" hidden="1">
      <c r="A66" s="61"/>
      <c r="B66" s="158"/>
      <c r="C66" s="54"/>
      <c r="D66" s="54"/>
      <c r="E66" s="54"/>
      <c r="F66" s="172"/>
      <c r="G66" s="54"/>
      <c r="H66" s="48"/>
      <c r="I66" s="48"/>
      <c r="J66" s="54"/>
      <c r="K66" s="54"/>
      <c r="L66" s="54"/>
      <c r="M66" s="54"/>
      <c r="N66" s="54"/>
      <c r="O66" s="54"/>
      <c r="P66" s="54"/>
      <c r="Q66" s="54"/>
      <c r="R66" s="54"/>
      <c r="S66" s="56">
        <f t="shared" si="2"/>
        <v>0</v>
      </c>
    </row>
    <row r="67" spans="1:19" ht="12" hidden="1">
      <c r="A67" s="61"/>
      <c r="B67" s="171"/>
      <c r="C67" s="54"/>
      <c r="D67" s="54"/>
      <c r="E67" s="54"/>
      <c r="F67" s="48"/>
      <c r="G67" s="54"/>
      <c r="H67" s="48"/>
      <c r="I67" s="48"/>
      <c r="J67" s="54"/>
      <c r="K67" s="54"/>
      <c r="L67" s="54"/>
      <c r="M67" s="54"/>
      <c r="N67" s="54"/>
      <c r="O67" s="54"/>
      <c r="P67" s="54"/>
      <c r="Q67" s="54"/>
      <c r="R67" s="54"/>
      <c r="S67" s="56">
        <f t="shared" si="2"/>
        <v>0</v>
      </c>
    </row>
    <row r="68" spans="1:19" ht="12" hidden="1">
      <c r="A68" s="61"/>
      <c r="B68" s="158"/>
      <c r="C68" s="54"/>
      <c r="D68" s="54"/>
      <c r="E68" s="54"/>
      <c r="F68" s="48"/>
      <c r="G68" s="54"/>
      <c r="H68" s="48"/>
      <c r="I68" s="48"/>
      <c r="J68" s="54"/>
      <c r="K68" s="54"/>
      <c r="L68" s="54"/>
      <c r="M68" s="54"/>
      <c r="N68" s="54"/>
      <c r="O68" s="54"/>
      <c r="P68" s="54"/>
      <c r="Q68" s="54"/>
      <c r="R68" s="54"/>
      <c r="S68" s="56">
        <f t="shared" si="2"/>
        <v>0</v>
      </c>
    </row>
    <row r="69" spans="1:19" ht="12" hidden="1">
      <c r="A69" s="61"/>
      <c r="B69" s="158"/>
      <c r="C69" s="54"/>
      <c r="D69" s="54"/>
      <c r="E69" s="54"/>
      <c r="F69" s="48"/>
      <c r="G69" s="54"/>
      <c r="H69" s="48"/>
      <c r="I69" s="48"/>
      <c r="J69" s="54"/>
      <c r="K69" s="54"/>
      <c r="L69" s="54"/>
      <c r="M69" s="54"/>
      <c r="N69" s="54"/>
      <c r="O69" s="54"/>
      <c r="P69" s="54"/>
      <c r="Q69" s="54"/>
      <c r="R69" s="54"/>
      <c r="S69" s="56">
        <f t="shared" si="2"/>
        <v>0</v>
      </c>
    </row>
    <row r="70" spans="1:19" ht="12" hidden="1">
      <c r="A70" s="59"/>
      <c r="B70" s="158"/>
      <c r="C70" s="54"/>
      <c r="D70" s="54"/>
      <c r="E70" s="54"/>
      <c r="F70" s="172"/>
      <c r="G70" s="54"/>
      <c r="H70" s="48"/>
      <c r="I70" s="48"/>
      <c r="J70" s="54"/>
      <c r="K70" s="54"/>
      <c r="L70" s="54"/>
      <c r="M70" s="54"/>
      <c r="N70" s="54"/>
      <c r="O70" s="54"/>
      <c r="P70" s="54"/>
      <c r="Q70" s="54"/>
      <c r="R70" s="54"/>
      <c r="S70" s="56">
        <f t="shared" si="2"/>
        <v>0</v>
      </c>
    </row>
    <row r="71" spans="1:19" ht="12" hidden="1">
      <c r="A71" s="59"/>
      <c r="B71" s="158"/>
      <c r="C71" s="54"/>
      <c r="D71" s="54"/>
      <c r="E71" s="54"/>
      <c r="F71" s="172"/>
      <c r="G71" s="54"/>
      <c r="H71" s="48"/>
      <c r="I71" s="48"/>
      <c r="J71" s="54"/>
      <c r="K71" s="54"/>
      <c r="L71" s="54"/>
      <c r="M71" s="54"/>
      <c r="N71" s="54"/>
      <c r="O71" s="54"/>
      <c r="P71" s="54"/>
      <c r="Q71" s="54"/>
      <c r="R71" s="54"/>
      <c r="S71" s="56">
        <f t="shared" si="2"/>
        <v>0</v>
      </c>
    </row>
    <row r="72" spans="1:19" ht="12" hidden="1">
      <c r="A72" s="59"/>
      <c r="B72" s="158"/>
      <c r="C72" s="54"/>
      <c r="D72" s="54"/>
      <c r="E72" s="54"/>
      <c r="F72" s="172"/>
      <c r="G72" s="54"/>
      <c r="H72" s="48"/>
      <c r="I72" s="48"/>
      <c r="J72" s="54"/>
      <c r="K72" s="54"/>
      <c r="L72" s="54"/>
      <c r="M72" s="54"/>
      <c r="N72" s="54"/>
      <c r="O72" s="54"/>
      <c r="P72" s="54"/>
      <c r="Q72" s="54"/>
      <c r="R72" s="54"/>
      <c r="S72" s="56">
        <f t="shared" si="2"/>
        <v>0</v>
      </c>
    </row>
    <row r="73" spans="1:19" ht="12" hidden="1">
      <c r="A73" s="59"/>
      <c r="B73" s="171"/>
      <c r="C73" s="54"/>
      <c r="D73" s="54"/>
      <c r="E73" s="54"/>
      <c r="F73" s="172"/>
      <c r="G73" s="54"/>
      <c r="H73" s="48"/>
      <c r="I73" s="48"/>
      <c r="J73" s="54"/>
      <c r="K73" s="54"/>
      <c r="L73" s="54"/>
      <c r="M73" s="54"/>
      <c r="N73" s="54"/>
      <c r="O73" s="54"/>
      <c r="P73" s="54"/>
      <c r="Q73" s="54"/>
      <c r="R73" s="54"/>
      <c r="S73" s="56">
        <f t="shared" si="2"/>
        <v>0</v>
      </c>
    </row>
    <row r="74" spans="1:19" ht="12">
      <c r="A74" s="61"/>
      <c r="B74" s="173"/>
      <c r="C74" s="172"/>
      <c r="D74" s="172"/>
      <c r="E74" s="54"/>
      <c r="F74" s="48"/>
      <c r="G74" s="54"/>
      <c r="H74" s="172"/>
      <c r="I74" s="172"/>
      <c r="J74" s="54"/>
      <c r="K74" s="54"/>
      <c r="L74" s="54"/>
      <c r="M74" s="54"/>
      <c r="N74" s="54"/>
      <c r="O74" s="54"/>
      <c r="P74" s="54"/>
      <c r="Q74" s="54"/>
      <c r="R74" s="54"/>
      <c r="S74" s="56">
        <f t="shared" si="2"/>
        <v>0</v>
      </c>
    </row>
    <row r="75" spans="1:19" ht="12">
      <c r="A75" s="174" t="s">
        <v>21</v>
      </c>
      <c r="B75" s="175"/>
      <c r="C75" s="54"/>
      <c r="D75" s="54"/>
      <c r="E75" s="54"/>
      <c r="F75" s="48"/>
      <c r="G75" s="54"/>
      <c r="H75" s="48"/>
      <c r="I75" s="48"/>
      <c r="J75" s="54"/>
      <c r="K75" s="56"/>
      <c r="L75" s="56"/>
      <c r="M75" s="54"/>
      <c r="N75" s="54"/>
      <c r="O75" s="56"/>
      <c r="P75" s="56"/>
      <c r="Q75" s="56"/>
      <c r="R75" s="56"/>
      <c r="S75" s="56">
        <f t="shared" si="2"/>
        <v>0</v>
      </c>
    </row>
    <row r="76" spans="1:19" ht="12">
      <c r="A76" s="617" t="s">
        <v>247</v>
      </c>
      <c r="B76" s="176" t="s">
        <v>47</v>
      </c>
      <c r="C76" s="54">
        <v>-10969.3</v>
      </c>
      <c r="D76" s="54">
        <v>10969.3</v>
      </c>
      <c r="E76" s="54"/>
      <c r="F76" s="48"/>
      <c r="G76" s="54"/>
      <c r="H76" s="48"/>
      <c r="I76" s="48"/>
      <c r="J76" s="54"/>
      <c r="K76" s="56"/>
      <c r="L76" s="56"/>
      <c r="M76" s="54"/>
      <c r="N76" s="54"/>
      <c r="O76" s="56"/>
      <c r="P76" s="56"/>
      <c r="Q76" s="56"/>
      <c r="R76" s="56"/>
      <c r="S76" s="56">
        <f t="shared" si="2"/>
        <v>0</v>
      </c>
    </row>
    <row r="77" spans="1:19" ht="12">
      <c r="A77" s="617" t="s">
        <v>248</v>
      </c>
      <c r="B77" s="176" t="s">
        <v>47</v>
      </c>
      <c r="C77" s="54"/>
      <c r="D77" s="54">
        <v>2470</v>
      </c>
      <c r="E77" s="54"/>
      <c r="F77" s="48">
        <v>-2470</v>
      </c>
      <c r="G77" s="54"/>
      <c r="H77" s="48"/>
      <c r="I77" s="48"/>
      <c r="J77" s="54"/>
      <c r="K77" s="56"/>
      <c r="L77" s="56"/>
      <c r="M77" s="54"/>
      <c r="N77" s="54"/>
      <c r="O77" s="56"/>
      <c r="P77" s="56"/>
      <c r="Q77" s="56"/>
      <c r="R77" s="56"/>
      <c r="S77" s="56">
        <f t="shared" si="2"/>
        <v>0</v>
      </c>
    </row>
    <row r="78" spans="1:19" ht="12">
      <c r="A78" s="177" t="s">
        <v>183</v>
      </c>
      <c r="B78" s="176" t="s">
        <v>54</v>
      </c>
      <c r="C78" s="54"/>
      <c r="D78" s="54"/>
      <c r="E78" s="54"/>
      <c r="F78" s="48"/>
      <c r="G78" s="54"/>
      <c r="H78" s="48"/>
      <c r="I78" s="48"/>
      <c r="J78" s="54"/>
      <c r="K78" s="56"/>
      <c r="L78" s="56"/>
      <c r="M78" s="54"/>
      <c r="N78" s="54"/>
      <c r="O78" s="56"/>
      <c r="P78" s="56"/>
      <c r="Q78" s="56"/>
      <c r="R78" s="56"/>
      <c r="S78" s="56">
        <f t="shared" si="2"/>
        <v>0</v>
      </c>
    </row>
    <row r="79" spans="1:19" ht="10.5" customHeight="1" hidden="1">
      <c r="A79" s="177"/>
      <c r="B79" s="178"/>
      <c r="C79" s="54"/>
      <c r="D79" s="54"/>
      <c r="E79" s="54"/>
      <c r="F79" s="48"/>
      <c r="G79" s="54"/>
      <c r="H79" s="48"/>
      <c r="I79" s="48"/>
      <c r="J79" s="54"/>
      <c r="K79" s="56"/>
      <c r="L79" s="56"/>
      <c r="M79" s="54"/>
      <c r="N79" s="54"/>
      <c r="O79" s="56"/>
      <c r="P79" s="56"/>
      <c r="Q79" s="56"/>
      <c r="R79" s="56"/>
      <c r="S79" s="56">
        <f t="shared" si="2"/>
        <v>0</v>
      </c>
    </row>
    <row r="80" spans="1:19" ht="12" hidden="1">
      <c r="A80" s="177"/>
      <c r="B80" s="171"/>
      <c r="C80" s="58"/>
      <c r="D80" s="58"/>
      <c r="E80" s="58"/>
      <c r="F80" s="50"/>
      <c r="G80" s="58"/>
      <c r="H80" s="50"/>
      <c r="I80" s="50"/>
      <c r="J80" s="58"/>
      <c r="K80" s="58"/>
      <c r="L80" s="58"/>
      <c r="M80" s="58"/>
      <c r="N80" s="58"/>
      <c r="O80" s="58"/>
      <c r="P80" s="58"/>
      <c r="Q80" s="58"/>
      <c r="R80" s="58"/>
      <c r="S80" s="56">
        <f t="shared" si="2"/>
        <v>0</v>
      </c>
    </row>
    <row r="81" spans="1:19" ht="12" hidden="1">
      <c r="A81" s="177"/>
      <c r="B81" s="171"/>
      <c r="C81" s="58"/>
      <c r="D81" s="54"/>
      <c r="E81" s="54"/>
      <c r="F81" s="48"/>
      <c r="G81" s="54"/>
      <c r="H81" s="50"/>
      <c r="I81" s="50"/>
      <c r="J81" s="58"/>
      <c r="K81" s="58"/>
      <c r="L81" s="58"/>
      <c r="M81" s="58"/>
      <c r="N81" s="58"/>
      <c r="O81" s="58"/>
      <c r="P81" s="58"/>
      <c r="Q81" s="58"/>
      <c r="R81" s="58"/>
      <c r="S81" s="56">
        <f t="shared" si="2"/>
        <v>0</v>
      </c>
    </row>
    <row r="82" spans="1:19" ht="12" customHeight="1" hidden="1">
      <c r="A82" s="177"/>
      <c r="B82" s="171"/>
      <c r="C82" s="58"/>
      <c r="D82" s="54"/>
      <c r="E82" s="54"/>
      <c r="F82" s="48"/>
      <c r="G82" s="54"/>
      <c r="H82" s="50"/>
      <c r="I82" s="50"/>
      <c r="J82" s="58"/>
      <c r="K82" s="58"/>
      <c r="L82" s="58"/>
      <c r="M82" s="58"/>
      <c r="N82" s="58"/>
      <c r="O82" s="58"/>
      <c r="P82" s="58"/>
      <c r="Q82" s="58"/>
      <c r="R82" s="58"/>
      <c r="S82" s="56">
        <f t="shared" si="2"/>
        <v>0</v>
      </c>
    </row>
    <row r="83" spans="1:19" ht="12" customHeight="1" hidden="1">
      <c r="A83" s="177"/>
      <c r="B83" s="171"/>
      <c r="C83" s="58"/>
      <c r="D83" s="54"/>
      <c r="E83" s="54"/>
      <c r="F83" s="48"/>
      <c r="G83" s="54"/>
      <c r="H83" s="50"/>
      <c r="I83" s="50"/>
      <c r="J83" s="58"/>
      <c r="K83" s="58"/>
      <c r="L83" s="58"/>
      <c r="M83" s="58"/>
      <c r="N83" s="58"/>
      <c r="O83" s="58"/>
      <c r="P83" s="58"/>
      <c r="Q83" s="58"/>
      <c r="R83" s="58"/>
      <c r="S83" s="56">
        <f t="shared" si="2"/>
        <v>0</v>
      </c>
    </row>
    <row r="84" spans="1:19" ht="12" customHeight="1">
      <c r="A84" s="177"/>
      <c r="B84" s="171"/>
      <c r="C84" s="58"/>
      <c r="D84" s="54"/>
      <c r="E84" s="54"/>
      <c r="F84" s="48"/>
      <c r="G84" s="54"/>
      <c r="H84" s="50"/>
      <c r="I84" s="50"/>
      <c r="J84" s="58"/>
      <c r="K84" s="58"/>
      <c r="L84" s="58"/>
      <c r="M84" s="58"/>
      <c r="N84" s="58"/>
      <c r="O84" s="58"/>
      <c r="P84" s="58"/>
      <c r="Q84" s="58"/>
      <c r="R84" s="58"/>
      <c r="S84" s="56">
        <f t="shared" si="2"/>
        <v>0</v>
      </c>
    </row>
    <row r="85" spans="1:19" ht="12">
      <c r="A85" s="174" t="s">
        <v>22</v>
      </c>
      <c r="B85" s="179"/>
      <c r="C85" s="58"/>
      <c r="D85" s="58"/>
      <c r="E85" s="58"/>
      <c r="F85" s="50"/>
      <c r="G85" s="58"/>
      <c r="H85" s="50"/>
      <c r="I85" s="50"/>
      <c r="J85" s="58"/>
      <c r="K85" s="180"/>
      <c r="L85" s="180"/>
      <c r="M85" s="58"/>
      <c r="N85" s="58"/>
      <c r="O85" s="180"/>
      <c r="P85" s="180"/>
      <c r="Q85" s="180"/>
      <c r="R85" s="180"/>
      <c r="S85" s="56">
        <f t="shared" si="2"/>
        <v>0</v>
      </c>
    </row>
    <row r="86" spans="1:19" ht="12">
      <c r="A86" s="621" t="s">
        <v>78</v>
      </c>
      <c r="B86" s="62" t="s">
        <v>220</v>
      </c>
      <c r="C86" s="48">
        <v>20280</v>
      </c>
      <c r="D86" s="48"/>
      <c r="E86" s="48">
        <v>20280</v>
      </c>
      <c r="F86" s="48"/>
      <c r="G86" s="48"/>
      <c r="H86" s="48">
        <v>20280</v>
      </c>
      <c r="I86" s="48"/>
      <c r="J86" s="48">
        <v>20280</v>
      </c>
      <c r="K86" s="48"/>
      <c r="L86" s="48"/>
      <c r="M86" s="48"/>
      <c r="N86" s="48"/>
      <c r="O86" s="48"/>
      <c r="P86" s="48">
        <v>0</v>
      </c>
      <c r="Q86" s="48">
        <v>-81120</v>
      </c>
      <c r="R86" s="48">
        <v>0</v>
      </c>
      <c r="S86" s="56">
        <f t="shared" si="2"/>
        <v>0</v>
      </c>
    </row>
    <row r="87" spans="1:19" ht="12">
      <c r="A87" s="620" t="s">
        <v>78</v>
      </c>
      <c r="B87" s="62" t="s">
        <v>221</v>
      </c>
      <c r="C87" s="160">
        <v>7139</v>
      </c>
      <c r="D87" s="48"/>
      <c r="E87" s="160">
        <v>7138</v>
      </c>
      <c r="F87" s="160"/>
      <c r="G87" s="160"/>
      <c r="H87" s="160">
        <v>7138</v>
      </c>
      <c r="I87" s="160"/>
      <c r="J87" s="160">
        <v>7139</v>
      </c>
      <c r="K87" s="160"/>
      <c r="L87" s="160"/>
      <c r="M87" s="160"/>
      <c r="N87" s="160"/>
      <c r="O87" s="48"/>
      <c r="P87" s="48"/>
      <c r="Q87" s="48">
        <v>-28554</v>
      </c>
      <c r="R87" s="48">
        <v>0</v>
      </c>
      <c r="S87" s="56">
        <f t="shared" si="2"/>
        <v>0</v>
      </c>
    </row>
    <row r="88" spans="1:19" s="37" customFormat="1" ht="24">
      <c r="A88" s="169" t="s">
        <v>112</v>
      </c>
      <c r="B88" s="62" t="s">
        <v>71</v>
      </c>
      <c r="C88" s="54"/>
      <c r="D88" s="54">
        <v>-5632.01</v>
      </c>
      <c r="E88" s="54">
        <v>-516.67</v>
      </c>
      <c r="F88" s="48"/>
      <c r="G88" s="54"/>
      <c r="H88" s="48"/>
      <c r="I88" s="48"/>
      <c r="J88" s="55"/>
      <c r="K88" s="56"/>
      <c r="L88" s="48"/>
      <c r="M88" s="48"/>
      <c r="N88" s="48"/>
      <c r="O88" s="48"/>
      <c r="P88" s="48"/>
      <c r="Q88" s="54">
        <f>5632.01+516.67</f>
        <v>6148.68</v>
      </c>
      <c r="R88" s="54"/>
      <c r="S88" s="56">
        <f aca="true" t="shared" si="3" ref="S88:S121">SUM(C88:R88)</f>
        <v>0</v>
      </c>
    </row>
    <row r="89" spans="1:19" s="37" customFormat="1" ht="12">
      <c r="A89" s="169" t="s">
        <v>168</v>
      </c>
      <c r="B89" s="62" t="s">
        <v>67</v>
      </c>
      <c r="C89" s="54">
        <v>9984</v>
      </c>
      <c r="D89" s="54">
        <v>0</v>
      </c>
      <c r="E89" s="54">
        <v>8841</v>
      </c>
      <c r="F89" s="48">
        <v>9984</v>
      </c>
      <c r="G89" s="54">
        <v>10185</v>
      </c>
      <c r="H89" s="48">
        <v>8202</v>
      </c>
      <c r="I89" s="48">
        <v>0</v>
      </c>
      <c r="J89" s="55">
        <v>0</v>
      </c>
      <c r="K89" s="56">
        <v>0</v>
      </c>
      <c r="L89" s="48">
        <v>0</v>
      </c>
      <c r="M89" s="48">
        <v>0</v>
      </c>
      <c r="N89" s="48">
        <v>0</v>
      </c>
      <c r="O89" s="181">
        <v>-47196</v>
      </c>
      <c r="P89" s="48"/>
      <c r="Q89" s="54">
        <v>0</v>
      </c>
      <c r="R89" s="54"/>
      <c r="S89" s="56">
        <f t="shared" si="3"/>
        <v>0</v>
      </c>
    </row>
    <row r="90" spans="1:19" s="42" customFormat="1" ht="12">
      <c r="A90" s="169" t="s">
        <v>169</v>
      </c>
      <c r="B90" s="62" t="s">
        <v>67</v>
      </c>
      <c r="C90" s="54">
        <v>3514.32</v>
      </c>
      <c r="D90" s="54">
        <v>0</v>
      </c>
      <c r="E90" s="54">
        <v>3111.96</v>
      </c>
      <c r="F90" s="48">
        <v>3514.32</v>
      </c>
      <c r="G90" s="54">
        <v>3177.72</v>
      </c>
      <c r="H90" s="48">
        <v>2887.08</v>
      </c>
      <c r="I90" s="48">
        <v>0</v>
      </c>
      <c r="J90" s="55">
        <v>0</v>
      </c>
      <c r="K90" s="56">
        <v>0</v>
      </c>
      <c r="L90" s="56">
        <v>0</v>
      </c>
      <c r="M90" s="54">
        <v>0</v>
      </c>
      <c r="N90" s="54">
        <v>0</v>
      </c>
      <c r="O90" s="182">
        <v>-16205.4</v>
      </c>
      <c r="P90" s="54"/>
      <c r="Q90" s="54">
        <v>0</v>
      </c>
      <c r="R90" s="54"/>
      <c r="S90" s="56">
        <f t="shared" si="3"/>
        <v>0</v>
      </c>
    </row>
    <row r="91" spans="1:19" ht="12">
      <c r="A91" s="622" t="s">
        <v>146</v>
      </c>
      <c r="B91" s="62" t="s">
        <v>71</v>
      </c>
      <c r="C91" s="54"/>
      <c r="D91" s="54">
        <f>200+300+600+100+300</f>
        <v>1500</v>
      </c>
      <c r="E91" s="54">
        <f>300+100+1000+300+100</f>
        <v>1800</v>
      </c>
      <c r="F91" s="48">
        <f>300</f>
        <v>300</v>
      </c>
      <c r="G91" s="54"/>
      <c r="H91" s="48">
        <f>300+400+500+600+100-300+300</f>
        <v>1900</v>
      </c>
      <c r="I91" s="48"/>
      <c r="J91" s="54">
        <v>100</v>
      </c>
      <c r="K91" s="56"/>
      <c r="L91" s="56"/>
      <c r="M91" s="54"/>
      <c r="N91" s="54"/>
      <c r="O91" s="54"/>
      <c r="P91" s="55"/>
      <c r="Q91" s="54">
        <f>-300-400-800-300-1000-300-600-800+300-100-300-600-300-100</f>
        <v>-5600</v>
      </c>
      <c r="R91" s="56"/>
      <c r="S91" s="56">
        <f t="shared" si="3"/>
        <v>0</v>
      </c>
    </row>
    <row r="92" spans="1:19" ht="12">
      <c r="A92" s="622" t="s">
        <v>145</v>
      </c>
      <c r="B92" s="62" t="s">
        <v>71</v>
      </c>
      <c r="C92" s="54"/>
      <c r="D92" s="54">
        <f>71+106+212+36+106</f>
        <v>531</v>
      </c>
      <c r="E92" s="54">
        <f>106+36+352+106+36</f>
        <v>636</v>
      </c>
      <c r="F92" s="48">
        <f>106</f>
        <v>106</v>
      </c>
      <c r="G92" s="54"/>
      <c r="H92" s="48">
        <f>106+141+176+212+36-106+106</f>
        <v>671</v>
      </c>
      <c r="I92" s="48"/>
      <c r="J92" s="54">
        <v>36</v>
      </c>
      <c r="K92" s="56"/>
      <c r="L92" s="56"/>
      <c r="M92" s="54"/>
      <c r="N92" s="54"/>
      <c r="O92" s="54"/>
      <c r="P92" s="55"/>
      <c r="Q92" s="54">
        <f>-106-141-282-107-352-106-212-284-106-36-106-106-36</f>
        <v>-1980</v>
      </c>
      <c r="R92" s="54"/>
      <c r="S92" s="56">
        <f t="shared" si="3"/>
        <v>0</v>
      </c>
    </row>
    <row r="93" spans="1:19" ht="12">
      <c r="A93" s="622" t="s">
        <v>147</v>
      </c>
      <c r="B93" s="62" t="s">
        <v>67</v>
      </c>
      <c r="C93" s="54">
        <v>2000</v>
      </c>
      <c r="D93" s="54">
        <v>6500</v>
      </c>
      <c r="E93" s="54">
        <v>2000</v>
      </c>
      <c r="F93" s="48">
        <v>3500</v>
      </c>
      <c r="G93" s="54">
        <v>1500</v>
      </c>
      <c r="H93" s="48">
        <v>2500</v>
      </c>
      <c r="I93" s="48"/>
      <c r="J93" s="54">
        <v>2000</v>
      </c>
      <c r="K93" s="56"/>
      <c r="L93" s="56"/>
      <c r="M93" s="54"/>
      <c r="N93" s="54"/>
      <c r="O93" s="54">
        <v>20000</v>
      </c>
      <c r="P93" s="54">
        <f>-20000-20000</f>
        <v>-40000</v>
      </c>
      <c r="Q93" s="54"/>
      <c r="R93" s="54"/>
      <c r="S93" s="56">
        <f t="shared" si="3"/>
        <v>0</v>
      </c>
    </row>
    <row r="94" spans="1:19" ht="12">
      <c r="A94" s="622" t="s">
        <v>148</v>
      </c>
      <c r="B94" s="62" t="s">
        <v>152</v>
      </c>
      <c r="C94" s="54">
        <v>704</v>
      </c>
      <c r="D94" s="54">
        <v>2288</v>
      </c>
      <c r="E94" s="54">
        <v>704</v>
      </c>
      <c r="F94" s="48">
        <v>1232</v>
      </c>
      <c r="G94" s="54">
        <v>528</v>
      </c>
      <c r="H94" s="48">
        <v>880</v>
      </c>
      <c r="I94" s="48"/>
      <c r="J94" s="54">
        <v>704</v>
      </c>
      <c r="K94" s="56"/>
      <c r="L94" s="56"/>
      <c r="M94" s="54"/>
      <c r="N94" s="54"/>
      <c r="O94" s="54">
        <v>7040</v>
      </c>
      <c r="P94" s="54">
        <f>-7040-7040</f>
        <v>-14080</v>
      </c>
      <c r="Q94" s="54"/>
      <c r="R94" s="54"/>
      <c r="S94" s="56">
        <f t="shared" si="3"/>
        <v>0</v>
      </c>
    </row>
    <row r="95" spans="1:19" ht="12" hidden="1">
      <c r="A95" s="622" t="s">
        <v>149</v>
      </c>
      <c r="B95" s="62" t="s">
        <v>71</v>
      </c>
      <c r="C95" s="54"/>
      <c r="D95" s="54"/>
      <c r="E95" s="54"/>
      <c r="F95" s="48"/>
      <c r="G95" s="54"/>
      <c r="H95" s="48"/>
      <c r="I95" s="48"/>
      <c r="J95" s="54"/>
      <c r="K95" s="56"/>
      <c r="L95" s="56"/>
      <c r="M95" s="54"/>
      <c r="N95" s="54"/>
      <c r="O95" s="54"/>
      <c r="P95" s="55"/>
      <c r="Q95" s="54"/>
      <c r="R95" s="54"/>
      <c r="S95" s="56">
        <f t="shared" si="3"/>
        <v>0</v>
      </c>
    </row>
    <row r="96" spans="1:19" ht="12" hidden="1">
      <c r="A96" s="622" t="s">
        <v>150</v>
      </c>
      <c r="B96" s="62" t="s">
        <v>71</v>
      </c>
      <c r="C96" s="54"/>
      <c r="D96" s="54"/>
      <c r="E96" s="54"/>
      <c r="F96" s="48"/>
      <c r="G96" s="54"/>
      <c r="H96" s="48"/>
      <c r="I96" s="48"/>
      <c r="J96" s="54"/>
      <c r="K96" s="56"/>
      <c r="L96" s="56"/>
      <c r="M96" s="54"/>
      <c r="N96" s="54"/>
      <c r="O96" s="54"/>
      <c r="P96" s="55"/>
      <c r="Q96" s="54"/>
      <c r="R96" s="54"/>
      <c r="S96" s="56">
        <f t="shared" si="3"/>
        <v>0</v>
      </c>
    </row>
    <row r="97" spans="1:19" ht="12">
      <c r="A97" s="622" t="s">
        <v>245</v>
      </c>
      <c r="B97" s="62" t="s">
        <v>67</v>
      </c>
      <c r="C97" s="54"/>
      <c r="D97" s="54"/>
      <c r="E97" s="54"/>
      <c r="F97" s="48"/>
      <c r="G97" s="54"/>
      <c r="H97" s="48"/>
      <c r="I97" s="48"/>
      <c r="J97" s="54"/>
      <c r="K97" s="56"/>
      <c r="L97" s="56"/>
      <c r="M97" s="54"/>
      <c r="N97" s="54"/>
      <c r="O97" s="54"/>
      <c r="P97" s="54">
        <v>-26000</v>
      </c>
      <c r="Q97" s="55"/>
      <c r="R97" s="54"/>
      <c r="S97" s="56">
        <f t="shared" si="3"/>
        <v>-26000</v>
      </c>
    </row>
    <row r="98" spans="1:19" ht="12">
      <c r="A98" s="622" t="s">
        <v>245</v>
      </c>
      <c r="B98" s="62" t="s">
        <v>71</v>
      </c>
      <c r="C98" s="54"/>
      <c r="D98" s="54"/>
      <c r="E98" s="54"/>
      <c r="F98" s="48"/>
      <c r="G98" s="54"/>
      <c r="H98" s="48"/>
      <c r="I98" s="48"/>
      <c r="J98" s="54"/>
      <c r="K98" s="56"/>
      <c r="L98" s="56"/>
      <c r="M98" s="54"/>
      <c r="N98" s="54"/>
      <c r="O98" s="54">
        <v>26000</v>
      </c>
      <c r="P98" s="54">
        <f>26000-26000</f>
        <v>0</v>
      </c>
      <c r="Q98" s="55"/>
      <c r="R98" s="54"/>
      <c r="S98" s="56">
        <f t="shared" si="3"/>
        <v>26000</v>
      </c>
    </row>
    <row r="99" spans="1:19" ht="12">
      <c r="A99" s="622" t="s">
        <v>266</v>
      </c>
      <c r="B99" s="62" t="s">
        <v>238</v>
      </c>
      <c r="C99" s="54">
        <v>1125</v>
      </c>
      <c r="D99" s="54">
        <v>4375</v>
      </c>
      <c r="E99" s="54">
        <v>1000</v>
      </c>
      <c r="F99" s="48">
        <v>1125</v>
      </c>
      <c r="G99" s="54">
        <v>1125</v>
      </c>
      <c r="H99" s="48">
        <v>1000</v>
      </c>
      <c r="I99" s="48"/>
      <c r="J99" s="48">
        <v>1000</v>
      </c>
      <c r="K99" s="56"/>
      <c r="L99" s="56"/>
      <c r="M99" s="54"/>
      <c r="N99" s="54"/>
      <c r="O99" s="55">
        <v>-10750</v>
      </c>
      <c r="P99" s="55"/>
      <c r="Q99" s="54"/>
      <c r="R99" s="54"/>
      <c r="S99" s="56">
        <f t="shared" si="3"/>
        <v>0</v>
      </c>
    </row>
    <row r="100" spans="1:19" ht="12">
      <c r="A100" s="622" t="s">
        <v>265</v>
      </c>
      <c r="B100" s="62" t="s">
        <v>237</v>
      </c>
      <c r="C100" s="54">
        <v>396</v>
      </c>
      <c r="D100" s="54">
        <v>1540</v>
      </c>
      <c r="E100" s="54">
        <v>352</v>
      </c>
      <c r="F100" s="48">
        <v>396</v>
      </c>
      <c r="G100" s="54">
        <v>396</v>
      </c>
      <c r="H100" s="48">
        <v>352</v>
      </c>
      <c r="I100" s="48"/>
      <c r="J100" s="48">
        <v>352</v>
      </c>
      <c r="K100" s="56"/>
      <c r="L100" s="56"/>
      <c r="M100" s="54"/>
      <c r="N100" s="54"/>
      <c r="O100" s="55">
        <v>-3784</v>
      </c>
      <c r="P100" s="55"/>
      <c r="Q100" s="54"/>
      <c r="R100" s="54"/>
      <c r="S100" s="56">
        <f t="shared" si="3"/>
        <v>0</v>
      </c>
    </row>
    <row r="101" spans="1:19" ht="12">
      <c r="A101" s="623" t="s">
        <v>267</v>
      </c>
      <c r="B101" s="183" t="s">
        <v>240</v>
      </c>
      <c r="C101" s="54">
        <v>3000</v>
      </c>
      <c r="D101" s="54">
        <v>3000</v>
      </c>
      <c r="E101" s="54">
        <v>3000</v>
      </c>
      <c r="F101" s="48">
        <v>3000</v>
      </c>
      <c r="G101" s="54">
        <v>1500</v>
      </c>
      <c r="H101" s="48">
        <v>3000</v>
      </c>
      <c r="I101" s="48"/>
      <c r="J101" s="54">
        <v>3000</v>
      </c>
      <c r="K101" s="56"/>
      <c r="L101" s="56"/>
      <c r="M101" s="54"/>
      <c r="N101" s="54"/>
      <c r="O101" s="54">
        <v>-19500</v>
      </c>
      <c r="P101" s="55"/>
      <c r="Q101" s="54"/>
      <c r="R101" s="54"/>
      <c r="S101" s="56">
        <f t="shared" si="3"/>
        <v>0</v>
      </c>
    </row>
    <row r="102" spans="1:19" ht="12">
      <c r="A102" s="623" t="s">
        <v>268</v>
      </c>
      <c r="B102" s="183" t="s">
        <v>239</v>
      </c>
      <c r="C102" s="54">
        <v>1056</v>
      </c>
      <c r="D102" s="54">
        <v>1056</v>
      </c>
      <c r="E102" s="54">
        <v>1056</v>
      </c>
      <c r="F102" s="48">
        <v>1056</v>
      </c>
      <c r="G102" s="54">
        <v>528</v>
      </c>
      <c r="H102" s="48">
        <v>1056</v>
      </c>
      <c r="I102" s="48"/>
      <c r="J102" s="54">
        <v>1056</v>
      </c>
      <c r="K102" s="56"/>
      <c r="L102" s="56"/>
      <c r="M102" s="54"/>
      <c r="N102" s="54"/>
      <c r="O102" s="54">
        <v>-6864</v>
      </c>
      <c r="P102" s="55"/>
      <c r="Q102" s="54"/>
      <c r="R102" s="54"/>
      <c r="S102" s="56">
        <f t="shared" si="3"/>
        <v>0</v>
      </c>
    </row>
    <row r="103" spans="1:19" ht="12" hidden="1">
      <c r="A103" s="624"/>
      <c r="B103" s="183" t="s">
        <v>72</v>
      </c>
      <c r="C103" s="54"/>
      <c r="D103" s="54"/>
      <c r="E103" s="54"/>
      <c r="F103" s="48"/>
      <c r="G103" s="54"/>
      <c r="H103" s="48"/>
      <c r="I103" s="48"/>
      <c r="J103" s="54"/>
      <c r="K103" s="56"/>
      <c r="L103" s="56"/>
      <c r="M103" s="54"/>
      <c r="N103" s="54"/>
      <c r="O103" s="55"/>
      <c r="P103" s="54"/>
      <c r="Q103" s="54"/>
      <c r="R103" s="54"/>
      <c r="S103" s="56">
        <f t="shared" si="3"/>
        <v>0</v>
      </c>
    </row>
    <row r="104" spans="1:19" s="37" customFormat="1" ht="12">
      <c r="A104" s="624" t="s">
        <v>228</v>
      </c>
      <c r="B104" s="183" t="s">
        <v>227</v>
      </c>
      <c r="C104" s="182"/>
      <c r="D104" s="182"/>
      <c r="E104" s="182"/>
      <c r="F104" s="181"/>
      <c r="G104" s="182"/>
      <c r="H104" s="181"/>
      <c r="I104" s="181"/>
      <c r="J104" s="182"/>
      <c r="K104" s="52"/>
      <c r="L104" s="182">
        <v>32087</v>
      </c>
      <c r="M104" s="182"/>
      <c r="N104" s="182"/>
      <c r="O104" s="184"/>
      <c r="P104" s="182">
        <v>-32087</v>
      </c>
      <c r="Q104" s="182"/>
      <c r="R104" s="182"/>
      <c r="S104" s="52">
        <f t="shared" si="3"/>
        <v>0</v>
      </c>
    </row>
    <row r="105" spans="1:19" ht="12" hidden="1">
      <c r="A105" s="624"/>
      <c r="B105" s="183"/>
      <c r="C105" s="54"/>
      <c r="D105" s="54"/>
      <c r="E105" s="54"/>
      <c r="F105" s="48"/>
      <c r="G105" s="54"/>
      <c r="H105" s="48"/>
      <c r="I105" s="48"/>
      <c r="J105" s="54"/>
      <c r="K105" s="56"/>
      <c r="L105" s="56"/>
      <c r="M105" s="54"/>
      <c r="N105" s="54"/>
      <c r="O105" s="55"/>
      <c r="P105" s="54"/>
      <c r="Q105" s="54"/>
      <c r="R105" s="54"/>
      <c r="S105" s="56"/>
    </row>
    <row r="106" spans="1:19" ht="12">
      <c r="A106" s="625" t="s">
        <v>102</v>
      </c>
      <c r="B106" s="62" t="s">
        <v>71</v>
      </c>
      <c r="C106" s="54"/>
      <c r="D106" s="54"/>
      <c r="E106" s="54">
        <v>20000</v>
      </c>
      <c r="F106" s="48"/>
      <c r="G106" s="54">
        <v>4000</v>
      </c>
      <c r="H106" s="48">
        <v>4000</v>
      </c>
      <c r="I106" s="48"/>
      <c r="J106" s="54"/>
      <c r="K106" s="56"/>
      <c r="L106" s="56"/>
      <c r="M106" s="54">
        <v>4000</v>
      </c>
      <c r="N106" s="54"/>
      <c r="O106" s="54"/>
      <c r="P106" s="54"/>
      <c r="Q106" s="54">
        <v>-32000</v>
      </c>
      <c r="R106" s="54"/>
      <c r="S106" s="56">
        <f t="shared" si="3"/>
        <v>0</v>
      </c>
    </row>
    <row r="107" spans="1:19" ht="12" hidden="1">
      <c r="A107" s="625"/>
      <c r="B107" s="62" t="s">
        <v>71</v>
      </c>
      <c r="C107" s="54"/>
      <c r="D107" s="54"/>
      <c r="E107" s="54"/>
      <c r="F107" s="48"/>
      <c r="G107" s="54"/>
      <c r="H107" s="48"/>
      <c r="I107" s="48"/>
      <c r="J107" s="54"/>
      <c r="K107" s="56"/>
      <c r="L107" s="56"/>
      <c r="M107" s="54"/>
      <c r="N107" s="54"/>
      <c r="O107" s="54"/>
      <c r="P107" s="54"/>
      <c r="Q107" s="54"/>
      <c r="R107" s="54"/>
      <c r="S107" s="56">
        <f t="shared" si="3"/>
        <v>0</v>
      </c>
    </row>
    <row r="108" spans="1:19" ht="12">
      <c r="A108" s="625" t="s">
        <v>164</v>
      </c>
      <c r="B108" s="62" t="s">
        <v>71</v>
      </c>
      <c r="C108" s="54">
        <v>21000</v>
      </c>
      <c r="D108" s="54">
        <v>5980</v>
      </c>
      <c r="E108" s="54">
        <v>16995</v>
      </c>
      <c r="F108" s="48">
        <v>28900</v>
      </c>
      <c r="G108" s="54">
        <v>2000</v>
      </c>
      <c r="H108" s="48">
        <v>9000</v>
      </c>
      <c r="I108" s="48"/>
      <c r="J108" s="54">
        <v>5000</v>
      </c>
      <c r="K108" s="56"/>
      <c r="L108" s="56"/>
      <c r="M108" s="54">
        <v>700</v>
      </c>
      <c r="N108" s="54"/>
      <c r="O108" s="54"/>
      <c r="P108" s="54"/>
      <c r="Q108" s="54">
        <f>-89575</f>
        <v>-89575</v>
      </c>
      <c r="R108" s="54"/>
      <c r="S108" s="52">
        <f t="shared" si="3"/>
        <v>0</v>
      </c>
    </row>
    <row r="109" spans="1:19" ht="12">
      <c r="A109" s="625" t="s">
        <v>165</v>
      </c>
      <c r="B109" s="62" t="s">
        <v>71</v>
      </c>
      <c r="C109" s="54">
        <v>6800</v>
      </c>
      <c r="D109" s="54"/>
      <c r="E109" s="54">
        <v>7000</v>
      </c>
      <c r="F109" s="48">
        <v>23000</v>
      </c>
      <c r="G109" s="54"/>
      <c r="H109" s="48"/>
      <c r="I109" s="48"/>
      <c r="J109" s="54">
        <v>7000</v>
      </c>
      <c r="K109" s="56"/>
      <c r="L109" s="56"/>
      <c r="M109" s="54"/>
      <c r="N109" s="54"/>
      <c r="O109" s="54"/>
      <c r="P109" s="54"/>
      <c r="Q109" s="54">
        <v>-43800</v>
      </c>
      <c r="R109" s="54"/>
      <c r="S109" s="52">
        <f t="shared" si="3"/>
        <v>0</v>
      </c>
    </row>
    <row r="110" spans="1:19" ht="12" hidden="1">
      <c r="A110" s="626"/>
      <c r="B110" s="62" t="s">
        <v>67</v>
      </c>
      <c r="C110" s="54"/>
      <c r="D110" s="54"/>
      <c r="E110" s="54"/>
      <c r="F110" s="48"/>
      <c r="G110" s="54"/>
      <c r="H110" s="48"/>
      <c r="I110" s="48"/>
      <c r="J110" s="54"/>
      <c r="K110" s="56"/>
      <c r="L110" s="56"/>
      <c r="M110" s="54"/>
      <c r="N110" s="54"/>
      <c r="O110" s="54"/>
      <c r="P110" s="54"/>
      <c r="Q110" s="54"/>
      <c r="R110" s="54"/>
      <c r="S110" s="52">
        <f t="shared" si="3"/>
        <v>0</v>
      </c>
    </row>
    <row r="111" spans="1:19" ht="12" hidden="1">
      <c r="A111" s="626"/>
      <c r="B111" s="62" t="s">
        <v>67</v>
      </c>
      <c r="C111" s="54"/>
      <c r="D111" s="54"/>
      <c r="E111" s="54"/>
      <c r="F111" s="48"/>
      <c r="G111" s="54"/>
      <c r="H111" s="48"/>
      <c r="I111" s="48"/>
      <c r="J111" s="54"/>
      <c r="K111" s="56"/>
      <c r="L111" s="56"/>
      <c r="M111" s="54"/>
      <c r="N111" s="54"/>
      <c r="O111" s="54"/>
      <c r="P111" s="54"/>
      <c r="Q111" s="54"/>
      <c r="R111" s="54"/>
      <c r="S111" s="52">
        <f t="shared" si="3"/>
        <v>0</v>
      </c>
    </row>
    <row r="112" spans="1:19" ht="12">
      <c r="A112" s="621" t="s">
        <v>80</v>
      </c>
      <c r="B112" s="62" t="s">
        <v>220</v>
      </c>
      <c r="C112" s="54"/>
      <c r="D112" s="54"/>
      <c r="E112" s="54"/>
      <c r="F112" s="48"/>
      <c r="G112" s="54"/>
      <c r="H112" s="48"/>
      <c r="I112" s="48"/>
      <c r="J112" s="54"/>
      <c r="K112" s="56"/>
      <c r="L112" s="56"/>
      <c r="M112" s="54"/>
      <c r="N112" s="54"/>
      <c r="O112" s="54">
        <v>16224</v>
      </c>
      <c r="P112" s="54">
        <v>-16224</v>
      </c>
      <c r="Q112" s="54"/>
      <c r="R112" s="54"/>
      <c r="S112" s="52">
        <f t="shared" si="3"/>
        <v>0</v>
      </c>
    </row>
    <row r="113" spans="1:19" ht="12">
      <c r="A113" s="621" t="s">
        <v>80</v>
      </c>
      <c r="B113" s="62" t="s">
        <v>221</v>
      </c>
      <c r="C113" s="54"/>
      <c r="D113" s="54"/>
      <c r="E113" s="54"/>
      <c r="F113" s="48"/>
      <c r="G113" s="54"/>
      <c r="H113" s="48"/>
      <c r="I113" s="48"/>
      <c r="J113" s="54"/>
      <c r="K113" s="56"/>
      <c r="L113" s="56"/>
      <c r="M113" s="54"/>
      <c r="N113" s="54"/>
      <c r="O113" s="54">
        <v>5711</v>
      </c>
      <c r="P113" s="54">
        <v>-5711</v>
      </c>
      <c r="Q113" s="54"/>
      <c r="R113" s="54"/>
      <c r="S113" s="52">
        <f t="shared" si="3"/>
        <v>0</v>
      </c>
    </row>
    <row r="114" spans="1:19" ht="12" hidden="1">
      <c r="A114" s="621"/>
      <c r="B114" s="62"/>
      <c r="C114" s="54"/>
      <c r="D114" s="54"/>
      <c r="E114" s="54"/>
      <c r="F114" s="48"/>
      <c r="G114" s="54"/>
      <c r="H114" s="48"/>
      <c r="I114" s="48"/>
      <c r="J114" s="54"/>
      <c r="K114" s="56"/>
      <c r="L114" s="56"/>
      <c r="M114" s="54"/>
      <c r="N114" s="54"/>
      <c r="O114" s="54"/>
      <c r="P114" s="54"/>
      <c r="Q114" s="54"/>
      <c r="R114" s="54"/>
      <c r="S114" s="52"/>
    </row>
    <row r="115" spans="1:19" ht="12">
      <c r="A115" s="626" t="s">
        <v>182</v>
      </c>
      <c r="B115" s="49" t="s">
        <v>71</v>
      </c>
      <c r="C115" s="50">
        <v>16511</v>
      </c>
      <c r="D115" s="50">
        <f>5104</f>
        <v>5104</v>
      </c>
      <c r="E115" s="50"/>
      <c r="F115" s="50">
        <f>16236+6904+3744</f>
        <v>26884</v>
      </c>
      <c r="G115" s="50"/>
      <c r="H115" s="50">
        <v>1498</v>
      </c>
      <c r="I115" s="50"/>
      <c r="J115" s="50">
        <f>8487+500</f>
        <v>8987</v>
      </c>
      <c r="K115" s="51"/>
      <c r="L115" s="51"/>
      <c r="M115" s="50">
        <f>2096</f>
        <v>2096</v>
      </c>
      <c r="N115" s="50"/>
      <c r="O115" s="51"/>
      <c r="P115" s="48"/>
      <c r="Q115" s="181">
        <f>-41234-6904-5104-3744-500-2096-1498</f>
        <v>-61080</v>
      </c>
      <c r="R115" s="48"/>
      <c r="S115" s="52">
        <f t="shared" si="3"/>
        <v>0</v>
      </c>
    </row>
    <row r="116" spans="1:19" ht="12">
      <c r="A116" s="627" t="s">
        <v>254</v>
      </c>
      <c r="B116" s="49" t="s">
        <v>240</v>
      </c>
      <c r="C116" s="48">
        <v>7000</v>
      </c>
      <c r="D116" s="50"/>
      <c r="E116" s="50"/>
      <c r="F116" s="50"/>
      <c r="G116" s="50"/>
      <c r="H116" s="50"/>
      <c r="I116" s="50"/>
      <c r="J116" s="50"/>
      <c r="K116" s="51"/>
      <c r="L116" s="51"/>
      <c r="M116" s="50"/>
      <c r="N116" s="50"/>
      <c r="O116" s="51"/>
      <c r="P116" s="48">
        <v>-7000</v>
      </c>
      <c r="Q116" s="48">
        <v>0</v>
      </c>
      <c r="R116" s="185"/>
      <c r="S116" s="52">
        <f t="shared" si="3"/>
        <v>0</v>
      </c>
    </row>
    <row r="117" spans="1:19" ht="12">
      <c r="A117" s="627" t="s">
        <v>254</v>
      </c>
      <c r="B117" s="49" t="s">
        <v>239</v>
      </c>
      <c r="C117" s="48">
        <v>2464</v>
      </c>
      <c r="D117" s="50"/>
      <c r="E117" s="50"/>
      <c r="F117" s="50"/>
      <c r="G117" s="50"/>
      <c r="H117" s="50"/>
      <c r="I117" s="50"/>
      <c r="J117" s="50"/>
      <c r="K117" s="51"/>
      <c r="L117" s="51"/>
      <c r="M117" s="50"/>
      <c r="N117" s="50"/>
      <c r="O117" s="51"/>
      <c r="P117" s="48">
        <v>-2464</v>
      </c>
      <c r="Q117" s="48"/>
      <c r="R117" s="185"/>
      <c r="S117" s="52">
        <f t="shared" si="3"/>
        <v>0</v>
      </c>
    </row>
    <row r="118" spans="1:19" s="37" customFormat="1" ht="24">
      <c r="A118" s="169" t="s">
        <v>187</v>
      </c>
      <c r="B118" s="62" t="s">
        <v>67</v>
      </c>
      <c r="C118" s="54"/>
      <c r="D118" s="54"/>
      <c r="E118" s="54"/>
      <c r="F118" s="48"/>
      <c r="G118" s="54"/>
      <c r="H118" s="48"/>
      <c r="I118" s="48"/>
      <c r="J118" s="55">
        <v>-2250</v>
      </c>
      <c r="K118" s="56"/>
      <c r="L118" s="48"/>
      <c r="M118" s="48">
        <v>2250</v>
      </c>
      <c r="N118" s="48"/>
      <c r="O118" s="48"/>
      <c r="P118" s="48"/>
      <c r="Q118" s="54"/>
      <c r="R118" s="54"/>
      <c r="S118" s="56">
        <f t="shared" si="3"/>
        <v>0</v>
      </c>
    </row>
    <row r="119" spans="1:19" s="42" customFormat="1" ht="24">
      <c r="A119" s="169" t="s">
        <v>188</v>
      </c>
      <c r="B119" s="62" t="s">
        <v>67</v>
      </c>
      <c r="C119" s="54"/>
      <c r="D119" s="54"/>
      <c r="E119" s="54"/>
      <c r="F119" s="48"/>
      <c r="G119" s="54"/>
      <c r="H119" s="48"/>
      <c r="I119" s="48"/>
      <c r="J119" s="55">
        <v>-790</v>
      </c>
      <c r="K119" s="56"/>
      <c r="L119" s="56"/>
      <c r="M119" s="54">
        <v>790</v>
      </c>
      <c r="N119" s="54"/>
      <c r="O119" s="54"/>
      <c r="P119" s="54"/>
      <c r="Q119" s="54"/>
      <c r="R119" s="54"/>
      <c r="S119" s="56">
        <f t="shared" si="3"/>
        <v>0</v>
      </c>
    </row>
    <row r="120" spans="1:19" ht="24">
      <c r="A120" s="169" t="s">
        <v>187</v>
      </c>
      <c r="B120" s="62" t="s">
        <v>67</v>
      </c>
      <c r="C120" s="54"/>
      <c r="D120" s="54"/>
      <c r="E120" s="54">
        <v>7605</v>
      </c>
      <c r="F120" s="48"/>
      <c r="G120" s="58"/>
      <c r="H120" s="50"/>
      <c r="I120" s="50"/>
      <c r="J120" s="58">
        <v>-7605</v>
      </c>
      <c r="K120" s="180"/>
      <c r="L120" s="180"/>
      <c r="M120" s="58"/>
      <c r="N120" s="58"/>
      <c r="O120" s="58"/>
      <c r="P120" s="58"/>
      <c r="Q120" s="54"/>
      <c r="R120" s="54"/>
      <c r="S120" s="56">
        <f t="shared" si="3"/>
        <v>0</v>
      </c>
    </row>
    <row r="121" spans="1:19" ht="24">
      <c r="A121" s="169" t="s">
        <v>188</v>
      </c>
      <c r="B121" s="62" t="s">
        <v>67</v>
      </c>
      <c r="C121" s="54"/>
      <c r="D121" s="54"/>
      <c r="E121" s="54">
        <v>2677</v>
      </c>
      <c r="F121" s="48"/>
      <c r="G121" s="54"/>
      <c r="H121" s="48"/>
      <c r="I121" s="48"/>
      <c r="J121" s="55">
        <v>-2677</v>
      </c>
      <c r="K121" s="54"/>
      <c r="L121" s="54"/>
      <c r="M121" s="54"/>
      <c r="N121" s="54"/>
      <c r="O121" s="54"/>
      <c r="P121" s="54"/>
      <c r="Q121" s="54"/>
      <c r="R121" s="54"/>
      <c r="S121" s="56">
        <f t="shared" si="3"/>
        <v>0</v>
      </c>
    </row>
    <row r="122" spans="1:19" ht="24">
      <c r="A122" s="169" t="s">
        <v>113</v>
      </c>
      <c r="B122" s="62" t="s">
        <v>67</v>
      </c>
      <c r="C122" s="54">
        <v>33090</v>
      </c>
      <c r="D122" s="54"/>
      <c r="E122" s="54"/>
      <c r="F122" s="48"/>
      <c r="G122" s="54"/>
      <c r="H122" s="48"/>
      <c r="I122" s="48"/>
      <c r="J122" s="55">
        <v>-33090</v>
      </c>
      <c r="K122" s="56"/>
      <c r="L122" s="54"/>
      <c r="M122" s="55"/>
      <c r="N122" s="54"/>
      <c r="O122" s="54"/>
      <c r="P122" s="56"/>
      <c r="Q122" s="54"/>
      <c r="R122" s="54"/>
      <c r="S122" s="56">
        <f aca="true" t="shared" si="4" ref="S122:S153">SUM(C122:R122)</f>
        <v>0</v>
      </c>
    </row>
    <row r="123" spans="1:19" ht="24">
      <c r="A123" s="169" t="s">
        <v>114</v>
      </c>
      <c r="B123" s="62" t="s">
        <v>67</v>
      </c>
      <c r="C123" s="54">
        <v>11597</v>
      </c>
      <c r="D123" s="54"/>
      <c r="E123" s="54"/>
      <c r="F123" s="48"/>
      <c r="G123" s="54"/>
      <c r="H123" s="48"/>
      <c r="I123" s="48"/>
      <c r="J123" s="55">
        <v>-11597</v>
      </c>
      <c r="K123" s="56"/>
      <c r="L123" s="54"/>
      <c r="M123" s="55"/>
      <c r="N123" s="54"/>
      <c r="O123" s="54"/>
      <c r="P123" s="54"/>
      <c r="Q123" s="54"/>
      <c r="R123" s="54"/>
      <c r="S123" s="56">
        <f t="shared" si="4"/>
        <v>0</v>
      </c>
    </row>
    <row r="124" spans="1:19" ht="24">
      <c r="A124" s="169" t="s">
        <v>115</v>
      </c>
      <c r="B124" s="62" t="s">
        <v>67</v>
      </c>
      <c r="C124" s="54"/>
      <c r="D124" s="54"/>
      <c r="E124" s="54"/>
      <c r="F124" s="48">
        <v>-20665.14</v>
      </c>
      <c r="G124" s="54"/>
      <c r="H124" s="48"/>
      <c r="I124" s="48"/>
      <c r="J124" s="55"/>
      <c r="K124" s="56"/>
      <c r="L124" s="54"/>
      <c r="M124" s="55">
        <v>20665.14</v>
      </c>
      <c r="N124" s="54"/>
      <c r="O124" s="54"/>
      <c r="P124" s="54"/>
      <c r="Q124" s="54"/>
      <c r="R124" s="54"/>
      <c r="S124" s="56">
        <f t="shared" si="4"/>
        <v>0</v>
      </c>
    </row>
    <row r="125" spans="1:19" ht="24">
      <c r="A125" s="169" t="s">
        <v>116</v>
      </c>
      <c r="B125" s="62" t="s">
        <v>67</v>
      </c>
      <c r="C125" s="54"/>
      <c r="D125" s="54"/>
      <c r="E125" s="54"/>
      <c r="F125" s="48">
        <v>-7274.13</v>
      </c>
      <c r="G125" s="54"/>
      <c r="H125" s="48"/>
      <c r="I125" s="48"/>
      <c r="J125" s="55"/>
      <c r="K125" s="56"/>
      <c r="L125" s="54"/>
      <c r="M125" s="55">
        <v>7274.13</v>
      </c>
      <c r="N125" s="54"/>
      <c r="O125" s="54"/>
      <c r="P125" s="54"/>
      <c r="Q125" s="54"/>
      <c r="R125" s="54"/>
      <c r="S125" s="56">
        <f t="shared" si="4"/>
        <v>0</v>
      </c>
    </row>
    <row r="126" spans="1:19" ht="24">
      <c r="A126" s="169" t="s">
        <v>117</v>
      </c>
      <c r="B126" s="62" t="s">
        <v>67</v>
      </c>
      <c r="C126" s="54"/>
      <c r="D126" s="54"/>
      <c r="E126" s="54">
        <v>-1730.77</v>
      </c>
      <c r="F126" s="48">
        <v>1730.77</v>
      </c>
      <c r="G126" s="54"/>
      <c r="H126" s="48"/>
      <c r="I126" s="48"/>
      <c r="J126" s="55"/>
      <c r="K126" s="56"/>
      <c r="L126" s="54"/>
      <c r="M126" s="55"/>
      <c r="N126" s="54"/>
      <c r="O126" s="54"/>
      <c r="P126" s="54"/>
      <c r="Q126" s="54"/>
      <c r="R126" s="54"/>
      <c r="S126" s="56">
        <f t="shared" si="4"/>
        <v>0</v>
      </c>
    </row>
    <row r="127" spans="1:19" ht="24">
      <c r="A127" s="169" t="s">
        <v>118</v>
      </c>
      <c r="B127" s="62" t="s">
        <v>67</v>
      </c>
      <c r="C127" s="54"/>
      <c r="D127" s="54"/>
      <c r="E127" s="54">
        <v>-609.23</v>
      </c>
      <c r="F127" s="48">
        <v>609.23</v>
      </c>
      <c r="G127" s="54"/>
      <c r="H127" s="48"/>
      <c r="I127" s="48"/>
      <c r="J127" s="55"/>
      <c r="K127" s="56"/>
      <c r="L127" s="56"/>
      <c r="M127" s="54"/>
      <c r="N127" s="54"/>
      <c r="O127" s="56"/>
      <c r="P127" s="56"/>
      <c r="Q127" s="180"/>
      <c r="R127" s="180"/>
      <c r="S127" s="56">
        <f t="shared" si="4"/>
        <v>0</v>
      </c>
    </row>
    <row r="128" spans="1:19" ht="24">
      <c r="A128" s="169" t="s">
        <v>117</v>
      </c>
      <c r="B128" s="62" t="s">
        <v>67</v>
      </c>
      <c r="C128" s="54">
        <v>-1317</v>
      </c>
      <c r="D128" s="54"/>
      <c r="E128" s="54">
        <v>1317</v>
      </c>
      <c r="F128" s="48"/>
      <c r="G128" s="54"/>
      <c r="H128" s="55"/>
      <c r="I128" s="55"/>
      <c r="J128" s="54"/>
      <c r="K128" s="186"/>
      <c r="L128" s="54"/>
      <c r="M128" s="54"/>
      <c r="N128" s="54"/>
      <c r="O128" s="54"/>
      <c r="P128" s="54"/>
      <c r="Q128" s="54"/>
      <c r="R128" s="54"/>
      <c r="S128" s="56">
        <f t="shared" si="4"/>
        <v>0</v>
      </c>
    </row>
    <row r="129" spans="1:19" ht="24">
      <c r="A129" s="169" t="s">
        <v>118</v>
      </c>
      <c r="B129" s="62" t="s">
        <v>67</v>
      </c>
      <c r="C129" s="54">
        <v>-464</v>
      </c>
      <c r="D129" s="54"/>
      <c r="E129" s="54">
        <v>464</v>
      </c>
      <c r="F129" s="48"/>
      <c r="G129" s="54"/>
      <c r="H129" s="55"/>
      <c r="I129" s="55"/>
      <c r="J129" s="54"/>
      <c r="K129" s="186"/>
      <c r="L129" s="54"/>
      <c r="M129" s="54"/>
      <c r="N129" s="54"/>
      <c r="O129" s="54"/>
      <c r="P129" s="54"/>
      <c r="Q129" s="54"/>
      <c r="R129" s="54"/>
      <c r="S129" s="56">
        <f t="shared" si="4"/>
        <v>0</v>
      </c>
    </row>
    <row r="130" spans="1:19" ht="24">
      <c r="A130" s="169" t="s">
        <v>121</v>
      </c>
      <c r="B130" s="62" t="s">
        <v>67</v>
      </c>
      <c r="C130" s="54">
        <v>5387</v>
      </c>
      <c r="D130" s="54"/>
      <c r="E130" s="54"/>
      <c r="F130" s="48"/>
      <c r="G130" s="54"/>
      <c r="H130" s="55"/>
      <c r="I130" s="55"/>
      <c r="J130" s="54"/>
      <c r="K130" s="186"/>
      <c r="L130" s="54"/>
      <c r="M130" s="54">
        <v>-5387</v>
      </c>
      <c r="N130" s="54"/>
      <c r="O130" s="54"/>
      <c r="P130" s="54"/>
      <c r="Q130" s="54"/>
      <c r="R130" s="54"/>
      <c r="S130" s="56">
        <f t="shared" si="4"/>
        <v>0</v>
      </c>
    </row>
    <row r="131" spans="1:19" ht="24">
      <c r="A131" s="169" t="s">
        <v>122</v>
      </c>
      <c r="B131" s="62" t="s">
        <v>67</v>
      </c>
      <c r="C131" s="54">
        <v>1896</v>
      </c>
      <c r="D131" s="54"/>
      <c r="E131" s="54"/>
      <c r="F131" s="48"/>
      <c r="G131" s="54"/>
      <c r="H131" s="55"/>
      <c r="I131" s="55"/>
      <c r="J131" s="54"/>
      <c r="K131" s="186"/>
      <c r="L131" s="54"/>
      <c r="M131" s="54">
        <v>-1896</v>
      </c>
      <c r="N131" s="54"/>
      <c r="O131" s="54"/>
      <c r="P131" s="54"/>
      <c r="Q131" s="54"/>
      <c r="R131" s="54"/>
      <c r="S131" s="56">
        <f t="shared" si="4"/>
        <v>0</v>
      </c>
    </row>
    <row r="132" spans="1:19" ht="24">
      <c r="A132" s="169" t="s">
        <v>121</v>
      </c>
      <c r="B132" s="62" t="s">
        <v>67</v>
      </c>
      <c r="C132" s="54">
        <v>942</v>
      </c>
      <c r="D132" s="54">
        <v>-942</v>
      </c>
      <c r="E132" s="54"/>
      <c r="F132" s="48"/>
      <c r="G132" s="63"/>
      <c r="H132" s="55"/>
      <c r="I132" s="55"/>
      <c r="J132" s="54"/>
      <c r="K132" s="186"/>
      <c r="L132" s="54"/>
      <c r="M132" s="54"/>
      <c r="N132" s="54"/>
      <c r="O132" s="54"/>
      <c r="P132" s="54"/>
      <c r="Q132" s="54"/>
      <c r="R132" s="54"/>
      <c r="S132" s="56">
        <f t="shared" si="4"/>
        <v>0</v>
      </c>
    </row>
    <row r="133" spans="1:19" ht="24">
      <c r="A133" s="169" t="s">
        <v>122</v>
      </c>
      <c r="B133" s="62" t="s">
        <v>67</v>
      </c>
      <c r="C133" s="54">
        <v>332</v>
      </c>
      <c r="D133" s="54">
        <v>-332</v>
      </c>
      <c r="E133" s="54"/>
      <c r="F133" s="48"/>
      <c r="G133" s="63"/>
      <c r="H133" s="55"/>
      <c r="I133" s="55"/>
      <c r="J133" s="54"/>
      <c r="K133" s="186"/>
      <c r="L133" s="54"/>
      <c r="M133" s="54"/>
      <c r="N133" s="54"/>
      <c r="O133" s="54"/>
      <c r="P133" s="54"/>
      <c r="Q133" s="54"/>
      <c r="R133" s="54"/>
      <c r="S133" s="56">
        <f t="shared" si="4"/>
        <v>0</v>
      </c>
    </row>
    <row r="134" spans="1:19" ht="24">
      <c r="A134" s="169" t="s">
        <v>121</v>
      </c>
      <c r="B134" s="62" t="s">
        <v>67</v>
      </c>
      <c r="C134" s="54">
        <v>18981</v>
      </c>
      <c r="D134" s="54"/>
      <c r="E134" s="54"/>
      <c r="F134" s="187"/>
      <c r="G134" s="54">
        <v>-18981</v>
      </c>
      <c r="H134" s="55"/>
      <c r="I134" s="55"/>
      <c r="J134" s="54"/>
      <c r="K134" s="186"/>
      <c r="L134" s="54"/>
      <c r="M134" s="54"/>
      <c r="N134" s="54"/>
      <c r="O134" s="54"/>
      <c r="P134" s="54"/>
      <c r="Q134" s="54"/>
      <c r="R134" s="54"/>
      <c r="S134" s="56">
        <f t="shared" si="4"/>
        <v>0</v>
      </c>
    </row>
    <row r="135" spans="1:19" ht="24">
      <c r="A135" s="169" t="s">
        <v>122</v>
      </c>
      <c r="B135" s="62" t="s">
        <v>67</v>
      </c>
      <c r="C135" s="54">
        <v>6681</v>
      </c>
      <c r="D135" s="54"/>
      <c r="E135" s="54"/>
      <c r="F135" s="187"/>
      <c r="G135" s="54">
        <v>-6681</v>
      </c>
      <c r="H135" s="55"/>
      <c r="I135" s="55"/>
      <c r="J135" s="54"/>
      <c r="K135" s="186"/>
      <c r="L135" s="54"/>
      <c r="M135" s="54"/>
      <c r="N135" s="54"/>
      <c r="O135" s="54"/>
      <c r="P135" s="54"/>
      <c r="Q135" s="54"/>
      <c r="R135" s="54"/>
      <c r="S135" s="56">
        <f t="shared" si="4"/>
        <v>0</v>
      </c>
    </row>
    <row r="136" spans="1:19" ht="24">
      <c r="A136" s="628" t="s">
        <v>138</v>
      </c>
      <c r="B136" s="183" t="s">
        <v>67</v>
      </c>
      <c r="C136" s="48">
        <v>990</v>
      </c>
      <c r="D136" s="54"/>
      <c r="E136" s="54"/>
      <c r="F136" s="48">
        <v>-990</v>
      </c>
      <c r="G136" s="54"/>
      <c r="H136" s="55"/>
      <c r="I136" s="55"/>
      <c r="J136" s="54"/>
      <c r="K136" s="186"/>
      <c r="L136" s="54"/>
      <c r="M136" s="54"/>
      <c r="N136" s="54"/>
      <c r="O136" s="54"/>
      <c r="P136" s="54"/>
      <c r="Q136" s="54"/>
      <c r="R136" s="54"/>
      <c r="S136" s="56">
        <f t="shared" si="4"/>
        <v>0</v>
      </c>
    </row>
    <row r="137" spans="1:19" ht="24">
      <c r="A137" s="628" t="s">
        <v>139</v>
      </c>
      <c r="B137" s="183" t="s">
        <v>67</v>
      </c>
      <c r="C137" s="48">
        <v>349</v>
      </c>
      <c r="D137" s="54"/>
      <c r="E137" s="54"/>
      <c r="F137" s="48">
        <v>-349</v>
      </c>
      <c r="G137" s="54"/>
      <c r="H137" s="55"/>
      <c r="I137" s="55"/>
      <c r="J137" s="54"/>
      <c r="K137" s="186"/>
      <c r="L137" s="54"/>
      <c r="M137" s="54"/>
      <c r="N137" s="54"/>
      <c r="O137" s="54"/>
      <c r="P137" s="54"/>
      <c r="Q137" s="54"/>
      <c r="R137" s="54"/>
      <c r="S137" s="56">
        <f t="shared" si="4"/>
        <v>0</v>
      </c>
    </row>
    <row r="138" spans="1:19" ht="12" hidden="1">
      <c r="A138" s="169" t="s">
        <v>68</v>
      </c>
      <c r="B138" s="62" t="s">
        <v>67</v>
      </c>
      <c r="C138" s="54"/>
      <c r="D138" s="54"/>
      <c r="E138" s="54"/>
      <c r="F138" s="48"/>
      <c r="G138" s="54"/>
      <c r="H138" s="55"/>
      <c r="I138" s="55"/>
      <c r="J138" s="54"/>
      <c r="K138" s="186"/>
      <c r="L138" s="54"/>
      <c r="M138" s="54"/>
      <c r="N138" s="54"/>
      <c r="O138" s="54"/>
      <c r="P138" s="54"/>
      <c r="Q138" s="54"/>
      <c r="R138" s="54"/>
      <c r="S138" s="56">
        <f t="shared" si="4"/>
        <v>0</v>
      </c>
    </row>
    <row r="139" spans="1:19" ht="12" hidden="1">
      <c r="A139" s="169" t="s">
        <v>69</v>
      </c>
      <c r="B139" s="62" t="s">
        <v>67</v>
      </c>
      <c r="C139" s="54"/>
      <c r="D139" s="54"/>
      <c r="E139" s="54"/>
      <c r="F139" s="48"/>
      <c r="G139" s="54"/>
      <c r="H139" s="55"/>
      <c r="I139" s="55"/>
      <c r="J139" s="54"/>
      <c r="K139" s="54"/>
      <c r="L139" s="54"/>
      <c r="M139" s="54"/>
      <c r="N139" s="54"/>
      <c r="O139" s="54"/>
      <c r="P139" s="54"/>
      <c r="Q139" s="54"/>
      <c r="R139" s="54"/>
      <c r="S139" s="56">
        <f t="shared" si="4"/>
        <v>0</v>
      </c>
    </row>
    <row r="140" spans="1:19" ht="12" hidden="1">
      <c r="A140" s="169" t="s">
        <v>68</v>
      </c>
      <c r="B140" s="62" t="s">
        <v>67</v>
      </c>
      <c r="C140" s="54"/>
      <c r="D140" s="54"/>
      <c r="E140" s="54"/>
      <c r="F140" s="48"/>
      <c r="G140" s="54"/>
      <c r="H140" s="55"/>
      <c r="I140" s="55"/>
      <c r="J140" s="54"/>
      <c r="K140" s="54"/>
      <c r="L140" s="54"/>
      <c r="M140" s="54"/>
      <c r="N140" s="54"/>
      <c r="O140" s="54"/>
      <c r="P140" s="54"/>
      <c r="Q140" s="54"/>
      <c r="R140" s="54"/>
      <c r="S140" s="56">
        <f t="shared" si="4"/>
        <v>0</v>
      </c>
    </row>
    <row r="141" spans="1:19" ht="12" hidden="1">
      <c r="A141" s="169" t="s">
        <v>69</v>
      </c>
      <c r="B141" s="62" t="s">
        <v>67</v>
      </c>
      <c r="C141" s="54"/>
      <c r="D141" s="54"/>
      <c r="E141" s="54"/>
      <c r="F141" s="48"/>
      <c r="G141" s="54"/>
      <c r="H141" s="55"/>
      <c r="I141" s="55"/>
      <c r="J141" s="54"/>
      <c r="K141" s="54"/>
      <c r="L141" s="54"/>
      <c r="M141" s="54"/>
      <c r="N141" s="54"/>
      <c r="O141" s="54"/>
      <c r="P141" s="54"/>
      <c r="Q141" s="54"/>
      <c r="R141" s="54"/>
      <c r="S141" s="56">
        <f t="shared" si="4"/>
        <v>0</v>
      </c>
    </row>
    <row r="142" spans="1:19" ht="12">
      <c r="A142" s="629" t="s">
        <v>255</v>
      </c>
      <c r="B142" s="183" t="s">
        <v>71</v>
      </c>
      <c r="C142" s="54">
        <f>-950000-334400</f>
        <v>-1284400</v>
      </c>
      <c r="D142" s="54">
        <v>-920360</v>
      </c>
      <c r="E142" s="54">
        <v>-1405975</v>
      </c>
      <c r="F142" s="48">
        <v>-1481955</v>
      </c>
      <c r="G142" s="54"/>
      <c r="H142" s="55">
        <f>-444000-156000</f>
        <v>-600000</v>
      </c>
      <c r="I142" s="55"/>
      <c r="J142" s="54">
        <v>-350000</v>
      </c>
      <c r="K142" s="54"/>
      <c r="L142" s="54"/>
      <c r="M142" s="54">
        <v>-337000</v>
      </c>
      <c r="N142" s="54">
        <v>-775000</v>
      </c>
      <c r="O142" s="54"/>
      <c r="P142" s="54"/>
      <c r="Q142" s="54"/>
      <c r="R142" s="54">
        <v>-22099</v>
      </c>
      <c r="S142" s="56">
        <f t="shared" si="4"/>
        <v>-7176789</v>
      </c>
    </row>
    <row r="143" spans="1:19" ht="12">
      <c r="A143" s="629" t="s">
        <v>235</v>
      </c>
      <c r="B143" s="189" t="s">
        <v>67</v>
      </c>
      <c r="C143" s="54">
        <v>950000</v>
      </c>
      <c r="D143" s="54">
        <v>680739.64</v>
      </c>
      <c r="E143" s="54">
        <v>1039922</v>
      </c>
      <c r="F143" s="48">
        <v>628803.69</v>
      </c>
      <c r="G143" s="54"/>
      <c r="H143" s="55">
        <v>444000</v>
      </c>
      <c r="I143" s="55"/>
      <c r="J143" s="54">
        <v>0</v>
      </c>
      <c r="K143" s="54"/>
      <c r="L143" s="54"/>
      <c r="M143" s="54">
        <v>249260</v>
      </c>
      <c r="N143" s="54">
        <v>573225</v>
      </c>
      <c r="O143" s="54"/>
      <c r="P143" s="54"/>
      <c r="Q143" s="54"/>
      <c r="R143" s="54"/>
      <c r="S143" s="56">
        <f t="shared" si="4"/>
        <v>4565950.33</v>
      </c>
    </row>
    <row r="144" spans="1:19" ht="12">
      <c r="A144" s="629" t="s">
        <v>236</v>
      </c>
      <c r="B144" s="189" t="s">
        <v>67</v>
      </c>
      <c r="C144" s="54">
        <v>334400</v>
      </c>
      <c r="D144" s="54">
        <v>239620.36</v>
      </c>
      <c r="E144" s="54">
        <v>366053</v>
      </c>
      <c r="F144" s="48">
        <v>244714.31</v>
      </c>
      <c r="G144" s="54"/>
      <c r="H144" s="55">
        <v>156000</v>
      </c>
      <c r="I144" s="55"/>
      <c r="J144" s="54">
        <v>0</v>
      </c>
      <c r="K144" s="54"/>
      <c r="L144" s="54"/>
      <c r="M144" s="54">
        <v>87740</v>
      </c>
      <c r="N144" s="54">
        <v>201775</v>
      </c>
      <c r="O144" s="54"/>
      <c r="P144" s="54"/>
      <c r="Q144" s="54"/>
      <c r="R144" s="54"/>
      <c r="S144" s="56">
        <f t="shared" si="4"/>
        <v>1630302.67</v>
      </c>
    </row>
    <row r="145" spans="1:19" ht="12">
      <c r="A145" s="629" t="s">
        <v>264</v>
      </c>
      <c r="B145" s="189" t="s">
        <v>67</v>
      </c>
      <c r="C145" s="54"/>
      <c r="D145" s="54"/>
      <c r="E145" s="54"/>
      <c r="F145" s="48">
        <v>608437</v>
      </c>
      <c r="G145" s="54"/>
      <c r="H145" s="55"/>
      <c r="I145" s="55"/>
      <c r="J145" s="54">
        <v>350000</v>
      </c>
      <c r="K145" s="54"/>
      <c r="L145" s="54"/>
      <c r="M145" s="54"/>
      <c r="N145" s="54"/>
      <c r="O145" s="54"/>
      <c r="P145" s="54"/>
      <c r="Q145" s="54"/>
      <c r="R145" s="54">
        <v>22099</v>
      </c>
      <c r="S145" s="56">
        <f t="shared" si="4"/>
        <v>980536</v>
      </c>
    </row>
    <row r="146" spans="1:19" ht="12">
      <c r="A146" s="629" t="s">
        <v>255</v>
      </c>
      <c r="B146" s="183" t="s">
        <v>71</v>
      </c>
      <c r="C146" s="54">
        <f>-120000-42240</f>
        <v>-162240</v>
      </c>
      <c r="D146" s="54">
        <v>-20000</v>
      </c>
      <c r="E146" s="54">
        <v>-166000</v>
      </c>
      <c r="F146" s="48"/>
      <c r="G146" s="54"/>
      <c r="H146" s="55"/>
      <c r="I146" s="55"/>
      <c r="J146" s="54"/>
      <c r="K146" s="54"/>
      <c r="L146" s="54"/>
      <c r="M146" s="54"/>
      <c r="N146" s="54"/>
      <c r="O146" s="54"/>
      <c r="P146" s="54"/>
      <c r="Q146" s="54"/>
      <c r="R146" s="54"/>
      <c r="S146" s="56">
        <f t="shared" si="4"/>
        <v>-348240</v>
      </c>
    </row>
    <row r="147" spans="1:19" ht="12">
      <c r="A147" s="629" t="s">
        <v>235</v>
      </c>
      <c r="B147" s="189" t="s">
        <v>67</v>
      </c>
      <c r="C147" s="54">
        <v>120000</v>
      </c>
      <c r="D147" s="54"/>
      <c r="E147" s="54"/>
      <c r="F147" s="48"/>
      <c r="G147" s="54"/>
      <c r="H147" s="55"/>
      <c r="I147" s="55"/>
      <c r="J147" s="54"/>
      <c r="K147" s="54"/>
      <c r="L147" s="54"/>
      <c r="M147" s="54"/>
      <c r="N147" s="54"/>
      <c r="O147" s="54"/>
      <c r="P147" s="54"/>
      <c r="Q147" s="54"/>
      <c r="R147" s="54"/>
      <c r="S147" s="56">
        <f t="shared" si="4"/>
        <v>120000</v>
      </c>
    </row>
    <row r="148" spans="1:19" ht="12">
      <c r="A148" s="629" t="s">
        <v>236</v>
      </c>
      <c r="B148" s="189" t="s">
        <v>67</v>
      </c>
      <c r="C148" s="54">
        <v>42240</v>
      </c>
      <c r="D148" s="54"/>
      <c r="E148" s="54"/>
      <c r="F148" s="48"/>
      <c r="G148" s="54"/>
      <c r="H148" s="55"/>
      <c r="I148" s="55"/>
      <c r="J148" s="54"/>
      <c r="K148" s="54"/>
      <c r="L148" s="54"/>
      <c r="M148" s="54"/>
      <c r="N148" s="54"/>
      <c r="O148" s="54"/>
      <c r="P148" s="54"/>
      <c r="Q148" s="54"/>
      <c r="R148" s="54"/>
      <c r="S148" s="56">
        <f t="shared" si="4"/>
        <v>42240</v>
      </c>
    </row>
    <row r="149" spans="1:19" ht="12">
      <c r="A149" s="629" t="s">
        <v>264</v>
      </c>
      <c r="B149" s="189" t="s">
        <v>67</v>
      </c>
      <c r="C149" s="54"/>
      <c r="D149" s="54">
        <v>20000</v>
      </c>
      <c r="E149" s="54">
        <v>166000</v>
      </c>
      <c r="F149" s="48"/>
      <c r="G149" s="54"/>
      <c r="H149" s="55"/>
      <c r="I149" s="55"/>
      <c r="J149" s="54"/>
      <c r="K149" s="54"/>
      <c r="L149" s="54"/>
      <c r="M149" s="54"/>
      <c r="N149" s="54"/>
      <c r="O149" s="54"/>
      <c r="P149" s="54"/>
      <c r="Q149" s="54"/>
      <c r="R149" s="54"/>
      <c r="S149" s="56">
        <f t="shared" si="4"/>
        <v>186000</v>
      </c>
    </row>
    <row r="150" spans="1:19" ht="12" hidden="1">
      <c r="A150" s="629" t="s">
        <v>126</v>
      </c>
      <c r="B150" s="183" t="s">
        <v>67</v>
      </c>
      <c r="C150" s="54"/>
      <c r="D150" s="54"/>
      <c r="E150" s="54"/>
      <c r="F150" s="48"/>
      <c r="G150" s="54"/>
      <c r="H150" s="55"/>
      <c r="I150" s="55"/>
      <c r="J150" s="54"/>
      <c r="K150" s="54"/>
      <c r="L150" s="54"/>
      <c r="M150" s="54"/>
      <c r="N150" s="54"/>
      <c r="O150" s="54"/>
      <c r="P150" s="54"/>
      <c r="Q150" s="54"/>
      <c r="R150" s="54"/>
      <c r="S150" s="56">
        <f t="shared" si="4"/>
        <v>0</v>
      </c>
    </row>
    <row r="151" spans="1:19" ht="12" hidden="1">
      <c r="A151" s="629" t="s">
        <v>127</v>
      </c>
      <c r="B151" s="189" t="s">
        <v>67</v>
      </c>
      <c r="C151" s="54"/>
      <c r="D151" s="54"/>
      <c r="E151" s="54"/>
      <c r="F151" s="48"/>
      <c r="G151" s="54"/>
      <c r="H151" s="55"/>
      <c r="I151" s="55"/>
      <c r="J151" s="54"/>
      <c r="K151" s="54"/>
      <c r="L151" s="54"/>
      <c r="M151" s="54"/>
      <c r="N151" s="54"/>
      <c r="O151" s="54"/>
      <c r="P151" s="54"/>
      <c r="Q151" s="54"/>
      <c r="R151" s="54"/>
      <c r="S151" s="56">
        <f t="shared" si="4"/>
        <v>0</v>
      </c>
    </row>
    <row r="152" spans="1:19" ht="12" hidden="1">
      <c r="A152" s="629" t="s">
        <v>126</v>
      </c>
      <c r="B152" s="189" t="s">
        <v>71</v>
      </c>
      <c r="C152" s="54"/>
      <c r="D152" s="54"/>
      <c r="E152" s="54"/>
      <c r="F152" s="48"/>
      <c r="G152" s="54"/>
      <c r="H152" s="55"/>
      <c r="I152" s="55"/>
      <c r="J152" s="54"/>
      <c r="K152" s="54"/>
      <c r="L152" s="54"/>
      <c r="M152" s="54"/>
      <c r="N152" s="54"/>
      <c r="O152" s="54"/>
      <c r="P152" s="54"/>
      <c r="Q152" s="54"/>
      <c r="R152" s="54"/>
      <c r="S152" s="56">
        <f t="shared" si="4"/>
        <v>0</v>
      </c>
    </row>
    <row r="153" spans="1:19" ht="12" hidden="1">
      <c r="A153" s="629" t="s">
        <v>127</v>
      </c>
      <c r="B153" s="189" t="s">
        <v>71</v>
      </c>
      <c r="C153" s="54"/>
      <c r="D153" s="54"/>
      <c r="E153" s="54"/>
      <c r="F153" s="48"/>
      <c r="G153" s="54"/>
      <c r="H153" s="55"/>
      <c r="I153" s="55"/>
      <c r="J153" s="54"/>
      <c r="K153" s="54"/>
      <c r="L153" s="54"/>
      <c r="M153" s="54"/>
      <c r="N153" s="54"/>
      <c r="O153" s="54"/>
      <c r="P153" s="54"/>
      <c r="Q153" s="54"/>
      <c r="R153" s="54"/>
      <c r="S153" s="56">
        <f t="shared" si="4"/>
        <v>0</v>
      </c>
    </row>
    <row r="154" spans="1:19" ht="12" hidden="1">
      <c r="A154" s="629" t="s">
        <v>141</v>
      </c>
      <c r="B154" s="183" t="s">
        <v>67</v>
      </c>
      <c r="C154" s="54"/>
      <c r="D154" s="54"/>
      <c r="E154" s="54"/>
      <c r="F154" s="48"/>
      <c r="G154" s="54"/>
      <c r="H154" s="55"/>
      <c r="I154" s="55"/>
      <c r="J154" s="54"/>
      <c r="K154" s="54"/>
      <c r="L154" s="54"/>
      <c r="M154" s="54"/>
      <c r="N154" s="54"/>
      <c r="O154" s="54"/>
      <c r="P154" s="54"/>
      <c r="Q154" s="54"/>
      <c r="R154" s="54"/>
      <c r="S154" s="56">
        <f aca="true" t="shared" si="5" ref="S154:S186">SUM(C154:R154)</f>
        <v>0</v>
      </c>
    </row>
    <row r="155" spans="1:19" ht="12" hidden="1">
      <c r="A155" s="629" t="s">
        <v>142</v>
      </c>
      <c r="B155" s="189" t="s">
        <v>67</v>
      </c>
      <c r="C155" s="54"/>
      <c r="D155" s="54"/>
      <c r="E155" s="54"/>
      <c r="F155" s="48"/>
      <c r="G155" s="54"/>
      <c r="H155" s="55"/>
      <c r="I155" s="55"/>
      <c r="J155" s="54"/>
      <c r="K155" s="54"/>
      <c r="L155" s="54"/>
      <c r="M155" s="54"/>
      <c r="N155" s="54"/>
      <c r="O155" s="54"/>
      <c r="P155" s="54"/>
      <c r="Q155" s="54"/>
      <c r="R155" s="54"/>
      <c r="S155" s="56">
        <f t="shared" si="5"/>
        <v>0</v>
      </c>
    </row>
    <row r="156" spans="1:19" ht="12" hidden="1">
      <c r="A156" s="629" t="s">
        <v>143</v>
      </c>
      <c r="B156" s="189" t="s">
        <v>67</v>
      </c>
      <c r="C156" s="54"/>
      <c r="D156" s="54"/>
      <c r="E156" s="54"/>
      <c r="F156" s="48"/>
      <c r="G156" s="54"/>
      <c r="H156" s="55"/>
      <c r="I156" s="55"/>
      <c r="J156" s="54"/>
      <c r="K156" s="54"/>
      <c r="L156" s="54"/>
      <c r="M156" s="54"/>
      <c r="N156" s="54"/>
      <c r="O156" s="54"/>
      <c r="P156" s="54"/>
      <c r="Q156" s="54"/>
      <c r="R156" s="54"/>
      <c r="S156" s="56">
        <f t="shared" si="5"/>
        <v>0</v>
      </c>
    </row>
    <row r="157" spans="1:19" ht="12" hidden="1">
      <c r="A157" s="629" t="s">
        <v>143</v>
      </c>
      <c r="B157" s="189" t="s">
        <v>71</v>
      </c>
      <c r="C157" s="54"/>
      <c r="D157" s="54"/>
      <c r="E157" s="54"/>
      <c r="F157" s="48"/>
      <c r="G157" s="54"/>
      <c r="H157" s="55"/>
      <c r="I157" s="55"/>
      <c r="J157" s="54"/>
      <c r="K157" s="54"/>
      <c r="L157" s="54"/>
      <c r="M157" s="54"/>
      <c r="N157" s="54"/>
      <c r="O157" s="54"/>
      <c r="P157" s="54"/>
      <c r="Q157" s="54"/>
      <c r="R157" s="54"/>
      <c r="S157" s="56">
        <f t="shared" si="5"/>
        <v>0</v>
      </c>
    </row>
    <row r="158" spans="1:19" ht="12">
      <c r="A158" s="629" t="s">
        <v>253</v>
      </c>
      <c r="B158" s="183" t="s">
        <v>67</v>
      </c>
      <c r="C158" s="54"/>
      <c r="D158" s="54">
        <v>84497</v>
      </c>
      <c r="E158" s="54"/>
      <c r="F158" s="48"/>
      <c r="G158" s="54"/>
      <c r="H158" s="55"/>
      <c r="I158" s="55"/>
      <c r="J158" s="54"/>
      <c r="K158" s="54"/>
      <c r="L158" s="54"/>
      <c r="M158" s="54"/>
      <c r="N158" s="54"/>
      <c r="O158" s="54"/>
      <c r="P158" s="54"/>
      <c r="Q158" s="54"/>
      <c r="R158" s="54"/>
      <c r="S158" s="56">
        <f t="shared" si="5"/>
        <v>84497</v>
      </c>
    </row>
    <row r="159" spans="1:19" ht="12">
      <c r="A159" s="629" t="s">
        <v>252</v>
      </c>
      <c r="B159" s="189" t="s">
        <v>67</v>
      </c>
      <c r="C159" s="54"/>
      <c r="D159" s="54">
        <v>29743</v>
      </c>
      <c r="E159" s="54"/>
      <c r="F159" s="48"/>
      <c r="G159" s="54"/>
      <c r="H159" s="55"/>
      <c r="I159" s="55"/>
      <c r="J159" s="54"/>
      <c r="K159" s="54"/>
      <c r="L159" s="54"/>
      <c r="M159" s="54"/>
      <c r="N159" s="54"/>
      <c r="O159" s="54"/>
      <c r="P159" s="54"/>
      <c r="Q159" s="54"/>
      <c r="R159" s="54"/>
      <c r="S159" s="56">
        <f t="shared" si="5"/>
        <v>29743</v>
      </c>
    </row>
    <row r="160" spans="1:19" ht="12">
      <c r="A160" s="629" t="s">
        <v>251</v>
      </c>
      <c r="B160" s="189" t="s">
        <v>67</v>
      </c>
      <c r="C160" s="54"/>
      <c r="D160" s="54">
        <v>-114240</v>
      </c>
      <c r="E160" s="54"/>
      <c r="F160" s="48"/>
      <c r="G160" s="54"/>
      <c r="H160" s="55"/>
      <c r="I160" s="55"/>
      <c r="J160" s="54"/>
      <c r="K160" s="54"/>
      <c r="L160" s="54"/>
      <c r="M160" s="54"/>
      <c r="N160" s="54"/>
      <c r="O160" s="54"/>
      <c r="P160" s="54"/>
      <c r="Q160" s="54"/>
      <c r="R160" s="54"/>
      <c r="S160" s="56">
        <f t="shared" si="5"/>
        <v>-114240</v>
      </c>
    </row>
    <row r="161" spans="1:19" ht="12" hidden="1">
      <c r="A161" s="629"/>
      <c r="B161" s="189" t="s">
        <v>71</v>
      </c>
      <c r="C161" s="54"/>
      <c r="D161" s="54"/>
      <c r="E161" s="54"/>
      <c r="F161" s="48"/>
      <c r="G161" s="54"/>
      <c r="H161" s="55"/>
      <c r="I161" s="55"/>
      <c r="J161" s="54"/>
      <c r="K161" s="54"/>
      <c r="L161" s="54"/>
      <c r="M161" s="54"/>
      <c r="N161" s="54"/>
      <c r="O161" s="54"/>
      <c r="P161" s="54"/>
      <c r="Q161" s="54"/>
      <c r="R161" s="54"/>
      <c r="S161" s="56">
        <f t="shared" si="5"/>
        <v>0</v>
      </c>
    </row>
    <row r="162" spans="1:19" ht="12" hidden="1">
      <c r="A162" s="630"/>
      <c r="B162" s="189" t="s">
        <v>71</v>
      </c>
      <c r="C162" s="55"/>
      <c r="D162" s="55"/>
      <c r="E162" s="54"/>
      <c r="F162" s="48"/>
      <c r="G162" s="54"/>
      <c r="H162" s="55"/>
      <c r="I162" s="55"/>
      <c r="J162" s="54"/>
      <c r="K162" s="54"/>
      <c r="L162" s="54"/>
      <c r="M162" s="54"/>
      <c r="N162" s="54"/>
      <c r="O162" s="54"/>
      <c r="P162" s="54"/>
      <c r="Q162" s="54"/>
      <c r="R162" s="54"/>
      <c r="S162" s="56">
        <f t="shared" si="5"/>
        <v>0</v>
      </c>
    </row>
    <row r="163" spans="1:19" ht="12" hidden="1">
      <c r="A163" s="630"/>
      <c r="B163" s="158" t="s">
        <v>131</v>
      </c>
      <c r="C163" s="55"/>
      <c r="D163" s="55"/>
      <c r="E163" s="54"/>
      <c r="F163" s="48"/>
      <c r="G163" s="54"/>
      <c r="H163" s="55"/>
      <c r="I163" s="55"/>
      <c r="J163" s="54"/>
      <c r="K163" s="54"/>
      <c r="L163" s="54"/>
      <c r="M163" s="54"/>
      <c r="N163" s="54"/>
      <c r="O163" s="54"/>
      <c r="P163" s="54"/>
      <c r="Q163" s="54"/>
      <c r="R163" s="54"/>
      <c r="S163" s="56">
        <f t="shared" si="5"/>
        <v>0</v>
      </c>
    </row>
    <row r="164" spans="1:19" ht="24">
      <c r="A164" s="631" t="s">
        <v>282</v>
      </c>
      <c r="B164" s="162" t="s">
        <v>240</v>
      </c>
      <c r="C164" s="55"/>
      <c r="D164" s="55"/>
      <c r="E164" s="54"/>
      <c r="F164" s="48"/>
      <c r="G164" s="54"/>
      <c r="H164" s="55"/>
      <c r="I164" s="55"/>
      <c r="J164" s="54"/>
      <c r="K164" s="54"/>
      <c r="L164" s="54"/>
      <c r="M164" s="48">
        <v>-16320</v>
      </c>
      <c r="N164" s="48"/>
      <c r="O164" s="48">
        <v>16320</v>
      </c>
      <c r="P164" s="54"/>
      <c r="Q164" s="54"/>
      <c r="R164" s="54"/>
      <c r="S164" s="56">
        <f t="shared" si="5"/>
        <v>0</v>
      </c>
    </row>
    <row r="165" spans="1:19" ht="24">
      <c r="A165" s="631" t="s">
        <v>282</v>
      </c>
      <c r="B165" s="162" t="s">
        <v>239</v>
      </c>
      <c r="C165" s="55"/>
      <c r="D165" s="55"/>
      <c r="E165" s="54"/>
      <c r="F165" s="48"/>
      <c r="G165" s="54"/>
      <c r="H165" s="55"/>
      <c r="I165" s="55"/>
      <c r="J165" s="54"/>
      <c r="K165" s="54"/>
      <c r="L165" s="54"/>
      <c r="M165" s="48">
        <v>-5548</v>
      </c>
      <c r="N165" s="48"/>
      <c r="O165" s="48">
        <v>5548</v>
      </c>
      <c r="P165" s="54"/>
      <c r="Q165" s="54"/>
      <c r="R165" s="54"/>
      <c r="S165" s="56">
        <f t="shared" si="5"/>
        <v>0</v>
      </c>
    </row>
    <row r="166" spans="1:19" ht="24">
      <c r="A166" s="631" t="s">
        <v>282</v>
      </c>
      <c r="B166" s="162" t="s">
        <v>238</v>
      </c>
      <c r="C166" s="54"/>
      <c r="D166" s="54"/>
      <c r="E166" s="54"/>
      <c r="F166" s="48"/>
      <c r="G166" s="54"/>
      <c r="H166" s="55"/>
      <c r="I166" s="55"/>
      <c r="J166" s="54"/>
      <c r="K166" s="54"/>
      <c r="L166" s="54"/>
      <c r="M166" s="48">
        <v>-1625</v>
      </c>
      <c r="N166" s="48"/>
      <c r="O166" s="48">
        <v>1625</v>
      </c>
      <c r="P166" s="54"/>
      <c r="Q166" s="54"/>
      <c r="R166" s="54"/>
      <c r="S166" s="56">
        <f t="shared" si="5"/>
        <v>0</v>
      </c>
    </row>
    <row r="167" spans="1:19" ht="24">
      <c r="A167" s="631" t="s">
        <v>282</v>
      </c>
      <c r="B167" s="162" t="s">
        <v>237</v>
      </c>
      <c r="C167" s="54"/>
      <c r="D167" s="54"/>
      <c r="E167" s="54"/>
      <c r="F167" s="48"/>
      <c r="G167" s="54"/>
      <c r="H167" s="55"/>
      <c r="I167" s="55"/>
      <c r="J167" s="54"/>
      <c r="K167" s="54"/>
      <c r="L167" s="54"/>
      <c r="M167" s="160">
        <v>-554.48</v>
      </c>
      <c r="N167" s="48"/>
      <c r="O167" s="160">
        <v>554.48</v>
      </c>
      <c r="P167" s="54"/>
      <c r="Q167" s="54"/>
      <c r="R167" s="54"/>
      <c r="S167" s="56">
        <f t="shared" si="5"/>
        <v>0</v>
      </c>
    </row>
    <row r="168" spans="1:19" ht="24">
      <c r="A168" s="628" t="s">
        <v>283</v>
      </c>
      <c r="B168" s="183" t="s">
        <v>273</v>
      </c>
      <c r="C168" s="54"/>
      <c r="D168" s="54"/>
      <c r="E168" s="54"/>
      <c r="F168" s="48"/>
      <c r="G168" s="54"/>
      <c r="H168" s="55"/>
      <c r="I168" s="55"/>
      <c r="J168" s="54"/>
      <c r="K168" s="54"/>
      <c r="L168" s="54"/>
      <c r="M168" s="54"/>
      <c r="N168" s="54"/>
      <c r="O168" s="54"/>
      <c r="P168" s="54"/>
      <c r="Q168" s="54"/>
      <c r="R168" s="54">
        <v>-1087.39</v>
      </c>
      <c r="S168" s="56">
        <f t="shared" si="5"/>
        <v>-1087.39</v>
      </c>
    </row>
    <row r="169" spans="1:19" ht="24">
      <c r="A169" s="628" t="s">
        <v>283</v>
      </c>
      <c r="B169" s="189" t="s">
        <v>131</v>
      </c>
      <c r="C169" s="54"/>
      <c r="D169" s="54"/>
      <c r="E169" s="54"/>
      <c r="F169" s="48"/>
      <c r="G169" s="54"/>
      <c r="H169" s="55">
        <v>173.12</v>
      </c>
      <c r="I169" s="55"/>
      <c r="J169" s="54"/>
      <c r="K169" s="54">
        <v>914.27</v>
      </c>
      <c r="L169" s="54"/>
      <c r="M169" s="54"/>
      <c r="N169" s="54"/>
      <c r="O169" s="54"/>
      <c r="P169" s="54"/>
      <c r="Q169" s="54"/>
      <c r="R169" s="54"/>
      <c r="S169" s="56">
        <f t="shared" si="5"/>
        <v>1087.3899999999999</v>
      </c>
    </row>
    <row r="170" spans="1:19" ht="12" hidden="1">
      <c r="A170" s="188" t="s">
        <v>123</v>
      </c>
      <c r="B170" s="189" t="s">
        <v>71</v>
      </c>
      <c r="C170" s="54"/>
      <c r="D170" s="54"/>
      <c r="E170" s="54"/>
      <c r="F170" s="48"/>
      <c r="G170" s="54"/>
      <c r="H170" s="55"/>
      <c r="I170" s="55"/>
      <c r="J170" s="54"/>
      <c r="K170" s="54"/>
      <c r="L170" s="54"/>
      <c r="M170" s="54"/>
      <c r="N170" s="54"/>
      <c r="O170" s="54"/>
      <c r="P170" s="54"/>
      <c r="Q170" s="54"/>
      <c r="R170" s="54"/>
      <c r="S170" s="56">
        <f t="shared" si="5"/>
        <v>0</v>
      </c>
    </row>
    <row r="171" spans="1:19" ht="12" hidden="1">
      <c r="A171" s="188" t="s">
        <v>124</v>
      </c>
      <c r="B171" s="183" t="s">
        <v>67</v>
      </c>
      <c r="C171" s="54"/>
      <c r="D171" s="54"/>
      <c r="E171" s="54"/>
      <c r="F171" s="48"/>
      <c r="G171" s="54"/>
      <c r="H171" s="55"/>
      <c r="I171" s="55"/>
      <c r="J171" s="54"/>
      <c r="K171" s="54"/>
      <c r="L171" s="54"/>
      <c r="M171" s="54"/>
      <c r="N171" s="54"/>
      <c r="O171" s="54"/>
      <c r="P171" s="54"/>
      <c r="Q171" s="54"/>
      <c r="R171" s="54"/>
      <c r="S171" s="56">
        <f t="shared" si="5"/>
        <v>0</v>
      </c>
    </row>
    <row r="172" spans="1:19" ht="12" hidden="1">
      <c r="A172" s="188" t="s">
        <v>124</v>
      </c>
      <c r="B172" s="189" t="s">
        <v>71</v>
      </c>
      <c r="C172" s="54"/>
      <c r="D172" s="54"/>
      <c r="E172" s="54"/>
      <c r="F172" s="48"/>
      <c r="G172" s="54"/>
      <c r="H172" s="55"/>
      <c r="I172" s="55"/>
      <c r="J172" s="54"/>
      <c r="K172" s="54"/>
      <c r="L172" s="54"/>
      <c r="M172" s="54"/>
      <c r="N172" s="54"/>
      <c r="O172" s="54"/>
      <c r="P172" s="54"/>
      <c r="Q172" s="54"/>
      <c r="R172" s="54"/>
      <c r="S172" s="56">
        <f t="shared" si="5"/>
        <v>0</v>
      </c>
    </row>
    <row r="173" spans="1:19" ht="12" hidden="1">
      <c r="A173" s="61" t="s">
        <v>151</v>
      </c>
      <c r="B173" s="62" t="s">
        <v>67</v>
      </c>
      <c r="C173" s="54"/>
      <c r="D173" s="54"/>
      <c r="E173" s="54"/>
      <c r="F173" s="48"/>
      <c r="G173" s="54"/>
      <c r="H173" s="55"/>
      <c r="I173" s="55"/>
      <c r="J173" s="54"/>
      <c r="K173" s="54"/>
      <c r="L173" s="54"/>
      <c r="M173" s="54"/>
      <c r="N173" s="54"/>
      <c r="O173" s="54"/>
      <c r="P173" s="55"/>
      <c r="Q173" s="54"/>
      <c r="R173" s="54"/>
      <c r="S173" s="56">
        <f t="shared" si="5"/>
        <v>0</v>
      </c>
    </row>
    <row r="174" spans="1:19" ht="12" hidden="1">
      <c r="A174" s="61" t="s">
        <v>151</v>
      </c>
      <c r="B174" s="60" t="s">
        <v>71</v>
      </c>
      <c r="C174" s="54"/>
      <c r="D174" s="54"/>
      <c r="E174" s="54"/>
      <c r="F174" s="48"/>
      <c r="G174" s="54"/>
      <c r="H174" s="55"/>
      <c r="I174" s="55"/>
      <c r="J174" s="54"/>
      <c r="K174" s="54"/>
      <c r="L174" s="54"/>
      <c r="M174" s="54"/>
      <c r="N174" s="54"/>
      <c r="O174" s="54"/>
      <c r="P174" s="55"/>
      <c r="Q174" s="54"/>
      <c r="R174" s="54"/>
      <c r="S174" s="56">
        <f t="shared" si="5"/>
        <v>0</v>
      </c>
    </row>
    <row r="175" spans="1:19" ht="12" hidden="1">
      <c r="A175" s="188" t="s">
        <v>129</v>
      </c>
      <c r="B175" s="183" t="s">
        <v>67</v>
      </c>
      <c r="C175" s="54"/>
      <c r="D175" s="54"/>
      <c r="E175" s="54"/>
      <c r="F175" s="48"/>
      <c r="G175" s="54"/>
      <c r="H175" s="55"/>
      <c r="I175" s="55"/>
      <c r="J175" s="54"/>
      <c r="K175" s="54"/>
      <c r="L175" s="54"/>
      <c r="M175" s="54"/>
      <c r="N175" s="54"/>
      <c r="O175" s="54"/>
      <c r="P175" s="55"/>
      <c r="Q175" s="54"/>
      <c r="R175" s="54"/>
      <c r="S175" s="56">
        <f t="shared" si="5"/>
        <v>0</v>
      </c>
    </row>
    <row r="176" spans="1:19" ht="12" hidden="1">
      <c r="A176" s="188" t="s">
        <v>130</v>
      </c>
      <c r="B176" s="189" t="s">
        <v>67</v>
      </c>
      <c r="C176" s="54"/>
      <c r="D176" s="54"/>
      <c r="E176" s="54"/>
      <c r="F176" s="48"/>
      <c r="G176" s="54"/>
      <c r="H176" s="55"/>
      <c r="I176" s="55"/>
      <c r="J176" s="54"/>
      <c r="K176" s="54"/>
      <c r="L176" s="54"/>
      <c r="M176" s="54"/>
      <c r="N176" s="54"/>
      <c r="O176" s="54"/>
      <c r="P176" s="191"/>
      <c r="Q176" s="54"/>
      <c r="R176" s="54"/>
      <c r="S176" s="56">
        <f t="shared" si="5"/>
        <v>0</v>
      </c>
    </row>
    <row r="177" spans="1:19" ht="12" hidden="1">
      <c r="A177" s="188" t="s">
        <v>128</v>
      </c>
      <c r="B177" s="189" t="s">
        <v>71</v>
      </c>
      <c r="C177" s="54"/>
      <c r="D177" s="54"/>
      <c r="E177" s="54"/>
      <c r="F177" s="48"/>
      <c r="G177" s="54"/>
      <c r="H177" s="55"/>
      <c r="I177" s="55"/>
      <c r="J177" s="54"/>
      <c r="K177" s="54"/>
      <c r="L177" s="54"/>
      <c r="M177" s="54"/>
      <c r="N177" s="54"/>
      <c r="O177" s="54"/>
      <c r="P177" s="54"/>
      <c r="Q177" s="54"/>
      <c r="R177" s="54"/>
      <c r="S177" s="56">
        <f t="shared" si="5"/>
        <v>0</v>
      </c>
    </row>
    <row r="178" spans="1:19" ht="12" hidden="1">
      <c r="A178" s="190" t="s">
        <v>153</v>
      </c>
      <c r="B178" s="183" t="s">
        <v>67</v>
      </c>
      <c r="C178" s="54"/>
      <c r="D178" s="54"/>
      <c r="E178" s="55"/>
      <c r="F178" s="48"/>
      <c r="G178" s="54"/>
      <c r="H178" s="55"/>
      <c r="I178" s="48"/>
      <c r="J178" s="54"/>
      <c r="K178" s="54"/>
      <c r="L178" s="54"/>
      <c r="M178" s="54"/>
      <c r="N178" s="54"/>
      <c r="O178" s="54"/>
      <c r="P178" s="54"/>
      <c r="Q178" s="58"/>
      <c r="R178" s="58"/>
      <c r="S178" s="56">
        <f t="shared" si="5"/>
        <v>0</v>
      </c>
    </row>
    <row r="179" spans="1:19" ht="12" hidden="1">
      <c r="A179" s="190" t="s">
        <v>154</v>
      </c>
      <c r="B179" s="183" t="s">
        <v>67</v>
      </c>
      <c r="C179" s="54"/>
      <c r="D179" s="54"/>
      <c r="E179" s="54"/>
      <c r="F179" s="48"/>
      <c r="G179" s="54"/>
      <c r="H179" s="55"/>
      <c r="I179" s="48"/>
      <c r="J179" s="54"/>
      <c r="K179" s="54"/>
      <c r="L179" s="54"/>
      <c r="M179" s="54"/>
      <c r="N179" s="54"/>
      <c r="O179" s="54"/>
      <c r="P179" s="54"/>
      <c r="Q179" s="58"/>
      <c r="R179" s="58"/>
      <c r="S179" s="56">
        <f t="shared" si="5"/>
        <v>0</v>
      </c>
    </row>
    <row r="180" spans="1:19" ht="12" hidden="1">
      <c r="A180" s="190" t="s">
        <v>155</v>
      </c>
      <c r="B180" s="183" t="s">
        <v>67</v>
      </c>
      <c r="C180" s="54"/>
      <c r="D180" s="54"/>
      <c r="E180" s="55"/>
      <c r="F180" s="48"/>
      <c r="G180" s="54"/>
      <c r="H180" s="55"/>
      <c r="I180" s="48"/>
      <c r="J180" s="54"/>
      <c r="K180" s="54"/>
      <c r="L180" s="54"/>
      <c r="M180" s="54"/>
      <c r="N180" s="54"/>
      <c r="O180" s="54"/>
      <c r="P180" s="54"/>
      <c r="Q180" s="58"/>
      <c r="R180" s="58"/>
      <c r="S180" s="56">
        <f t="shared" si="5"/>
        <v>0</v>
      </c>
    </row>
    <row r="181" spans="1:19" ht="12" hidden="1">
      <c r="A181" s="190" t="s">
        <v>156</v>
      </c>
      <c r="B181" s="189" t="s">
        <v>71</v>
      </c>
      <c r="C181" s="54"/>
      <c r="D181" s="54"/>
      <c r="E181" s="54"/>
      <c r="F181" s="48"/>
      <c r="G181" s="54"/>
      <c r="H181" s="191"/>
      <c r="I181" s="48"/>
      <c r="J181" s="54"/>
      <c r="K181" s="54"/>
      <c r="L181" s="54"/>
      <c r="M181" s="54"/>
      <c r="N181" s="54"/>
      <c r="O181" s="54"/>
      <c r="P181" s="54"/>
      <c r="Q181" s="58"/>
      <c r="R181" s="58"/>
      <c r="S181" s="56">
        <f t="shared" si="5"/>
        <v>0</v>
      </c>
    </row>
    <row r="182" spans="1:19" ht="12" hidden="1">
      <c r="A182" s="59"/>
      <c r="B182" s="62"/>
      <c r="C182" s="54"/>
      <c r="D182" s="54"/>
      <c r="E182" s="54"/>
      <c r="F182" s="48"/>
      <c r="G182" s="54"/>
      <c r="H182" s="191"/>
      <c r="I182" s="48"/>
      <c r="J182" s="54"/>
      <c r="K182" s="54"/>
      <c r="L182" s="54"/>
      <c r="M182" s="54"/>
      <c r="N182" s="54"/>
      <c r="O182" s="54"/>
      <c r="P182" s="54"/>
      <c r="Q182" s="58"/>
      <c r="R182" s="58"/>
      <c r="S182" s="56">
        <f t="shared" si="5"/>
        <v>0</v>
      </c>
    </row>
    <row r="183" spans="1:19" ht="12" hidden="1">
      <c r="A183" s="59"/>
      <c r="B183" s="60"/>
      <c r="C183" s="54"/>
      <c r="D183" s="54"/>
      <c r="E183" s="54"/>
      <c r="F183" s="48"/>
      <c r="G183" s="54"/>
      <c r="H183" s="48"/>
      <c r="I183" s="48"/>
      <c r="J183" s="54"/>
      <c r="K183" s="54"/>
      <c r="L183" s="54"/>
      <c r="M183" s="54"/>
      <c r="N183" s="54"/>
      <c r="O183" s="54"/>
      <c r="P183" s="54"/>
      <c r="Q183" s="58"/>
      <c r="R183" s="58"/>
      <c r="S183" s="56">
        <f t="shared" si="5"/>
        <v>0</v>
      </c>
    </row>
    <row r="184" spans="1:19" ht="12" hidden="1">
      <c r="A184" s="61"/>
      <c r="B184" s="62"/>
      <c r="C184" s="54"/>
      <c r="D184" s="54"/>
      <c r="E184" s="54"/>
      <c r="F184" s="48"/>
      <c r="G184" s="54"/>
      <c r="H184" s="48"/>
      <c r="I184" s="48"/>
      <c r="J184" s="54"/>
      <c r="K184" s="54"/>
      <c r="L184" s="54"/>
      <c r="M184" s="63"/>
      <c r="N184" s="63"/>
      <c r="O184" s="54"/>
      <c r="P184" s="63"/>
      <c r="Q184" s="58"/>
      <c r="R184" s="58"/>
      <c r="S184" s="56">
        <f t="shared" si="5"/>
        <v>0</v>
      </c>
    </row>
    <row r="185" spans="1:19" ht="12" hidden="1">
      <c r="A185" s="59"/>
      <c r="B185" s="60"/>
      <c r="C185" s="54"/>
      <c r="D185" s="54"/>
      <c r="E185" s="54"/>
      <c r="F185" s="48"/>
      <c r="G185" s="54"/>
      <c r="H185" s="48"/>
      <c r="I185" s="48"/>
      <c r="J185" s="54"/>
      <c r="K185" s="54"/>
      <c r="L185" s="54"/>
      <c r="M185" s="63"/>
      <c r="N185" s="63"/>
      <c r="O185" s="63"/>
      <c r="P185" s="63"/>
      <c r="Q185" s="58"/>
      <c r="R185" s="58"/>
      <c r="S185" s="56">
        <f t="shared" si="5"/>
        <v>0</v>
      </c>
    </row>
    <row r="186" spans="1:19" ht="12" hidden="1">
      <c r="A186" s="59"/>
      <c r="B186" s="60"/>
      <c r="C186" s="54"/>
      <c r="D186" s="54"/>
      <c r="E186" s="54"/>
      <c r="F186" s="48"/>
      <c r="G186" s="54"/>
      <c r="H186" s="48"/>
      <c r="I186" s="48"/>
      <c r="J186" s="54"/>
      <c r="K186" s="54"/>
      <c r="L186" s="54"/>
      <c r="M186" s="63"/>
      <c r="N186" s="63"/>
      <c r="O186" s="63"/>
      <c r="P186" s="54"/>
      <c r="Q186" s="58"/>
      <c r="R186" s="58"/>
      <c r="S186" s="56">
        <f t="shared" si="5"/>
        <v>0</v>
      </c>
    </row>
    <row r="187" spans="1:19" ht="12" hidden="1">
      <c r="A187" s="59"/>
      <c r="B187" s="60"/>
      <c r="C187" s="54"/>
      <c r="D187" s="54"/>
      <c r="E187" s="54"/>
      <c r="F187" s="54"/>
      <c r="G187" s="54"/>
      <c r="H187" s="48"/>
      <c r="I187" s="48"/>
      <c r="J187" s="54"/>
      <c r="K187" s="54"/>
      <c r="L187" s="54"/>
      <c r="M187" s="63"/>
      <c r="N187" s="63"/>
      <c r="O187" s="63"/>
      <c r="P187" s="54"/>
      <c r="Q187" s="58"/>
      <c r="R187" s="58"/>
      <c r="S187" s="56">
        <f aca="true" t="shared" si="6" ref="S187:S197">SUM(C187:R187)</f>
        <v>0</v>
      </c>
    </row>
    <row r="188" spans="1:19" ht="12" hidden="1">
      <c r="A188" s="59"/>
      <c r="B188" s="60"/>
      <c r="C188" s="54"/>
      <c r="D188" s="54"/>
      <c r="E188" s="54"/>
      <c r="F188" s="54"/>
      <c r="G188" s="54"/>
      <c r="H188" s="48"/>
      <c r="I188" s="48"/>
      <c r="J188" s="54"/>
      <c r="K188" s="54"/>
      <c r="L188" s="54"/>
      <c r="M188" s="63"/>
      <c r="N188" s="63"/>
      <c r="O188" s="63"/>
      <c r="P188" s="54"/>
      <c r="Q188" s="58"/>
      <c r="R188" s="58"/>
      <c r="S188" s="56">
        <f t="shared" si="6"/>
        <v>0</v>
      </c>
    </row>
    <row r="189" spans="1:19" ht="12" hidden="1">
      <c r="A189" s="59"/>
      <c r="B189" s="192"/>
      <c r="C189" s="54"/>
      <c r="D189" s="54"/>
      <c r="E189" s="54"/>
      <c r="F189" s="54"/>
      <c r="G189" s="54"/>
      <c r="H189" s="54"/>
      <c r="I189" s="48"/>
      <c r="J189" s="55"/>
      <c r="K189" s="54"/>
      <c r="L189" s="54"/>
      <c r="M189" s="54"/>
      <c r="N189" s="54"/>
      <c r="O189" s="54"/>
      <c r="P189" s="54"/>
      <c r="Q189" s="54"/>
      <c r="R189" s="54"/>
      <c r="S189" s="56">
        <f t="shared" si="6"/>
        <v>0</v>
      </c>
    </row>
    <row r="190" spans="1:19" ht="12" hidden="1">
      <c r="A190" s="59"/>
      <c r="B190" s="192"/>
      <c r="C190" s="54"/>
      <c r="D190" s="54"/>
      <c r="E190" s="54"/>
      <c r="F190" s="54"/>
      <c r="G190" s="54"/>
      <c r="H190" s="54"/>
      <c r="I190" s="48"/>
      <c r="J190" s="55"/>
      <c r="K190" s="56"/>
      <c r="L190" s="54"/>
      <c r="M190" s="54"/>
      <c r="N190" s="54"/>
      <c r="O190" s="54"/>
      <c r="P190" s="54"/>
      <c r="Q190" s="54"/>
      <c r="R190" s="54"/>
      <c r="S190" s="56">
        <f t="shared" si="6"/>
        <v>0</v>
      </c>
    </row>
    <row r="191" spans="1:19" ht="12" hidden="1">
      <c r="A191" s="59"/>
      <c r="B191" s="60"/>
      <c r="C191" s="54"/>
      <c r="D191" s="54"/>
      <c r="E191" s="54"/>
      <c r="F191" s="54"/>
      <c r="G191" s="54"/>
      <c r="H191" s="54"/>
      <c r="I191" s="48"/>
      <c r="J191" s="54"/>
      <c r="K191" s="54"/>
      <c r="L191" s="54"/>
      <c r="M191" s="54"/>
      <c r="N191" s="54"/>
      <c r="O191" s="54"/>
      <c r="P191" s="54"/>
      <c r="Q191" s="54"/>
      <c r="R191" s="54"/>
      <c r="S191" s="56">
        <f t="shared" si="6"/>
        <v>0</v>
      </c>
    </row>
    <row r="192" spans="1:19" ht="12" hidden="1">
      <c r="A192" s="59"/>
      <c r="B192" s="60"/>
      <c r="C192" s="54"/>
      <c r="D192" s="54"/>
      <c r="E192" s="54"/>
      <c r="F192" s="54"/>
      <c r="G192" s="54"/>
      <c r="H192" s="54"/>
      <c r="I192" s="48"/>
      <c r="J192" s="54"/>
      <c r="K192" s="54"/>
      <c r="L192" s="54"/>
      <c r="M192" s="54"/>
      <c r="N192" s="54"/>
      <c r="O192" s="54"/>
      <c r="P192" s="54"/>
      <c r="Q192" s="54"/>
      <c r="R192" s="54"/>
      <c r="S192" s="56">
        <f t="shared" si="6"/>
        <v>0</v>
      </c>
    </row>
    <row r="193" spans="1:19" ht="12" hidden="1">
      <c r="A193" s="59"/>
      <c r="B193" s="60"/>
      <c r="C193" s="54"/>
      <c r="D193" s="54"/>
      <c r="E193" s="54"/>
      <c r="F193" s="54"/>
      <c r="G193" s="54"/>
      <c r="H193" s="54"/>
      <c r="I193" s="48"/>
      <c r="J193" s="54"/>
      <c r="K193" s="54"/>
      <c r="L193" s="54"/>
      <c r="M193" s="54"/>
      <c r="N193" s="54"/>
      <c r="O193" s="54"/>
      <c r="P193" s="54"/>
      <c r="Q193" s="54"/>
      <c r="R193" s="54"/>
      <c r="S193" s="56">
        <f t="shared" si="6"/>
        <v>0</v>
      </c>
    </row>
    <row r="194" spans="1:19" ht="12" hidden="1">
      <c r="A194" s="59"/>
      <c r="B194" s="60"/>
      <c r="C194" s="54"/>
      <c r="D194" s="54"/>
      <c r="E194" s="54"/>
      <c r="F194" s="54"/>
      <c r="G194" s="54"/>
      <c r="H194" s="54"/>
      <c r="I194" s="48"/>
      <c r="J194" s="54"/>
      <c r="K194" s="54"/>
      <c r="L194" s="54"/>
      <c r="M194" s="54"/>
      <c r="N194" s="54"/>
      <c r="O194" s="54"/>
      <c r="P194" s="54"/>
      <c r="Q194" s="54"/>
      <c r="R194" s="54"/>
      <c r="S194" s="56">
        <f t="shared" si="6"/>
        <v>0</v>
      </c>
    </row>
    <row r="195" spans="1:19" ht="12" hidden="1">
      <c r="A195" s="59"/>
      <c r="B195" s="62"/>
      <c r="C195" s="54"/>
      <c r="D195" s="54"/>
      <c r="E195" s="54"/>
      <c r="F195" s="54"/>
      <c r="G195" s="54"/>
      <c r="H195" s="54"/>
      <c r="I195" s="48"/>
      <c r="J195" s="54"/>
      <c r="K195" s="163"/>
      <c r="L195" s="163"/>
      <c r="M195" s="54"/>
      <c r="N195" s="54"/>
      <c r="O195" s="54"/>
      <c r="P195" s="54"/>
      <c r="Q195" s="54"/>
      <c r="R195" s="54"/>
      <c r="S195" s="56">
        <f t="shared" si="6"/>
        <v>0</v>
      </c>
    </row>
    <row r="196" spans="1:19" ht="12">
      <c r="A196" s="59"/>
      <c r="B196" s="62"/>
      <c r="C196" s="54"/>
      <c r="D196" s="54"/>
      <c r="E196" s="54"/>
      <c r="F196" s="54"/>
      <c r="G196" s="54"/>
      <c r="H196" s="54"/>
      <c r="I196" s="48"/>
      <c r="J196" s="54"/>
      <c r="K196" s="54"/>
      <c r="L196" s="54"/>
      <c r="M196" s="54"/>
      <c r="N196" s="54"/>
      <c r="O196" s="54"/>
      <c r="P196" s="54"/>
      <c r="Q196" s="54"/>
      <c r="R196" s="54"/>
      <c r="S196" s="56">
        <f t="shared" si="6"/>
        <v>0</v>
      </c>
    </row>
    <row r="197" spans="1:19" ht="12.75" thickBot="1">
      <c r="A197" s="153" t="s">
        <v>23</v>
      </c>
      <c r="B197" s="154"/>
      <c r="C197" s="155">
        <f aca="true" t="shared" si="7" ref="C197:R197">SUM(C7:C196)</f>
        <v>1965740.7200000002</v>
      </c>
      <c r="D197" s="155">
        <f t="shared" si="7"/>
        <v>1584827.27</v>
      </c>
      <c r="E197" s="155">
        <f t="shared" si="7"/>
        <v>2827889.85</v>
      </c>
      <c r="F197" s="155">
        <f t="shared" si="7"/>
        <v>3115808.22</v>
      </c>
      <c r="G197" s="155">
        <f t="shared" si="7"/>
        <v>345541.2</v>
      </c>
      <c r="H197" s="155">
        <f t="shared" si="7"/>
        <v>1480439.26</v>
      </c>
      <c r="I197" s="156">
        <f t="shared" si="7"/>
        <v>6722.09</v>
      </c>
      <c r="J197" s="155">
        <f t="shared" si="7"/>
        <v>307389.66000000003</v>
      </c>
      <c r="K197" s="157">
        <f t="shared" si="7"/>
        <v>245320.09</v>
      </c>
      <c r="L197" s="155">
        <f t="shared" si="7"/>
        <v>32087</v>
      </c>
      <c r="M197" s="155">
        <f t="shared" si="7"/>
        <v>124900.7</v>
      </c>
      <c r="N197" s="155">
        <f t="shared" si="7"/>
        <v>0</v>
      </c>
      <c r="O197" s="155">
        <f t="shared" si="7"/>
        <v>251681.20000000004</v>
      </c>
      <c r="P197" s="155">
        <f t="shared" si="7"/>
        <v>-197019</v>
      </c>
      <c r="Q197" s="155">
        <f t="shared" si="7"/>
        <v>-337560.32</v>
      </c>
      <c r="R197" s="155">
        <f t="shared" si="7"/>
        <v>369333.61</v>
      </c>
      <c r="S197" s="155">
        <f t="shared" si="6"/>
        <v>12123101.549999997</v>
      </c>
    </row>
    <row r="198" spans="1:19" ht="12.75" thickBot="1">
      <c r="A198" s="64" t="s">
        <v>24</v>
      </c>
      <c r="B198" s="65"/>
      <c r="C198" s="66">
        <f aca="true" t="shared" si="8" ref="C198:R198">C197-C7-C8-C9-C10-C76-C77-C78</f>
        <v>1290001.0200000003</v>
      </c>
      <c r="D198" s="66">
        <f t="shared" si="8"/>
        <v>629867.1699999999</v>
      </c>
      <c r="E198" s="66">
        <f t="shared" si="8"/>
        <v>1234315.1</v>
      </c>
      <c r="F198" s="66">
        <f t="shared" si="8"/>
        <v>1401546.2200000002</v>
      </c>
      <c r="G198" s="66">
        <f t="shared" si="8"/>
        <v>301691.2</v>
      </c>
      <c r="H198" s="66">
        <f t="shared" si="8"/>
        <v>957434.26</v>
      </c>
      <c r="I198" s="66">
        <f t="shared" si="8"/>
        <v>6722.09</v>
      </c>
      <c r="J198" s="66">
        <f t="shared" si="8"/>
        <v>175350.66000000003</v>
      </c>
      <c r="K198" s="66">
        <f t="shared" si="8"/>
        <v>245320.09</v>
      </c>
      <c r="L198" s="66">
        <f t="shared" si="8"/>
        <v>32087</v>
      </c>
      <c r="M198" s="66">
        <f t="shared" si="8"/>
        <v>86285.7</v>
      </c>
      <c r="N198" s="66">
        <f t="shared" si="8"/>
        <v>0</v>
      </c>
      <c r="O198" s="66">
        <f t="shared" si="8"/>
        <v>251681.20000000004</v>
      </c>
      <c r="P198" s="66">
        <f t="shared" si="8"/>
        <v>-197019</v>
      </c>
      <c r="Q198" s="66">
        <f t="shared" si="8"/>
        <v>-337560.32</v>
      </c>
      <c r="R198" s="66">
        <f t="shared" si="8"/>
        <v>369333.61</v>
      </c>
      <c r="S198" s="66">
        <f>SUM(S11:S84)</f>
        <v>6447056</v>
      </c>
    </row>
    <row r="199" spans="1:19" ht="12.75" thickBot="1">
      <c r="A199" s="19" t="s">
        <v>284</v>
      </c>
      <c r="B199" s="20"/>
      <c r="C199" s="67">
        <f aca="true" t="shared" si="9" ref="C199:S199">C4+C197</f>
        <v>12863064.72</v>
      </c>
      <c r="D199" s="67">
        <f t="shared" si="9"/>
        <v>5765576.27</v>
      </c>
      <c r="E199" s="67">
        <f t="shared" si="9"/>
        <v>16096826.85</v>
      </c>
      <c r="F199" s="67">
        <f t="shared" si="9"/>
        <v>14732513.22</v>
      </c>
      <c r="G199" s="67">
        <f t="shared" si="9"/>
        <v>4379439.2</v>
      </c>
      <c r="H199" s="67">
        <f t="shared" si="9"/>
        <v>9415841.26</v>
      </c>
      <c r="I199" s="68">
        <f t="shared" si="9"/>
        <v>226127.09</v>
      </c>
      <c r="J199" s="67">
        <f t="shared" si="9"/>
        <v>4129108.66</v>
      </c>
      <c r="K199" s="69">
        <f t="shared" si="9"/>
        <v>3195180.09</v>
      </c>
      <c r="L199" s="67">
        <f t="shared" si="9"/>
        <v>32087</v>
      </c>
      <c r="M199" s="67">
        <f t="shared" si="9"/>
        <v>1183421.7</v>
      </c>
      <c r="N199" s="67">
        <f t="shared" si="9"/>
        <v>0</v>
      </c>
      <c r="O199" s="67">
        <f t="shared" si="9"/>
        <v>4004582.2</v>
      </c>
      <c r="P199" s="67">
        <f t="shared" si="9"/>
        <v>1593819</v>
      </c>
      <c r="Q199" s="67">
        <f t="shared" si="9"/>
        <v>893973.6799999999</v>
      </c>
      <c r="R199" s="67">
        <f t="shared" si="9"/>
        <v>369333.61</v>
      </c>
      <c r="S199" s="67">
        <f t="shared" si="9"/>
        <v>78880894.55</v>
      </c>
    </row>
    <row r="200" spans="1:19" ht="12.75" thickBot="1">
      <c r="A200" s="637" t="s">
        <v>50</v>
      </c>
      <c r="B200" s="638"/>
      <c r="C200" s="70">
        <f aca="true" t="shared" si="10" ref="C200:S200">C4+C198</f>
        <v>12187325.02</v>
      </c>
      <c r="D200" s="70">
        <f t="shared" si="10"/>
        <v>4810616.17</v>
      </c>
      <c r="E200" s="70">
        <f t="shared" si="10"/>
        <v>14503252.1</v>
      </c>
      <c r="F200" s="70">
        <f t="shared" si="10"/>
        <v>13018251.22</v>
      </c>
      <c r="G200" s="70">
        <f t="shared" si="10"/>
        <v>4335589.2</v>
      </c>
      <c r="H200" s="70">
        <f t="shared" si="10"/>
        <v>8892836.26</v>
      </c>
      <c r="I200" s="71">
        <f t="shared" si="10"/>
        <v>226127.09</v>
      </c>
      <c r="J200" s="70">
        <f t="shared" si="10"/>
        <v>3997069.66</v>
      </c>
      <c r="K200" s="72">
        <f t="shared" si="10"/>
        <v>3195180.09</v>
      </c>
      <c r="L200" s="72">
        <f t="shared" si="10"/>
        <v>32087</v>
      </c>
      <c r="M200" s="70">
        <f t="shared" si="10"/>
        <v>1144806.7</v>
      </c>
      <c r="N200" s="70">
        <f t="shared" si="10"/>
        <v>0</v>
      </c>
      <c r="O200" s="70">
        <f t="shared" si="10"/>
        <v>4004582.2</v>
      </c>
      <c r="P200" s="70">
        <f t="shared" si="10"/>
        <v>1593819</v>
      </c>
      <c r="Q200" s="70">
        <f t="shared" si="10"/>
        <v>893973.6799999999</v>
      </c>
      <c r="R200" s="70">
        <f t="shared" si="10"/>
        <v>369333.61</v>
      </c>
      <c r="S200" s="70">
        <f t="shared" si="10"/>
        <v>73204849</v>
      </c>
    </row>
    <row r="201" spans="1:19" ht="12">
      <c r="A201" s="74"/>
      <c r="B201" s="75"/>
      <c r="C201" s="76">
        <f aca="true" t="shared" si="11" ref="C201:S201">C197+C4</f>
        <v>12863064.72</v>
      </c>
      <c r="D201" s="76">
        <f t="shared" si="11"/>
        <v>5765576.27</v>
      </c>
      <c r="E201" s="76">
        <f t="shared" si="11"/>
        <v>16096826.85</v>
      </c>
      <c r="F201" s="76">
        <f t="shared" si="11"/>
        <v>14732513.22</v>
      </c>
      <c r="G201" s="76">
        <f t="shared" si="11"/>
        <v>4379439.2</v>
      </c>
      <c r="H201" s="76">
        <f t="shared" si="11"/>
        <v>9415841.26</v>
      </c>
      <c r="I201" s="76">
        <f t="shared" si="11"/>
        <v>226127.09</v>
      </c>
      <c r="J201" s="76">
        <f t="shared" si="11"/>
        <v>4129108.66</v>
      </c>
      <c r="K201" s="76">
        <f t="shared" si="11"/>
        <v>3195180.09</v>
      </c>
      <c r="L201" s="76">
        <f t="shared" si="11"/>
        <v>32087</v>
      </c>
      <c r="M201" s="76">
        <f t="shared" si="11"/>
        <v>1183421.7</v>
      </c>
      <c r="N201" s="76">
        <f t="shared" si="11"/>
        <v>0</v>
      </c>
      <c r="O201" s="76">
        <f t="shared" si="11"/>
        <v>4004582.2</v>
      </c>
      <c r="P201" s="76">
        <f t="shared" si="11"/>
        <v>1593819</v>
      </c>
      <c r="Q201" s="76">
        <f t="shared" si="11"/>
        <v>893973.6799999999</v>
      </c>
      <c r="R201" s="76">
        <f t="shared" si="11"/>
        <v>369333.61</v>
      </c>
      <c r="S201" s="76">
        <f t="shared" si="11"/>
        <v>78880894.55</v>
      </c>
    </row>
    <row r="202" spans="1:19" s="82" customFormat="1" ht="12">
      <c r="A202" s="77"/>
      <c r="B202" s="78"/>
      <c r="C202" s="79">
        <f aca="true" t="shared" si="12" ref="C202:J202">C201-C199</f>
        <v>0</v>
      </c>
      <c r="D202" s="79">
        <f t="shared" si="12"/>
        <v>0</v>
      </c>
      <c r="E202" s="79">
        <f t="shared" si="12"/>
        <v>0</v>
      </c>
      <c r="F202" s="79">
        <f t="shared" si="12"/>
        <v>0</v>
      </c>
      <c r="G202" s="79">
        <f t="shared" si="12"/>
        <v>0</v>
      </c>
      <c r="H202" s="79">
        <f t="shared" si="12"/>
        <v>0</v>
      </c>
      <c r="I202" s="79">
        <f t="shared" si="12"/>
        <v>0</v>
      </c>
      <c r="J202" s="80">
        <f t="shared" si="12"/>
        <v>0</v>
      </c>
      <c r="K202" s="79">
        <f aca="true" t="shared" si="13" ref="K202:S202">K201-K199</f>
        <v>0</v>
      </c>
      <c r="L202" s="79">
        <f t="shared" si="13"/>
        <v>0</v>
      </c>
      <c r="M202" s="79">
        <f t="shared" si="13"/>
        <v>0</v>
      </c>
      <c r="N202" s="79">
        <f t="shared" si="13"/>
        <v>0</v>
      </c>
      <c r="O202" s="79">
        <f t="shared" si="13"/>
        <v>0</v>
      </c>
      <c r="P202" s="81">
        <f t="shared" si="13"/>
        <v>0</v>
      </c>
      <c r="Q202" s="81">
        <f t="shared" si="13"/>
        <v>0</v>
      </c>
      <c r="R202" s="79">
        <f t="shared" si="13"/>
        <v>0</v>
      </c>
      <c r="S202" s="79">
        <f t="shared" si="13"/>
        <v>0</v>
      </c>
    </row>
    <row r="203" spans="1:19" ht="12">
      <c r="A203" s="195"/>
      <c r="B203" s="7"/>
      <c r="C203" s="8">
        <f>C199-'súhrnná po AS'!B7</f>
        <v>0</v>
      </c>
      <c r="D203" s="8">
        <f>D199-'súhrnná po AS'!C7</f>
        <v>0</v>
      </c>
      <c r="E203" s="8">
        <f>E199-'súhrnná po AS'!D7</f>
        <v>0</v>
      </c>
      <c r="F203" s="8">
        <f>F199-'súhrnná po AS'!E7</f>
        <v>0</v>
      </c>
      <c r="G203" s="8">
        <f>G199-'súhrnná po AS'!F7</f>
        <v>0</v>
      </c>
      <c r="H203" s="8">
        <f>H199-'súhrnná po AS'!G7</f>
        <v>0</v>
      </c>
      <c r="I203" s="8">
        <f>I199-'súhrnná po AS'!H7</f>
        <v>0</v>
      </c>
      <c r="J203" s="196">
        <f>J199-'súhrnná po AS'!I7</f>
        <v>0</v>
      </c>
      <c r="K203" s="8">
        <f>K199-'súhrnná po AS'!M7</f>
        <v>0</v>
      </c>
      <c r="L203" s="8">
        <f>L199-'súhrnná po AS'!N7</f>
        <v>0</v>
      </c>
      <c r="M203" s="8">
        <f>M199-'súhrnná po AS'!J7</f>
        <v>0</v>
      </c>
      <c r="N203" s="8">
        <f>N199-'súhrnná po AS'!K7</f>
        <v>0</v>
      </c>
      <c r="O203" s="8">
        <f>O199-'súhrnná po AS'!O7</f>
        <v>0</v>
      </c>
      <c r="P203" s="73">
        <f>P199-'súhrnná po AS'!P7</f>
        <v>0</v>
      </c>
      <c r="Q203" s="73">
        <f>Q199-'súhrnná po AS'!Q7</f>
        <v>0</v>
      </c>
      <c r="R203" s="8">
        <f>R199-'súhrnná po AS'!R7</f>
        <v>0</v>
      </c>
      <c r="S203" s="8">
        <f>S199-'súhrnná po AS'!S7</f>
        <v>0</v>
      </c>
    </row>
    <row r="204" spans="1:19" s="82" customFormat="1" ht="12">
      <c r="A204" s="83" t="s">
        <v>38</v>
      </c>
      <c r="B204" s="84"/>
      <c r="C204" s="85">
        <f>C199-'súhrnná po AS'!B7</f>
        <v>0</v>
      </c>
      <c r="D204" s="85">
        <f>D199-'súhrnná po AS'!C7</f>
        <v>0</v>
      </c>
      <c r="E204" s="85">
        <f>E199-'súhrnná po AS'!D7</f>
        <v>0</v>
      </c>
      <c r="F204" s="85">
        <f>F199-'súhrnná po AS'!E7</f>
        <v>0</v>
      </c>
      <c r="G204" s="85">
        <f>G199-'súhrnná po AS'!F7</f>
        <v>0</v>
      </c>
      <c r="H204" s="85">
        <f>H199-'súhrnná po AS'!G7</f>
        <v>0</v>
      </c>
      <c r="I204" s="85">
        <f>I199-'súhrnná po AS'!H7</f>
        <v>0</v>
      </c>
      <c r="J204" s="86">
        <f>J199-'súhrnná po AS'!I7</f>
        <v>0</v>
      </c>
      <c r="K204" s="85">
        <f>K199-'súhrnná po AS'!M7</f>
        <v>0</v>
      </c>
      <c r="L204" s="85">
        <f>L199-'súhrnná po AS'!N7</f>
        <v>0</v>
      </c>
      <c r="M204" s="85">
        <f>M199-'súhrnná po AS'!J7</f>
        <v>0</v>
      </c>
      <c r="N204" s="85">
        <f>N199-'súhrnná po AS'!K7</f>
        <v>0</v>
      </c>
      <c r="O204" s="85">
        <f>O199-'súhrnná po AS'!O7</f>
        <v>0</v>
      </c>
      <c r="P204" s="87">
        <f>P199-'súhrnná po AS'!P7</f>
        <v>0</v>
      </c>
      <c r="Q204" s="87">
        <f>Q199-'súhrnná po AS'!Q7</f>
        <v>0</v>
      </c>
      <c r="R204" s="85">
        <f>R199-'súhrnná po AS'!R7</f>
        <v>0</v>
      </c>
      <c r="S204" s="85">
        <f>S199-'súhrnná po AS'!S7</f>
        <v>0</v>
      </c>
    </row>
    <row r="205" spans="1:19" ht="12.75" thickBot="1">
      <c r="A205" s="7" t="s">
        <v>25</v>
      </c>
      <c r="B205" s="7"/>
      <c r="C205" s="193">
        <f>C200-'súhrnná po AS'!B9</f>
        <v>0</v>
      </c>
      <c r="D205" s="193">
        <f>D200-'súhrnná po AS'!C9</f>
        <v>0</v>
      </c>
      <c r="E205" s="193">
        <f>E200-'súhrnná po AS'!D9</f>
        <v>0</v>
      </c>
      <c r="F205" s="193">
        <f>F200-'súhrnná po AS'!E9</f>
        <v>0</v>
      </c>
      <c r="G205" s="193">
        <f>G200-'súhrnná po AS'!F9</f>
        <v>0</v>
      </c>
      <c r="H205" s="193">
        <f>H200-'súhrnná po AS'!G9</f>
        <v>0</v>
      </c>
      <c r="I205" s="193">
        <f>I200-'súhrnná po AS'!H9</f>
        <v>0</v>
      </c>
      <c r="J205" s="193">
        <f>J200-'súhrnná po AS'!I9</f>
        <v>0</v>
      </c>
      <c r="K205" s="193">
        <f>K200-'súhrnná po AS'!M9</f>
        <v>0</v>
      </c>
      <c r="L205" s="193">
        <f>L200-'súhrnná po AS'!N9</f>
        <v>0</v>
      </c>
      <c r="M205" s="194">
        <f>M200-'súhrnná po AS'!J9</f>
        <v>0</v>
      </c>
      <c r="N205" s="194">
        <f>N200-'súhrnná po AS'!K9</f>
        <v>0</v>
      </c>
      <c r="O205" s="194">
        <f>O200-'súhrnná po AS'!O9</f>
        <v>0</v>
      </c>
      <c r="P205" s="194">
        <f>P200-'súhrnná po AS'!P9</f>
        <v>0</v>
      </c>
      <c r="Q205" s="194">
        <f>Q200-'súhrnná po AS'!Q9</f>
        <v>0</v>
      </c>
      <c r="R205" s="194">
        <f>R200-'súhrnná po AS'!R9</f>
        <v>0</v>
      </c>
      <c r="S205" s="194">
        <f>SUM(C205:R205)</f>
        <v>0</v>
      </c>
    </row>
    <row r="206" spans="1:19" ht="12.75" thickBot="1">
      <c r="A206" s="10"/>
      <c r="B206" s="88"/>
      <c r="C206" s="89" t="s">
        <v>1</v>
      </c>
      <c r="D206" s="12" t="s">
        <v>2</v>
      </c>
      <c r="E206" s="12" t="s">
        <v>3</v>
      </c>
      <c r="F206" s="12" t="s">
        <v>4</v>
      </c>
      <c r="G206" s="12" t="s">
        <v>5</v>
      </c>
      <c r="H206" s="12" t="s">
        <v>6</v>
      </c>
      <c r="I206" s="90"/>
      <c r="J206" s="12" t="s">
        <v>7</v>
      </c>
      <c r="K206" s="90" t="s">
        <v>17</v>
      </c>
      <c r="L206" s="12" t="s">
        <v>45</v>
      </c>
      <c r="M206" s="90" t="s">
        <v>9</v>
      </c>
      <c r="N206" s="12" t="s">
        <v>74</v>
      </c>
      <c r="O206" s="12" t="s">
        <v>18</v>
      </c>
      <c r="P206" s="12" t="s">
        <v>75</v>
      </c>
      <c r="Q206" s="90" t="s">
        <v>76</v>
      </c>
      <c r="R206" s="91"/>
      <c r="S206" s="92" t="s">
        <v>19</v>
      </c>
    </row>
    <row r="207" spans="1:19" ht="12.75" thickBot="1">
      <c r="A207" s="19" t="s">
        <v>285</v>
      </c>
      <c r="B207" s="93"/>
      <c r="C207" s="94">
        <v>0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  <c r="I207" s="94">
        <v>0</v>
      </c>
      <c r="J207" s="95">
        <v>0</v>
      </c>
      <c r="K207" s="96">
        <v>0</v>
      </c>
      <c r="L207" s="95">
        <v>0</v>
      </c>
      <c r="M207" s="96">
        <v>0</v>
      </c>
      <c r="N207" s="95">
        <v>0</v>
      </c>
      <c r="O207" s="95">
        <v>0</v>
      </c>
      <c r="P207" s="95">
        <v>0</v>
      </c>
      <c r="Q207" s="97">
        <v>0</v>
      </c>
      <c r="R207" s="96">
        <v>0</v>
      </c>
      <c r="S207" s="95">
        <f>SUM(C207:R207)</f>
        <v>0</v>
      </c>
    </row>
    <row r="208" spans="1:19" ht="12.75" thickBot="1">
      <c r="A208" s="639" t="s">
        <v>26</v>
      </c>
      <c r="B208" s="640"/>
      <c r="C208" s="29">
        <f>C234</f>
        <v>0</v>
      </c>
      <c r="D208" s="29">
        <f aca="true" t="shared" si="14" ref="D208:R208">D234</f>
        <v>33460.2</v>
      </c>
      <c r="E208" s="29">
        <f t="shared" si="14"/>
        <v>300000</v>
      </c>
      <c r="F208" s="29">
        <f t="shared" si="14"/>
        <v>85000</v>
      </c>
      <c r="G208" s="29">
        <f t="shared" si="14"/>
        <v>0</v>
      </c>
      <c r="H208" s="29">
        <f t="shared" si="14"/>
        <v>75000</v>
      </c>
      <c r="I208" s="30">
        <f t="shared" si="14"/>
        <v>0</v>
      </c>
      <c r="J208" s="29">
        <f t="shared" si="14"/>
        <v>0</v>
      </c>
      <c r="K208" s="31">
        <f t="shared" si="14"/>
        <v>0</v>
      </c>
      <c r="L208" s="29">
        <f t="shared" si="14"/>
        <v>0</v>
      </c>
      <c r="M208" s="29">
        <f t="shared" si="14"/>
        <v>0</v>
      </c>
      <c r="N208" s="29">
        <f t="shared" si="14"/>
        <v>0</v>
      </c>
      <c r="O208" s="29">
        <f t="shared" si="14"/>
        <v>0</v>
      </c>
      <c r="P208" s="29">
        <f t="shared" si="14"/>
        <v>0</v>
      </c>
      <c r="Q208" s="29">
        <f t="shared" si="14"/>
        <v>0</v>
      </c>
      <c r="R208" s="29">
        <f t="shared" si="14"/>
        <v>0</v>
      </c>
      <c r="S208" s="31">
        <f>S212+S213+S214+S215+S216+S217+S218+S219+S220+S221</f>
        <v>502000</v>
      </c>
    </row>
    <row r="209" spans="1:19" ht="12">
      <c r="A209" s="98" t="s">
        <v>43</v>
      </c>
      <c r="B209" s="99" t="s">
        <v>20</v>
      </c>
      <c r="C209" s="33"/>
      <c r="D209" s="32"/>
      <c r="E209" s="32"/>
      <c r="F209" s="32"/>
      <c r="G209" s="32"/>
      <c r="H209" s="32"/>
      <c r="I209" s="45"/>
      <c r="J209" s="32"/>
      <c r="K209" s="45"/>
      <c r="L209" s="32"/>
      <c r="M209" s="45"/>
      <c r="N209" s="32"/>
      <c r="O209" s="32"/>
      <c r="P209" s="32"/>
      <c r="Q209" s="34"/>
      <c r="R209" s="47"/>
      <c r="S209" s="44"/>
    </row>
    <row r="210" spans="1:19" ht="12">
      <c r="A210" s="632" t="s">
        <v>184</v>
      </c>
      <c r="B210" s="35" t="s">
        <v>54</v>
      </c>
      <c r="C210" s="100"/>
      <c r="D210" s="4">
        <v>33460.2</v>
      </c>
      <c r="E210" s="4"/>
      <c r="F210" s="4"/>
      <c r="G210" s="4"/>
      <c r="H210" s="4"/>
      <c r="I210" s="57"/>
      <c r="J210" s="4"/>
      <c r="K210" s="57"/>
      <c r="L210" s="2"/>
      <c r="M210" s="46"/>
      <c r="N210" s="2"/>
      <c r="O210" s="2"/>
      <c r="P210" s="2"/>
      <c r="Q210" s="46"/>
      <c r="R210" s="54"/>
      <c r="S210" s="41">
        <f aca="true" t="shared" si="15" ref="S210:S230">SUM(C210:Q210)</f>
        <v>33460.2</v>
      </c>
    </row>
    <row r="211" spans="1:19" ht="12" hidden="1">
      <c r="A211" s="633"/>
      <c r="B211" s="35" t="s">
        <v>47</v>
      </c>
      <c r="C211" s="101"/>
      <c r="D211" s="102">
        <v>0</v>
      </c>
      <c r="E211" s="102"/>
      <c r="F211" s="102"/>
      <c r="G211" s="102"/>
      <c r="H211" s="102"/>
      <c r="I211" s="103"/>
      <c r="J211" s="102"/>
      <c r="K211" s="103"/>
      <c r="L211" s="4"/>
      <c r="M211" s="57"/>
      <c r="N211" s="4"/>
      <c r="O211" s="4"/>
      <c r="P211" s="4"/>
      <c r="Q211" s="57"/>
      <c r="R211" s="54"/>
      <c r="S211" s="41">
        <f t="shared" si="15"/>
        <v>0</v>
      </c>
    </row>
    <row r="212" spans="1:19" ht="24">
      <c r="A212" s="634" t="s">
        <v>229</v>
      </c>
      <c r="B212" s="53" t="s">
        <v>67</v>
      </c>
      <c r="C212" s="104"/>
      <c r="D212" s="105"/>
      <c r="E212" s="105"/>
      <c r="F212" s="105"/>
      <c r="G212" s="105"/>
      <c r="H212" s="105"/>
      <c r="I212" s="106"/>
      <c r="J212" s="105"/>
      <c r="K212" s="106"/>
      <c r="L212" s="105"/>
      <c r="M212" s="106"/>
      <c r="N212" s="105"/>
      <c r="O212" s="105">
        <v>42000</v>
      </c>
      <c r="P212" s="105"/>
      <c r="Q212" s="106"/>
      <c r="R212" s="107"/>
      <c r="S212" s="41">
        <f t="shared" si="15"/>
        <v>42000</v>
      </c>
    </row>
    <row r="213" spans="1:19" ht="24">
      <c r="A213" s="634" t="s">
        <v>286</v>
      </c>
      <c r="B213" s="53" t="s">
        <v>67</v>
      </c>
      <c r="C213" s="104"/>
      <c r="D213" s="105"/>
      <c r="E213" s="105"/>
      <c r="F213" s="105"/>
      <c r="G213" s="105"/>
      <c r="H213" s="105">
        <v>75000</v>
      </c>
      <c r="I213" s="106"/>
      <c r="J213" s="105"/>
      <c r="K213" s="106"/>
      <c r="L213" s="105"/>
      <c r="M213" s="106"/>
      <c r="N213" s="105"/>
      <c r="O213" s="105"/>
      <c r="P213" s="105"/>
      <c r="Q213" s="106"/>
      <c r="R213" s="107"/>
      <c r="S213" s="41">
        <f t="shared" si="15"/>
        <v>75000</v>
      </c>
    </row>
    <row r="214" spans="1:19" ht="36">
      <c r="A214" s="635" t="s">
        <v>280</v>
      </c>
      <c r="B214" s="108" t="s">
        <v>67</v>
      </c>
      <c r="C214" s="104"/>
      <c r="D214" s="105"/>
      <c r="E214" s="105">
        <v>300000</v>
      </c>
      <c r="F214" s="105"/>
      <c r="G214" s="105"/>
      <c r="H214" s="105"/>
      <c r="I214" s="106"/>
      <c r="J214" s="105"/>
      <c r="K214" s="106"/>
      <c r="L214" s="105"/>
      <c r="M214" s="106"/>
      <c r="N214" s="105"/>
      <c r="O214" s="105"/>
      <c r="P214" s="105"/>
      <c r="Q214" s="106"/>
      <c r="R214" s="107"/>
      <c r="S214" s="41">
        <f t="shared" si="15"/>
        <v>300000</v>
      </c>
    </row>
    <row r="215" spans="1:19" ht="36">
      <c r="A215" s="636" t="s">
        <v>232</v>
      </c>
      <c r="B215" s="108" t="s">
        <v>67</v>
      </c>
      <c r="C215" s="104"/>
      <c r="D215" s="105"/>
      <c r="E215" s="105"/>
      <c r="F215" s="105">
        <v>85000</v>
      </c>
      <c r="G215" s="105"/>
      <c r="H215" s="105"/>
      <c r="I215" s="106"/>
      <c r="J215" s="105"/>
      <c r="K215" s="106"/>
      <c r="L215" s="105"/>
      <c r="M215" s="106"/>
      <c r="N215" s="105"/>
      <c r="O215" s="105"/>
      <c r="P215" s="105"/>
      <c r="Q215" s="106"/>
      <c r="R215" s="107"/>
      <c r="S215" s="41">
        <f t="shared" si="15"/>
        <v>85000</v>
      </c>
    </row>
    <row r="216" spans="1:19" ht="12" hidden="1">
      <c r="A216" s="110"/>
      <c r="B216" s="111"/>
      <c r="C216" s="104"/>
      <c r="D216" s="105"/>
      <c r="E216" s="105"/>
      <c r="F216" s="105"/>
      <c r="G216" s="105"/>
      <c r="H216" s="105"/>
      <c r="I216" s="106"/>
      <c r="J216" s="105"/>
      <c r="K216" s="106"/>
      <c r="L216" s="105"/>
      <c r="M216" s="106"/>
      <c r="N216" s="105"/>
      <c r="O216" s="105"/>
      <c r="P216" s="105"/>
      <c r="Q216" s="106"/>
      <c r="R216" s="107"/>
      <c r="S216" s="41">
        <f t="shared" si="15"/>
        <v>0</v>
      </c>
    </row>
    <row r="217" spans="1:19" ht="12" hidden="1">
      <c r="A217" s="112"/>
      <c r="B217" s="108"/>
      <c r="C217" s="104"/>
      <c r="D217" s="105"/>
      <c r="E217" s="105"/>
      <c r="F217" s="105"/>
      <c r="G217" s="105"/>
      <c r="H217" s="105"/>
      <c r="I217" s="106"/>
      <c r="J217" s="105"/>
      <c r="K217" s="106"/>
      <c r="L217" s="105"/>
      <c r="M217" s="106"/>
      <c r="N217" s="105"/>
      <c r="O217" s="105"/>
      <c r="P217" s="105"/>
      <c r="Q217" s="106"/>
      <c r="R217" s="107"/>
      <c r="S217" s="41">
        <f t="shared" si="15"/>
        <v>0</v>
      </c>
    </row>
    <row r="218" spans="1:19" ht="12" hidden="1">
      <c r="A218" s="113"/>
      <c r="B218" s="114"/>
      <c r="C218" s="104"/>
      <c r="D218" s="105"/>
      <c r="E218" s="105"/>
      <c r="F218" s="105"/>
      <c r="G218" s="105"/>
      <c r="H218" s="105"/>
      <c r="I218" s="106"/>
      <c r="J218" s="105"/>
      <c r="K218" s="106"/>
      <c r="L218" s="105"/>
      <c r="M218" s="106"/>
      <c r="N218" s="105"/>
      <c r="O218" s="105"/>
      <c r="P218" s="105"/>
      <c r="Q218" s="106"/>
      <c r="R218" s="107"/>
      <c r="S218" s="41">
        <f t="shared" si="15"/>
        <v>0</v>
      </c>
    </row>
    <row r="219" spans="1:19" ht="12" hidden="1">
      <c r="A219" s="113"/>
      <c r="B219" s="114"/>
      <c r="C219" s="104"/>
      <c r="D219" s="105"/>
      <c r="E219" s="105"/>
      <c r="F219" s="105"/>
      <c r="G219" s="105"/>
      <c r="H219" s="105"/>
      <c r="I219" s="106"/>
      <c r="J219" s="105"/>
      <c r="K219" s="106"/>
      <c r="L219" s="105"/>
      <c r="M219" s="106"/>
      <c r="N219" s="105"/>
      <c r="O219" s="105"/>
      <c r="P219" s="105"/>
      <c r="Q219" s="106"/>
      <c r="R219" s="107"/>
      <c r="S219" s="41">
        <f t="shared" si="15"/>
        <v>0</v>
      </c>
    </row>
    <row r="220" spans="1:19" ht="12" hidden="1">
      <c r="A220" s="113"/>
      <c r="B220" s="115"/>
      <c r="C220" s="104"/>
      <c r="D220" s="105"/>
      <c r="E220" s="105"/>
      <c r="F220" s="105"/>
      <c r="G220" s="105"/>
      <c r="H220" s="105"/>
      <c r="I220" s="106"/>
      <c r="J220" s="105"/>
      <c r="K220" s="106"/>
      <c r="L220" s="105"/>
      <c r="M220" s="106"/>
      <c r="N220" s="105"/>
      <c r="O220" s="105"/>
      <c r="P220" s="105"/>
      <c r="Q220" s="106"/>
      <c r="R220" s="107"/>
      <c r="S220" s="41">
        <f t="shared" si="15"/>
        <v>0</v>
      </c>
    </row>
    <row r="221" spans="1:19" ht="12" hidden="1">
      <c r="A221" s="112"/>
      <c r="B221" s="116"/>
      <c r="C221" s="104"/>
      <c r="D221" s="105"/>
      <c r="E221" s="105"/>
      <c r="F221" s="105"/>
      <c r="G221" s="105"/>
      <c r="H221" s="105"/>
      <c r="I221" s="106"/>
      <c r="J221" s="105"/>
      <c r="K221" s="106"/>
      <c r="L221" s="105"/>
      <c r="M221" s="106"/>
      <c r="N221" s="105"/>
      <c r="O221" s="105"/>
      <c r="P221" s="105"/>
      <c r="Q221" s="106"/>
      <c r="R221" s="107"/>
      <c r="S221" s="41">
        <f t="shared" si="15"/>
        <v>0</v>
      </c>
    </row>
    <row r="222" spans="1:19" ht="12" hidden="1">
      <c r="A222" s="112"/>
      <c r="B222" s="116"/>
      <c r="C222" s="104"/>
      <c r="D222" s="105"/>
      <c r="E222" s="105"/>
      <c r="F222" s="105"/>
      <c r="G222" s="105"/>
      <c r="H222" s="105"/>
      <c r="I222" s="106"/>
      <c r="J222" s="105"/>
      <c r="K222" s="106"/>
      <c r="L222" s="105"/>
      <c r="M222" s="106"/>
      <c r="N222" s="105"/>
      <c r="O222" s="105"/>
      <c r="P222" s="105"/>
      <c r="Q222" s="106"/>
      <c r="R222" s="107"/>
      <c r="S222" s="41">
        <f t="shared" si="15"/>
        <v>0</v>
      </c>
    </row>
    <row r="223" spans="1:19" ht="12" hidden="1">
      <c r="A223" s="112"/>
      <c r="B223" s="116"/>
      <c r="C223" s="104"/>
      <c r="D223" s="105"/>
      <c r="E223" s="105"/>
      <c r="F223" s="105"/>
      <c r="G223" s="105"/>
      <c r="H223" s="105"/>
      <c r="I223" s="106"/>
      <c r="J223" s="105"/>
      <c r="K223" s="106"/>
      <c r="L223" s="105"/>
      <c r="M223" s="106"/>
      <c r="N223" s="105"/>
      <c r="O223" s="105"/>
      <c r="P223" s="105"/>
      <c r="Q223" s="106"/>
      <c r="R223" s="107"/>
      <c r="S223" s="41">
        <f t="shared" si="15"/>
        <v>0</v>
      </c>
    </row>
    <row r="224" spans="1:19" ht="12" hidden="1">
      <c r="A224" s="112"/>
      <c r="B224" s="116"/>
      <c r="C224" s="104"/>
      <c r="D224" s="105"/>
      <c r="E224" s="105"/>
      <c r="F224" s="105"/>
      <c r="G224" s="105"/>
      <c r="H224" s="105"/>
      <c r="I224" s="106"/>
      <c r="J224" s="105"/>
      <c r="K224" s="106"/>
      <c r="L224" s="105"/>
      <c r="M224" s="106"/>
      <c r="N224" s="105"/>
      <c r="O224" s="105"/>
      <c r="P224" s="105"/>
      <c r="Q224" s="106"/>
      <c r="R224" s="107"/>
      <c r="S224" s="41">
        <f t="shared" si="15"/>
        <v>0</v>
      </c>
    </row>
    <row r="225" spans="1:19" ht="12" hidden="1">
      <c r="A225" s="112"/>
      <c r="B225" s="116"/>
      <c r="C225" s="104"/>
      <c r="D225" s="105"/>
      <c r="E225" s="105"/>
      <c r="F225" s="105"/>
      <c r="G225" s="105"/>
      <c r="H225" s="105"/>
      <c r="I225" s="106"/>
      <c r="J225" s="105"/>
      <c r="K225" s="106"/>
      <c r="L225" s="105"/>
      <c r="M225" s="106"/>
      <c r="N225" s="105"/>
      <c r="O225" s="105"/>
      <c r="P225" s="105"/>
      <c r="Q225" s="106"/>
      <c r="R225" s="107"/>
      <c r="S225" s="41">
        <f t="shared" si="15"/>
        <v>0</v>
      </c>
    </row>
    <row r="226" spans="1:19" ht="12" hidden="1">
      <c r="A226" s="113"/>
      <c r="B226" s="116"/>
      <c r="C226" s="101"/>
      <c r="D226" s="102"/>
      <c r="E226" s="102"/>
      <c r="F226" s="102"/>
      <c r="G226" s="102"/>
      <c r="H226" s="102"/>
      <c r="I226" s="103"/>
      <c r="J226" s="102"/>
      <c r="K226" s="103"/>
      <c r="L226" s="102"/>
      <c r="M226" s="103"/>
      <c r="N226" s="102"/>
      <c r="O226" s="102"/>
      <c r="P226" s="102"/>
      <c r="Q226" s="103"/>
      <c r="R226" s="107"/>
      <c r="S226" s="41">
        <f t="shared" si="15"/>
        <v>0</v>
      </c>
    </row>
    <row r="227" spans="1:19" ht="12" hidden="1">
      <c r="A227" s="112"/>
      <c r="B227" s="108"/>
      <c r="C227" s="104"/>
      <c r="D227" s="105"/>
      <c r="E227" s="105"/>
      <c r="F227" s="105"/>
      <c r="G227" s="105"/>
      <c r="H227" s="105"/>
      <c r="I227" s="106"/>
      <c r="J227" s="105"/>
      <c r="K227" s="106"/>
      <c r="L227" s="105"/>
      <c r="M227" s="106"/>
      <c r="N227" s="105"/>
      <c r="O227" s="105"/>
      <c r="P227" s="105"/>
      <c r="Q227" s="106"/>
      <c r="R227" s="107"/>
      <c r="S227" s="41">
        <f t="shared" si="15"/>
        <v>0</v>
      </c>
    </row>
    <row r="228" spans="1:19" ht="12" hidden="1">
      <c r="A228" s="113"/>
      <c r="B228" s="115"/>
      <c r="C228" s="101"/>
      <c r="D228" s="102"/>
      <c r="E228" s="39"/>
      <c r="F228" s="39"/>
      <c r="G228" s="102"/>
      <c r="H228" s="102"/>
      <c r="I228" s="103"/>
      <c r="J228" s="102"/>
      <c r="K228" s="103"/>
      <c r="L228" s="102"/>
      <c r="M228" s="103"/>
      <c r="N228" s="102"/>
      <c r="O228" s="102"/>
      <c r="P228" s="102"/>
      <c r="Q228" s="103"/>
      <c r="R228" s="107"/>
      <c r="S228" s="40">
        <f t="shared" si="15"/>
        <v>0</v>
      </c>
    </row>
    <row r="229" spans="1:19" ht="12.75" hidden="1" thickBot="1">
      <c r="A229" s="113"/>
      <c r="B229" s="115"/>
      <c r="C229" s="117"/>
      <c r="D229" s="118"/>
      <c r="E229" s="118"/>
      <c r="F229" s="119"/>
      <c r="G229" s="118"/>
      <c r="H229" s="118"/>
      <c r="I229" s="120"/>
      <c r="J229" s="118"/>
      <c r="K229" s="120"/>
      <c r="L229" s="118"/>
      <c r="M229" s="120"/>
      <c r="N229" s="118"/>
      <c r="O229" s="118"/>
      <c r="P229" s="118"/>
      <c r="Q229" s="120"/>
      <c r="R229" s="107"/>
      <c r="S229" s="40">
        <f t="shared" si="15"/>
        <v>0</v>
      </c>
    </row>
    <row r="230" spans="1:19" ht="15.75" customHeight="1" thickBot="1">
      <c r="A230" s="121"/>
      <c r="B230" s="122"/>
      <c r="C230" s="123"/>
      <c r="D230" s="124"/>
      <c r="E230" s="1"/>
      <c r="F230" s="1"/>
      <c r="G230" s="124"/>
      <c r="H230" s="124"/>
      <c r="I230" s="125"/>
      <c r="J230" s="124"/>
      <c r="K230" s="125"/>
      <c r="L230" s="124"/>
      <c r="M230" s="125"/>
      <c r="N230" s="124"/>
      <c r="O230" s="124"/>
      <c r="P230" s="124"/>
      <c r="Q230" s="125"/>
      <c r="R230" s="126"/>
      <c r="S230" s="43">
        <f t="shared" si="15"/>
        <v>0</v>
      </c>
    </row>
    <row r="231" spans="1:19" ht="18" customHeight="1" thickBot="1">
      <c r="A231" s="127" t="s">
        <v>23</v>
      </c>
      <c r="B231" s="128"/>
      <c r="C231" s="129">
        <f aca="true" t="shared" si="16" ref="C231:R231">SUM(C210:C230)</f>
        <v>0</v>
      </c>
      <c r="D231" s="129">
        <f t="shared" si="16"/>
        <v>33460.2</v>
      </c>
      <c r="E231" s="129">
        <f t="shared" si="16"/>
        <v>300000</v>
      </c>
      <c r="F231" s="129">
        <f t="shared" si="16"/>
        <v>85000</v>
      </c>
      <c r="G231" s="129">
        <f t="shared" si="16"/>
        <v>0</v>
      </c>
      <c r="H231" s="129">
        <f t="shared" si="16"/>
        <v>75000</v>
      </c>
      <c r="I231" s="129">
        <f t="shared" si="16"/>
        <v>0</v>
      </c>
      <c r="J231" s="130">
        <f t="shared" si="16"/>
        <v>0</v>
      </c>
      <c r="K231" s="131">
        <f t="shared" si="16"/>
        <v>0</v>
      </c>
      <c r="L231" s="129">
        <f t="shared" si="16"/>
        <v>0</v>
      </c>
      <c r="M231" s="129">
        <f t="shared" si="16"/>
        <v>0</v>
      </c>
      <c r="N231" s="129">
        <f t="shared" si="16"/>
        <v>0</v>
      </c>
      <c r="O231" s="129">
        <f t="shared" si="16"/>
        <v>42000</v>
      </c>
      <c r="P231" s="129">
        <f t="shared" si="16"/>
        <v>0</v>
      </c>
      <c r="Q231" s="129">
        <f t="shared" si="16"/>
        <v>0</v>
      </c>
      <c r="R231" s="129">
        <f t="shared" si="16"/>
        <v>0</v>
      </c>
      <c r="S231" s="132">
        <f>SUM(C231:R231)</f>
        <v>535460.2</v>
      </c>
    </row>
    <row r="232" spans="1:19" ht="18" customHeight="1" thickBot="1">
      <c r="A232" s="133" t="s">
        <v>24</v>
      </c>
      <c r="B232" s="134"/>
      <c r="C232" s="135">
        <f aca="true" t="shared" si="17" ref="C232:R232">C231-C212</f>
        <v>0</v>
      </c>
      <c r="D232" s="135">
        <f t="shared" si="17"/>
        <v>33460.2</v>
      </c>
      <c r="E232" s="135">
        <f t="shared" si="17"/>
        <v>300000</v>
      </c>
      <c r="F232" s="135">
        <f t="shared" si="17"/>
        <v>85000</v>
      </c>
      <c r="G232" s="135">
        <f t="shared" si="17"/>
        <v>0</v>
      </c>
      <c r="H232" s="135">
        <f t="shared" si="17"/>
        <v>75000</v>
      </c>
      <c r="I232" s="135">
        <f t="shared" si="17"/>
        <v>0</v>
      </c>
      <c r="J232" s="66">
        <f t="shared" si="17"/>
        <v>0</v>
      </c>
      <c r="K232" s="136">
        <f t="shared" si="17"/>
        <v>0</v>
      </c>
      <c r="L232" s="135">
        <f t="shared" si="17"/>
        <v>0</v>
      </c>
      <c r="M232" s="135">
        <f t="shared" si="17"/>
        <v>0</v>
      </c>
      <c r="N232" s="135">
        <f t="shared" si="17"/>
        <v>0</v>
      </c>
      <c r="O232" s="135">
        <f t="shared" si="17"/>
        <v>0</v>
      </c>
      <c r="P232" s="135">
        <f t="shared" si="17"/>
        <v>0</v>
      </c>
      <c r="Q232" s="135">
        <f t="shared" si="17"/>
        <v>0</v>
      </c>
      <c r="R232" s="135">
        <f t="shared" si="17"/>
        <v>0</v>
      </c>
      <c r="S232" s="66">
        <f>S208</f>
        <v>502000</v>
      </c>
    </row>
    <row r="233" spans="1:19" ht="21" customHeight="1" thickBot="1">
      <c r="A233" s="19" t="s">
        <v>73</v>
      </c>
      <c r="B233" s="137"/>
      <c r="C233" s="68">
        <f aca="true" t="shared" si="18" ref="C233:R233">C207+C231</f>
        <v>0</v>
      </c>
      <c r="D233" s="68">
        <f t="shared" si="18"/>
        <v>33460.2</v>
      </c>
      <c r="E233" s="68">
        <f t="shared" si="18"/>
        <v>300000</v>
      </c>
      <c r="F233" s="68">
        <f t="shared" si="18"/>
        <v>85000</v>
      </c>
      <c r="G233" s="68">
        <f t="shared" si="18"/>
        <v>0</v>
      </c>
      <c r="H233" s="68">
        <f t="shared" si="18"/>
        <v>75000</v>
      </c>
      <c r="I233" s="68">
        <f t="shared" si="18"/>
        <v>0</v>
      </c>
      <c r="J233" s="67">
        <f t="shared" si="18"/>
        <v>0</v>
      </c>
      <c r="K233" s="138">
        <f t="shared" si="18"/>
        <v>0</v>
      </c>
      <c r="L233" s="68">
        <f t="shared" si="18"/>
        <v>0</v>
      </c>
      <c r="M233" s="68">
        <f t="shared" si="18"/>
        <v>0</v>
      </c>
      <c r="N233" s="68">
        <f t="shared" si="18"/>
        <v>0</v>
      </c>
      <c r="O233" s="68">
        <f t="shared" si="18"/>
        <v>42000</v>
      </c>
      <c r="P233" s="68">
        <f t="shared" si="18"/>
        <v>0</v>
      </c>
      <c r="Q233" s="68">
        <f t="shared" si="18"/>
        <v>0</v>
      </c>
      <c r="R233" s="68">
        <f t="shared" si="18"/>
        <v>0</v>
      </c>
      <c r="S233" s="139">
        <f>SUM(C233:R233)</f>
        <v>535460.2</v>
      </c>
    </row>
    <row r="234" spans="1:19" ht="20.25" customHeight="1" thickBot="1">
      <c r="A234" s="637" t="s">
        <v>51</v>
      </c>
      <c r="B234" s="638"/>
      <c r="C234" s="71">
        <f aca="true" t="shared" si="19" ref="C234:M234">C207+C232</f>
        <v>0</v>
      </c>
      <c r="D234" s="70">
        <f t="shared" si="19"/>
        <v>33460.2</v>
      </c>
      <c r="E234" s="70">
        <f t="shared" si="19"/>
        <v>300000</v>
      </c>
      <c r="F234" s="70">
        <f t="shared" si="19"/>
        <v>85000</v>
      </c>
      <c r="G234" s="70">
        <f t="shared" si="19"/>
        <v>0</v>
      </c>
      <c r="H234" s="70">
        <f t="shared" si="19"/>
        <v>75000</v>
      </c>
      <c r="I234" s="71">
        <f t="shared" si="19"/>
        <v>0</v>
      </c>
      <c r="J234" s="70">
        <f t="shared" si="19"/>
        <v>0</v>
      </c>
      <c r="K234" s="140">
        <f t="shared" si="19"/>
        <v>0</v>
      </c>
      <c r="L234" s="70">
        <f t="shared" si="19"/>
        <v>0</v>
      </c>
      <c r="M234" s="140">
        <f t="shared" si="19"/>
        <v>0</v>
      </c>
      <c r="N234" s="70"/>
      <c r="O234" s="70">
        <f>O207+O232</f>
        <v>0</v>
      </c>
      <c r="P234" s="70">
        <f>P207+P232</f>
        <v>0</v>
      </c>
      <c r="Q234" s="141">
        <f>Q207+Q232</f>
        <v>0</v>
      </c>
      <c r="R234" s="141">
        <f>R207+R232</f>
        <v>0</v>
      </c>
      <c r="S234" s="70">
        <f>S208</f>
        <v>502000</v>
      </c>
    </row>
    <row r="235" spans="2:19" s="142" customFormat="1" ht="12">
      <c r="B235" s="142" t="s">
        <v>27</v>
      </c>
      <c r="C235" s="143">
        <f aca="true" t="shared" si="20" ref="C235:N235">C233+C199</f>
        <v>12863064.72</v>
      </c>
      <c r="D235" s="143">
        <f t="shared" si="20"/>
        <v>5799036.47</v>
      </c>
      <c r="E235" s="143">
        <f t="shared" si="20"/>
        <v>16396826.85</v>
      </c>
      <c r="F235" s="143">
        <f t="shared" si="20"/>
        <v>14817513.22</v>
      </c>
      <c r="G235" s="143">
        <f t="shared" si="20"/>
        <v>4379439.2</v>
      </c>
      <c r="H235" s="143">
        <f t="shared" si="20"/>
        <v>9490841.26</v>
      </c>
      <c r="I235" s="143">
        <f t="shared" si="20"/>
        <v>226127.09</v>
      </c>
      <c r="J235" s="143">
        <f t="shared" si="20"/>
        <v>4129108.66</v>
      </c>
      <c r="K235" s="143">
        <f t="shared" si="20"/>
        <v>3195180.09</v>
      </c>
      <c r="L235" s="143">
        <f t="shared" si="20"/>
        <v>32087</v>
      </c>
      <c r="M235" s="143">
        <f t="shared" si="20"/>
        <v>1183421.7</v>
      </c>
      <c r="N235" s="143">
        <f t="shared" si="20"/>
        <v>0</v>
      </c>
      <c r="O235" s="143">
        <f>O199+O233</f>
        <v>4046582.2</v>
      </c>
      <c r="P235" s="143">
        <f>P199+P233</f>
        <v>1593819</v>
      </c>
      <c r="Q235" s="143">
        <f>Q233+Q199</f>
        <v>893973.6799999999</v>
      </c>
      <c r="R235" s="143">
        <f>R233+R199</f>
        <v>369333.61</v>
      </c>
      <c r="S235" s="143">
        <f>S199+S233</f>
        <v>79416354.75</v>
      </c>
    </row>
    <row r="236" spans="3:19" ht="12"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</row>
    <row r="237" spans="11:19" ht="12">
      <c r="K237" s="26">
        <f>K234-'súhrnná po AS'!M148</f>
        <v>0</v>
      </c>
      <c r="Q237" s="26">
        <v>0</v>
      </c>
      <c r="S237" s="26">
        <f>SUM(C237:Q237)</f>
        <v>0</v>
      </c>
    </row>
    <row r="238" spans="5:12" ht="12">
      <c r="E238" s="145"/>
      <c r="F238" s="146"/>
      <c r="G238" s="147"/>
      <c r="H238" s="145"/>
      <c r="I238" s="145"/>
      <c r="J238" s="145"/>
      <c r="K238" s="145"/>
      <c r="L238" s="145"/>
    </row>
    <row r="239" spans="1:19" ht="12">
      <c r="A239" s="9" t="s">
        <v>28</v>
      </c>
      <c r="C239" s="26">
        <f aca="true" t="shared" si="21" ref="C239:R239">C233+C199</f>
        <v>12863064.72</v>
      </c>
      <c r="D239" s="26">
        <f t="shared" si="21"/>
        <v>5799036.47</v>
      </c>
      <c r="E239" s="26">
        <f t="shared" si="21"/>
        <v>16396826.85</v>
      </c>
      <c r="F239" s="26">
        <f t="shared" si="21"/>
        <v>14817513.22</v>
      </c>
      <c r="G239" s="26">
        <f t="shared" si="21"/>
        <v>4379439.2</v>
      </c>
      <c r="H239" s="26">
        <f t="shared" si="21"/>
        <v>9490841.26</v>
      </c>
      <c r="I239" s="26">
        <f t="shared" si="21"/>
        <v>226127.09</v>
      </c>
      <c r="J239" s="26">
        <f t="shared" si="21"/>
        <v>4129108.66</v>
      </c>
      <c r="K239" s="145">
        <f t="shared" si="21"/>
        <v>3195180.09</v>
      </c>
      <c r="L239" s="145">
        <f t="shared" si="21"/>
        <v>32087</v>
      </c>
      <c r="M239" s="145">
        <f t="shared" si="21"/>
        <v>1183421.7</v>
      </c>
      <c r="N239" s="145">
        <f t="shared" si="21"/>
        <v>0</v>
      </c>
      <c r="O239" s="145">
        <f t="shared" si="21"/>
        <v>4046582.2</v>
      </c>
      <c r="P239" s="145">
        <f t="shared" si="21"/>
        <v>1593819</v>
      </c>
      <c r="Q239" s="145">
        <f t="shared" si="21"/>
        <v>893973.6799999999</v>
      </c>
      <c r="R239" s="145">
        <f t="shared" si="21"/>
        <v>369333.61</v>
      </c>
      <c r="S239" s="26">
        <f>SUM(C239:Q239)</f>
        <v>79047021.14000002</v>
      </c>
    </row>
    <row r="240" spans="1:19" ht="12">
      <c r="A240" s="9" t="s">
        <v>29</v>
      </c>
      <c r="K240" s="145"/>
      <c r="L240" s="145"/>
      <c r="M240" s="145"/>
      <c r="N240" s="145"/>
      <c r="O240" s="145"/>
      <c r="P240" s="145"/>
      <c r="Q240" s="145"/>
      <c r="R240" s="145"/>
      <c r="S240" s="26">
        <f>SUM(C240:Q240)</f>
        <v>0</v>
      </c>
    </row>
    <row r="241" spans="3:19" ht="12">
      <c r="C241" s="148">
        <f>'súhrnná po AS'!B5</f>
        <v>12863064.719999999</v>
      </c>
      <c r="D241" s="148">
        <f>'súhrnná po AS'!C5</f>
        <v>5799036.47</v>
      </c>
      <c r="E241" s="148">
        <f>'súhrnná po AS'!D5</f>
        <v>16396826.850000001</v>
      </c>
      <c r="F241" s="148">
        <f>'súhrnná po AS'!E5</f>
        <v>14817513.22</v>
      </c>
      <c r="G241" s="148">
        <f>'súhrnná po AS'!F5</f>
        <v>4379439.199999999</v>
      </c>
      <c r="H241" s="148">
        <f>'súhrnná po AS'!G5</f>
        <v>9490841.26</v>
      </c>
      <c r="I241" s="148">
        <f>'súhrnná po AS'!H5</f>
        <v>226127.09</v>
      </c>
      <c r="J241" s="148">
        <f>'súhrnná po AS'!I5</f>
        <v>4129108.66</v>
      </c>
      <c r="K241" s="148">
        <f>'súhrnná po AS'!M5</f>
        <v>3195180.09</v>
      </c>
      <c r="L241" s="148">
        <f>'súhrnná po AS'!N5</f>
        <v>32087</v>
      </c>
      <c r="M241" s="148">
        <f>'súhrnná po AS'!J5</f>
        <v>1183421.7</v>
      </c>
      <c r="N241" s="148">
        <f>'súhrnná po AS'!K5</f>
        <v>0</v>
      </c>
      <c r="O241" s="148">
        <f>'súhrnná po AS'!O5</f>
        <v>4046582.2</v>
      </c>
      <c r="P241" s="148">
        <f>'súhrnná po AS'!P5</f>
        <v>1593819</v>
      </c>
      <c r="Q241" s="148">
        <f>'súhrnná po AS'!Q5+'súhrnná po AS'!R5</f>
        <v>1263307.29</v>
      </c>
      <c r="R241" s="148">
        <f>'súhrnná po AS'!R5</f>
        <v>369333.61</v>
      </c>
      <c r="S241" s="148">
        <f>S233-'súhrnná po AS'!S148</f>
        <v>0</v>
      </c>
    </row>
    <row r="242" spans="3:19" ht="12">
      <c r="C242" s="26">
        <f aca="true" t="shared" si="22" ref="C242:O242">C239-C241</f>
        <v>0</v>
      </c>
      <c r="D242" s="26">
        <f t="shared" si="22"/>
        <v>0</v>
      </c>
      <c r="E242" s="26">
        <f t="shared" si="22"/>
        <v>0</v>
      </c>
      <c r="F242" s="26">
        <f t="shared" si="22"/>
        <v>0</v>
      </c>
      <c r="G242" s="26">
        <f t="shared" si="22"/>
        <v>0</v>
      </c>
      <c r="H242" s="26">
        <f t="shared" si="22"/>
        <v>0</v>
      </c>
      <c r="I242" s="26">
        <f t="shared" si="22"/>
        <v>0</v>
      </c>
      <c r="J242" s="26">
        <f t="shared" si="22"/>
        <v>0</v>
      </c>
      <c r="K242" s="26">
        <f t="shared" si="22"/>
        <v>0</v>
      </c>
      <c r="L242" s="26">
        <f t="shared" si="22"/>
        <v>0</v>
      </c>
      <c r="M242" s="26">
        <f t="shared" si="22"/>
        <v>0</v>
      </c>
      <c r="N242" s="26">
        <f t="shared" si="22"/>
        <v>0</v>
      </c>
      <c r="O242" s="26">
        <f t="shared" si="22"/>
        <v>0</v>
      </c>
      <c r="P242" s="26">
        <f>P239-P241</f>
        <v>0</v>
      </c>
      <c r="Q242" s="26">
        <f>Q233-'súhrnná po AS'!Q148</f>
        <v>0</v>
      </c>
      <c r="R242" s="26">
        <f>R233-'súhrnná po AS'!R148</f>
        <v>0</v>
      </c>
      <c r="S242" s="26">
        <f>S233-'súhrnná po AS'!S148</f>
        <v>0</v>
      </c>
    </row>
    <row r="243" spans="5:12" ht="12">
      <c r="E243" s="145"/>
      <c r="F243" s="145"/>
      <c r="G243" s="145"/>
      <c r="H243" s="145"/>
      <c r="I243" s="145"/>
      <c r="J243" s="145"/>
      <c r="K243" s="145"/>
      <c r="L243" s="145"/>
    </row>
    <row r="244" spans="5:19" ht="12">
      <c r="E244" s="145"/>
      <c r="F244" s="145"/>
      <c r="G244" s="145"/>
      <c r="H244" s="145"/>
      <c r="I244" s="145"/>
      <c r="J244" s="145"/>
      <c r="K244" s="145"/>
      <c r="L244" s="145"/>
      <c r="S244" s="149">
        <f>S233+S199</f>
        <v>79416354.75</v>
      </c>
    </row>
    <row r="245" spans="5:12" ht="12">
      <c r="E245" s="145"/>
      <c r="F245" s="145"/>
      <c r="G245" s="145"/>
      <c r="H245" s="145"/>
      <c r="I245" s="145"/>
      <c r="J245" s="145"/>
      <c r="K245" s="145"/>
      <c r="L245" s="145"/>
    </row>
  </sheetData>
  <sheetProtection/>
  <mergeCells count="3">
    <mergeCell ref="A234:B234"/>
    <mergeCell ref="A208:B208"/>
    <mergeCell ref="A200:B200"/>
  </mergeCells>
  <printOptions horizontalCentered="1" verticalCentered="1"/>
  <pageMargins left="0.5118110236220472" right="0.31496062992125984" top="0.2362204724409449" bottom="0.3937007874015748" header="0.31496062992125984" footer="0.11811023622047245"/>
  <pageSetup fitToHeight="2" fitToWidth="1" horizontalDpi="600" verticalDpi="600" orientation="landscape" paperSize="9" scale="47" r:id="rId1"/>
  <headerFooter alignWithMargins="0">
    <oddHeader>&amp;RPríloha č. 1</oddHeader>
    <oddFooter>&amp;L&amp;Z&amp;F&amp;R&amp;D</oddFooter>
  </headerFooter>
  <rowBreaks count="1" manualBreakCount="1">
    <brk id="204" max="14" man="1"/>
  </rowBreaks>
  <ignoredErrors>
    <ignoredError sqref="B86:B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178"/>
  <sheetViews>
    <sheetView tabSelected="1" view="pageBreakPreview" zoomScale="85" zoomScaleNormal="85" zoomScaleSheetLayoutView="85" zoomScalePageLayoutView="0" workbookViewId="0" topLeftCell="A1">
      <pane xSplit="1" ySplit="4" topLeftCell="J1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48" sqref="R48"/>
    </sheetView>
  </sheetViews>
  <sheetFormatPr defaultColWidth="9.140625" defaultRowHeight="12.75"/>
  <cols>
    <col min="1" max="1" width="47.8515625" style="202" bestFit="1" customWidth="1"/>
    <col min="2" max="2" width="10.7109375" style="201" bestFit="1" customWidth="1"/>
    <col min="3" max="3" width="9.8515625" style="201" bestFit="1" customWidth="1"/>
    <col min="4" max="5" width="10.7109375" style="201" bestFit="1" customWidth="1"/>
    <col min="6" max="7" width="9.8515625" style="201" bestFit="1" customWidth="1"/>
    <col min="8" max="8" width="8.7109375" style="201" bestFit="1" customWidth="1"/>
    <col min="9" max="10" width="9.8515625" style="201" bestFit="1" customWidth="1"/>
    <col min="11" max="11" width="6.8515625" style="201" bestFit="1" customWidth="1"/>
    <col min="12" max="12" width="11.57421875" style="606" customWidth="1"/>
    <col min="13" max="13" width="9.8515625" style="201" bestFit="1" customWidth="1"/>
    <col min="14" max="14" width="8.28125" style="201" bestFit="1" customWidth="1"/>
    <col min="15" max="16" width="9.8515625" style="201" bestFit="1" customWidth="1"/>
    <col min="17" max="17" width="10.57421875" style="201" customWidth="1"/>
    <col min="18" max="18" width="10.57421875" style="501" customWidth="1"/>
    <col min="19" max="19" width="10.7109375" style="294" bestFit="1" customWidth="1"/>
    <col min="20" max="21" width="13.421875" style="202" bestFit="1" customWidth="1"/>
    <col min="22" max="16384" width="9.140625" style="202" customWidth="1"/>
  </cols>
  <sheetData>
    <row r="1" spans="1:19" ht="24" customHeight="1">
      <c r="A1" s="641" t="s">
        <v>278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</row>
    <row r="2" spans="1:19" ht="12">
      <c r="A2" s="203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4"/>
      <c r="M2" s="200"/>
      <c r="N2" s="200"/>
      <c r="O2" s="612"/>
      <c r="P2" s="612"/>
      <c r="Q2" s="200"/>
      <c r="R2" s="200"/>
      <c r="S2" s="205" t="s">
        <v>277</v>
      </c>
    </row>
    <row r="3" spans="1:19" s="211" customFormat="1" ht="12.75" thickBo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8"/>
      <c r="M3" s="207"/>
      <c r="N3" s="207"/>
      <c r="O3" s="207"/>
      <c r="P3" s="207"/>
      <c r="Q3" s="209"/>
      <c r="R3" s="209"/>
      <c r="S3" s="210" t="s">
        <v>30</v>
      </c>
    </row>
    <row r="4" spans="1:19" ht="36.75" thickBot="1">
      <c r="A4" s="212" t="s">
        <v>0</v>
      </c>
      <c r="B4" s="213" t="s">
        <v>1</v>
      </c>
      <c r="C4" s="214" t="s">
        <v>2</v>
      </c>
      <c r="D4" s="213" t="s">
        <v>3</v>
      </c>
      <c r="E4" s="214" t="s">
        <v>4</v>
      </c>
      <c r="F4" s="213" t="s">
        <v>70</v>
      </c>
      <c r="G4" s="213" t="s">
        <v>6</v>
      </c>
      <c r="H4" s="215" t="s">
        <v>136</v>
      </c>
      <c r="I4" s="213" t="s">
        <v>7</v>
      </c>
      <c r="J4" s="213" t="s">
        <v>9</v>
      </c>
      <c r="K4" s="215" t="s">
        <v>137</v>
      </c>
      <c r="L4" s="216" t="s">
        <v>55</v>
      </c>
      <c r="M4" s="213" t="s">
        <v>8</v>
      </c>
      <c r="N4" s="213" t="s">
        <v>45</v>
      </c>
      <c r="O4" s="217" t="s">
        <v>77</v>
      </c>
      <c r="P4" s="218" t="s">
        <v>75</v>
      </c>
      <c r="Q4" s="219" t="s">
        <v>76</v>
      </c>
      <c r="R4" s="220" t="s">
        <v>162</v>
      </c>
      <c r="S4" s="221" t="s">
        <v>10</v>
      </c>
    </row>
    <row r="5" spans="1:21" ht="23.25" customHeight="1" thickBot="1">
      <c r="A5" s="222" t="s">
        <v>11</v>
      </c>
      <c r="B5" s="223">
        <f aca="true" t="shared" si="0" ref="B5:S5">B7+B148</f>
        <v>12863064.719999999</v>
      </c>
      <c r="C5" s="224">
        <f t="shared" si="0"/>
        <v>5799036.47</v>
      </c>
      <c r="D5" s="223">
        <f t="shared" si="0"/>
        <v>16396826.850000001</v>
      </c>
      <c r="E5" s="225">
        <f t="shared" si="0"/>
        <v>14817513.22</v>
      </c>
      <c r="F5" s="223">
        <f t="shared" si="0"/>
        <v>4379439.199999999</v>
      </c>
      <c r="G5" s="223">
        <f t="shared" si="0"/>
        <v>9490841.26</v>
      </c>
      <c r="H5" s="223">
        <f t="shared" si="0"/>
        <v>226127.09</v>
      </c>
      <c r="I5" s="223">
        <f t="shared" si="0"/>
        <v>4129108.66</v>
      </c>
      <c r="J5" s="223">
        <f t="shared" si="0"/>
        <v>1183421.7</v>
      </c>
      <c r="K5" s="223">
        <f t="shared" si="0"/>
        <v>0</v>
      </c>
      <c r="L5" s="226">
        <f t="shared" si="0"/>
        <v>69285379.17</v>
      </c>
      <c r="M5" s="227">
        <f t="shared" si="0"/>
        <v>3195180.09</v>
      </c>
      <c r="N5" s="223">
        <f t="shared" si="0"/>
        <v>32087</v>
      </c>
      <c r="O5" s="224">
        <f t="shared" si="0"/>
        <v>4046582.2</v>
      </c>
      <c r="P5" s="223">
        <f t="shared" si="0"/>
        <v>1593819</v>
      </c>
      <c r="Q5" s="223">
        <f t="shared" si="0"/>
        <v>893973.6799999999</v>
      </c>
      <c r="R5" s="223">
        <f t="shared" si="0"/>
        <v>369333.61</v>
      </c>
      <c r="S5" s="228">
        <f t="shared" si="0"/>
        <v>79416354.75000001</v>
      </c>
      <c r="T5" s="201"/>
      <c r="U5" s="201"/>
    </row>
    <row r="6" spans="1:20" ht="20.25" customHeight="1" thickBot="1">
      <c r="A6" s="230"/>
      <c r="B6" s="225"/>
      <c r="C6" s="231"/>
      <c r="D6" s="225"/>
      <c r="E6" s="225"/>
      <c r="F6" s="225"/>
      <c r="G6" s="225"/>
      <c r="H6" s="225"/>
      <c r="I6" s="225"/>
      <c r="J6" s="225"/>
      <c r="K6" s="225"/>
      <c r="L6" s="232"/>
      <c r="M6" s="223"/>
      <c r="N6" s="225"/>
      <c r="O6" s="231"/>
      <c r="P6" s="225"/>
      <c r="Q6" s="233"/>
      <c r="R6" s="225"/>
      <c r="S6" s="234"/>
      <c r="T6" s="201"/>
    </row>
    <row r="7" spans="1:21" ht="26.25" customHeight="1" thickBot="1">
      <c r="A7" s="235" t="s">
        <v>12</v>
      </c>
      <c r="B7" s="225">
        <f>B10+B85+B117+B119+B140+B141+B144+B145</f>
        <v>12863064.719999999</v>
      </c>
      <c r="C7" s="225">
        <f>C10+C85+C117+C119+C140+C141+C144+C145</f>
        <v>5765576.27</v>
      </c>
      <c r="D7" s="225">
        <f aca="true" t="shared" si="1" ref="D7:K7">D10+D85+D117+D119+D140+D141+D144+D145+D142+D143</f>
        <v>16096826.850000001</v>
      </c>
      <c r="E7" s="225">
        <f t="shared" si="1"/>
        <v>14732513.22</v>
      </c>
      <c r="F7" s="225">
        <f t="shared" si="1"/>
        <v>4379439.199999999</v>
      </c>
      <c r="G7" s="225">
        <f t="shared" si="1"/>
        <v>9415841.26</v>
      </c>
      <c r="H7" s="225">
        <f t="shared" si="1"/>
        <v>226127.09</v>
      </c>
      <c r="I7" s="225">
        <f t="shared" si="1"/>
        <v>4129108.66</v>
      </c>
      <c r="J7" s="225">
        <f t="shared" si="1"/>
        <v>1183421.7</v>
      </c>
      <c r="K7" s="225">
        <f t="shared" si="1"/>
        <v>0</v>
      </c>
      <c r="L7" s="232">
        <f>L9+L140+L142+L144+L145+L141+L143</f>
        <v>68791918.97</v>
      </c>
      <c r="M7" s="225">
        <f aca="true" t="shared" si="2" ref="M7:R7">M9+M140+M142+M144+M145</f>
        <v>3195180.09</v>
      </c>
      <c r="N7" s="225">
        <f t="shared" si="2"/>
        <v>32087</v>
      </c>
      <c r="O7" s="231">
        <f t="shared" si="2"/>
        <v>4004582.2</v>
      </c>
      <c r="P7" s="225">
        <f t="shared" si="2"/>
        <v>1593819</v>
      </c>
      <c r="Q7" s="233">
        <f t="shared" si="2"/>
        <v>893973.6799999999</v>
      </c>
      <c r="R7" s="225">
        <f t="shared" si="2"/>
        <v>369333.61</v>
      </c>
      <c r="S7" s="234">
        <f>SUM(L7:R7)</f>
        <v>78880894.55000001</v>
      </c>
      <c r="T7" s="201"/>
      <c r="U7" s="201"/>
    </row>
    <row r="8" spans="1:19" ht="25.5" customHeight="1" thickBot="1">
      <c r="A8" s="236" t="s">
        <v>13</v>
      </c>
      <c r="B8" s="237">
        <f>B85</f>
        <v>3343943.13</v>
      </c>
      <c r="C8" s="238">
        <f aca="true" t="shared" si="3" ref="C8:R8">C85</f>
        <v>1024880.47</v>
      </c>
      <c r="D8" s="237">
        <f t="shared" si="3"/>
        <v>5819853.81</v>
      </c>
      <c r="E8" s="237">
        <f t="shared" si="3"/>
        <v>4674672.33</v>
      </c>
      <c r="F8" s="237">
        <f t="shared" si="3"/>
        <v>1211633.73</v>
      </c>
      <c r="G8" s="237">
        <f t="shared" si="3"/>
        <v>2040516.43</v>
      </c>
      <c r="H8" s="237">
        <f>H85</f>
        <v>143566.09</v>
      </c>
      <c r="I8" s="237">
        <f t="shared" si="3"/>
        <v>424469.3400000001</v>
      </c>
      <c r="J8" s="237">
        <f t="shared" si="3"/>
        <v>302089.43</v>
      </c>
      <c r="K8" s="237">
        <f t="shared" si="3"/>
        <v>0</v>
      </c>
      <c r="L8" s="239">
        <f>L85</f>
        <v>18985624.76</v>
      </c>
      <c r="M8" s="237">
        <f t="shared" si="3"/>
        <v>0</v>
      </c>
      <c r="N8" s="237">
        <f t="shared" si="3"/>
        <v>0</v>
      </c>
      <c r="O8" s="238">
        <f t="shared" si="3"/>
        <v>419386.56</v>
      </c>
      <c r="P8" s="237">
        <f t="shared" si="3"/>
        <v>652120</v>
      </c>
      <c r="Q8" s="240">
        <f t="shared" si="3"/>
        <v>893973.6799999999</v>
      </c>
      <c r="R8" s="237">
        <f t="shared" si="3"/>
        <v>0</v>
      </c>
      <c r="S8" s="241">
        <f>SUM(L8:R8)</f>
        <v>20951105</v>
      </c>
    </row>
    <row r="9" spans="1:19" ht="38.25" customHeight="1" thickBot="1">
      <c r="A9" s="242" t="s">
        <v>119</v>
      </c>
      <c r="B9" s="243">
        <f aca="true" t="shared" si="4" ref="B9:P9">B10+B85+B117+B119</f>
        <v>12187325.02</v>
      </c>
      <c r="C9" s="244">
        <f t="shared" si="4"/>
        <v>4810616.17</v>
      </c>
      <c r="D9" s="243">
        <f t="shared" si="4"/>
        <v>14503252.100000001</v>
      </c>
      <c r="E9" s="243">
        <f t="shared" si="4"/>
        <v>13018251.22</v>
      </c>
      <c r="F9" s="243">
        <f t="shared" si="4"/>
        <v>4335589.199999999</v>
      </c>
      <c r="G9" s="243">
        <f t="shared" si="4"/>
        <v>8892836.26</v>
      </c>
      <c r="H9" s="243">
        <f t="shared" si="4"/>
        <v>226127.09</v>
      </c>
      <c r="I9" s="243">
        <f t="shared" si="4"/>
        <v>3997069.66</v>
      </c>
      <c r="J9" s="243">
        <f t="shared" si="4"/>
        <v>1144806.7</v>
      </c>
      <c r="K9" s="243">
        <f t="shared" si="4"/>
        <v>0</v>
      </c>
      <c r="L9" s="245">
        <f t="shared" si="4"/>
        <v>63115873.42</v>
      </c>
      <c r="M9" s="243">
        <f t="shared" si="4"/>
        <v>3195180.09</v>
      </c>
      <c r="N9" s="243">
        <f t="shared" si="4"/>
        <v>32087</v>
      </c>
      <c r="O9" s="244">
        <f t="shared" si="4"/>
        <v>4004582.2</v>
      </c>
      <c r="P9" s="243">
        <f t="shared" si="4"/>
        <v>1593819</v>
      </c>
      <c r="Q9" s="246">
        <f>Q10+Q86+Q115+Q116+Q117+Q119</f>
        <v>893973.6799999999</v>
      </c>
      <c r="R9" s="246">
        <f>R10+R86+R115+R116+R117+R119</f>
        <v>369333.61</v>
      </c>
      <c r="S9" s="247">
        <f>L9+M9+N9+O9+P9+Q9+R9</f>
        <v>73204849.00000001</v>
      </c>
    </row>
    <row r="10" spans="1:19" ht="24.75" customHeight="1" thickBot="1">
      <c r="A10" s="248" t="s">
        <v>41</v>
      </c>
      <c r="B10" s="249">
        <f aca="true" t="shared" si="5" ref="B10:S10">B11+B24+B31</f>
        <v>8407524.89</v>
      </c>
      <c r="C10" s="250">
        <f>C11+C24+C31</f>
        <v>3608556.7</v>
      </c>
      <c r="D10" s="249">
        <f t="shared" si="5"/>
        <v>8215086.290000001</v>
      </c>
      <c r="E10" s="249">
        <f t="shared" si="5"/>
        <v>8025869.890000001</v>
      </c>
      <c r="F10" s="249">
        <f t="shared" si="5"/>
        <v>3041027.4699999997</v>
      </c>
      <c r="G10" s="249">
        <f t="shared" si="5"/>
        <v>5749041.53</v>
      </c>
      <c r="H10" s="249">
        <f t="shared" si="5"/>
        <v>82561</v>
      </c>
      <c r="I10" s="249">
        <f t="shared" si="5"/>
        <v>3316842.3200000003</v>
      </c>
      <c r="J10" s="249">
        <f t="shared" si="5"/>
        <v>834192.27</v>
      </c>
      <c r="K10" s="249">
        <f t="shared" si="5"/>
        <v>0</v>
      </c>
      <c r="L10" s="251">
        <f t="shared" si="5"/>
        <v>41280702.36000001</v>
      </c>
      <c r="M10" s="249">
        <f t="shared" si="5"/>
        <v>0</v>
      </c>
      <c r="N10" s="249">
        <f t="shared" si="5"/>
        <v>0</v>
      </c>
      <c r="O10" s="250">
        <f t="shared" si="5"/>
        <v>3568162.64</v>
      </c>
      <c r="P10" s="249">
        <f t="shared" si="5"/>
        <v>897901</v>
      </c>
      <c r="Q10" s="252">
        <f t="shared" si="5"/>
        <v>0</v>
      </c>
      <c r="R10" s="249">
        <f t="shared" si="5"/>
        <v>369333.61</v>
      </c>
      <c r="S10" s="253">
        <f t="shared" si="5"/>
        <v>46116099.61000001</v>
      </c>
    </row>
    <row r="11" spans="1:19" s="260" customFormat="1" ht="18.75" customHeight="1" thickBot="1">
      <c r="A11" s="254" t="s">
        <v>82</v>
      </c>
      <c r="B11" s="255">
        <f aca="true" t="shared" si="6" ref="B11:G11">B12+B13+B14+B15+B16+B17</f>
        <v>5591307.99</v>
      </c>
      <c r="C11" s="255">
        <f t="shared" si="6"/>
        <v>2456682.96</v>
      </c>
      <c r="D11" s="255">
        <f t="shared" si="6"/>
        <v>5329446.970000001</v>
      </c>
      <c r="E11" s="255">
        <f t="shared" si="6"/>
        <v>4969723.890000001</v>
      </c>
      <c r="F11" s="255">
        <f t="shared" si="6"/>
        <v>1962039</v>
      </c>
      <c r="G11" s="255">
        <f t="shared" si="6"/>
        <v>3762078.67</v>
      </c>
      <c r="H11" s="255">
        <f>H12+H13+H14+H15+H16</f>
        <v>60760</v>
      </c>
      <c r="I11" s="255">
        <f>I12+I13+I14+I15+I16+I17</f>
        <v>1842561.76</v>
      </c>
      <c r="J11" s="255">
        <f>J12+J13+J14+J15+J16</f>
        <v>580590.27</v>
      </c>
      <c r="K11" s="255">
        <f>K12+K13+K14+K15+K16</f>
        <v>0</v>
      </c>
      <c r="L11" s="256">
        <f>SUM(B11:K11)</f>
        <v>26555191.510000005</v>
      </c>
      <c r="M11" s="255">
        <f aca="true" t="shared" si="7" ref="M11:R11">M12+M13+M14+M15+M16</f>
        <v>0</v>
      </c>
      <c r="N11" s="255">
        <f t="shared" si="7"/>
        <v>0</v>
      </c>
      <c r="O11" s="257">
        <f>O12+O13+O14+O15+O16+O17</f>
        <v>2043728.56</v>
      </c>
      <c r="P11" s="255">
        <f t="shared" si="7"/>
        <v>0</v>
      </c>
      <c r="Q11" s="257">
        <f t="shared" si="7"/>
        <v>0</v>
      </c>
      <c r="R11" s="255">
        <f t="shared" si="7"/>
        <v>0</v>
      </c>
      <c r="S11" s="258">
        <f>L11+M11+N11+O11+P11+Q11</f>
        <v>28598920.070000004</v>
      </c>
    </row>
    <row r="12" spans="1:19" s="266" customFormat="1" ht="12.75" thickBot="1">
      <c r="A12" s="261" t="s">
        <v>58</v>
      </c>
      <c r="B12" s="262">
        <f>4188073+'[33]úpravy'!C120+77410+'[33]úpravy'!C126+'[33]úpravy'!C128+'[33]úpravy'!C130+'[33]úpravy'!C132+'[33]úpravy'!C134+'[33]úpravy'!C28+'[33]úpravy'!C141+úpravy!C116+úpravy!C147</f>
        <v>5556043.99</v>
      </c>
      <c r="C12" s="263">
        <f>1572599+36606+'[32]úpravy'!C130+'[32]úpravy'!C28+'[32]úpravy'!C141+úpravy!D158</f>
        <v>2447182.96</v>
      </c>
      <c r="D12" s="255">
        <f>4049953+úpravy!E120+66040+úpravy!E126+1039922+úpravy!E128+úpravy!E28</f>
        <v>5295325.970000001</v>
      </c>
      <c r="E12" s="255">
        <f>4124651+úpravy!F124+úpravy!F125+75739+úpravy!F126+úpravy!F136+úpravy!F28+úpravy!F143</f>
        <v>4953239.890000001</v>
      </c>
      <c r="F12" s="255">
        <f>1865876+36224+úpravy!G134+úpravy!G28</f>
        <v>1948854</v>
      </c>
      <c r="G12" s="255">
        <f>3100218+58162+úpravy!H28+úpravy!H143</f>
        <v>3728096.67</v>
      </c>
      <c r="H12" s="255">
        <v>60760</v>
      </c>
      <c r="I12" s="255">
        <f>1797733+úpravy!J118+úpravy!J120+úpravy!J122+16743+úpravy!J28</f>
        <v>1817281.76</v>
      </c>
      <c r="J12" s="255">
        <f>298851+úpravy!M124+úpravy!M125+9927+úpravy!M130+úpravy!M28+úpravy!M164+úpravy!M143</f>
        <v>580590.27</v>
      </c>
      <c r="K12" s="255">
        <v>0</v>
      </c>
      <c r="L12" s="264">
        <f>SUM(B12:K12)</f>
        <v>26387375.510000005</v>
      </c>
      <c r="M12" s="255">
        <v>0</v>
      </c>
      <c r="N12" s="255">
        <v>0</v>
      </c>
      <c r="O12" s="255">
        <f>1368951+27891+úpravy!N143+úpravy!O28+úpravy!O164</f>
        <v>2074200.56</v>
      </c>
      <c r="P12" s="256"/>
      <c r="Q12" s="256">
        <v>0</v>
      </c>
      <c r="R12" s="256">
        <f>404742-404742</f>
        <v>0</v>
      </c>
      <c r="S12" s="265">
        <f>L12+SUM(M12:R12)</f>
        <v>28461576.070000004</v>
      </c>
    </row>
    <row r="13" spans="1:19" s="266" customFormat="1" ht="12">
      <c r="A13" s="267" t="s">
        <v>79</v>
      </c>
      <c r="B13" s="268">
        <f>úpravy!C93</f>
        <v>2000</v>
      </c>
      <c r="C13" s="269">
        <f>úpravy!D93</f>
        <v>6500</v>
      </c>
      <c r="D13" s="268">
        <f>úpravy!E93</f>
        <v>2000</v>
      </c>
      <c r="E13" s="268">
        <f>úpravy!F93</f>
        <v>3500</v>
      </c>
      <c r="F13" s="268">
        <f>úpravy!G93</f>
        <v>1500</v>
      </c>
      <c r="G13" s="268">
        <f>úpravy!H93</f>
        <v>2500</v>
      </c>
      <c r="H13" s="268"/>
      <c r="I13" s="268">
        <f>úpravy!J93</f>
        <v>2000</v>
      </c>
      <c r="J13" s="268"/>
      <c r="K13" s="268"/>
      <c r="L13" s="270">
        <f aca="true" t="shared" si="8" ref="L13:L20">SUM(B13:J13)</f>
        <v>20000</v>
      </c>
      <c r="M13" s="268"/>
      <c r="N13" s="268"/>
      <c r="O13" s="271">
        <v>20000</v>
      </c>
      <c r="P13" s="614">
        <f>40000-20000-20000</f>
        <v>0</v>
      </c>
      <c r="Q13" s="272"/>
      <c r="R13" s="268"/>
      <c r="S13" s="273">
        <f>L13+SUM(M13:R13)</f>
        <v>40000</v>
      </c>
    </row>
    <row r="14" spans="1:19" s="266" customFormat="1" ht="12">
      <c r="A14" s="267" t="s">
        <v>78</v>
      </c>
      <c r="B14" s="268">
        <f>úpravy!C86</f>
        <v>20280</v>
      </c>
      <c r="C14" s="268">
        <f>úpravy!D86</f>
        <v>0</v>
      </c>
      <c r="D14" s="268">
        <f>úpravy!E86</f>
        <v>20280</v>
      </c>
      <c r="E14" s="268">
        <f>úpravy!F86</f>
        <v>0</v>
      </c>
      <c r="F14" s="268">
        <f>úpravy!G86</f>
        <v>0</v>
      </c>
      <c r="G14" s="268">
        <f>úpravy!H86</f>
        <v>20280</v>
      </c>
      <c r="H14" s="268">
        <f>úpravy!I86</f>
        <v>0</v>
      </c>
      <c r="I14" s="268">
        <f>úpravy!J86</f>
        <v>20280</v>
      </c>
      <c r="J14" s="268"/>
      <c r="K14" s="268"/>
      <c r="L14" s="270">
        <f t="shared" si="8"/>
        <v>81120</v>
      </c>
      <c r="M14" s="268"/>
      <c r="N14" s="268"/>
      <c r="O14" s="274"/>
      <c r="P14" s="275"/>
      <c r="Q14" s="276">
        <f>81120+úpravy!Q86</f>
        <v>0</v>
      </c>
      <c r="R14" s="268"/>
      <c r="S14" s="273">
        <f>L14+SUM(M14:R14)</f>
        <v>81120</v>
      </c>
    </row>
    <row r="15" spans="1:19" s="266" customFormat="1" ht="12">
      <c r="A15" s="267" t="s">
        <v>170</v>
      </c>
      <c r="B15" s="32">
        <f>úpravy!C89</f>
        <v>9984</v>
      </c>
      <c r="C15" s="32">
        <f>úpravy!D89</f>
        <v>0</v>
      </c>
      <c r="D15" s="32">
        <f>úpravy!E89</f>
        <v>8841</v>
      </c>
      <c r="E15" s="32">
        <f>úpravy!F89</f>
        <v>9984</v>
      </c>
      <c r="F15" s="32">
        <f>úpravy!G89</f>
        <v>10185</v>
      </c>
      <c r="G15" s="32">
        <f>úpravy!H89</f>
        <v>8202</v>
      </c>
      <c r="H15" s="268"/>
      <c r="I15" s="268"/>
      <c r="J15" s="268">
        <v>0</v>
      </c>
      <c r="K15" s="268">
        <v>0</v>
      </c>
      <c r="L15" s="270">
        <f t="shared" si="8"/>
        <v>47196</v>
      </c>
      <c r="M15" s="268"/>
      <c r="N15" s="268"/>
      <c r="O15" s="271">
        <f>úpravy!O89</f>
        <v>-47196</v>
      </c>
      <c r="P15" s="277"/>
      <c r="Q15" s="276"/>
      <c r="R15" s="268"/>
      <c r="S15" s="273">
        <f>L15+SUM(M15:R15)</f>
        <v>0</v>
      </c>
    </row>
    <row r="16" spans="1:19" s="266" customFormat="1" ht="12">
      <c r="A16" s="267" t="s">
        <v>80</v>
      </c>
      <c r="B16" s="268"/>
      <c r="C16" s="271"/>
      <c r="D16" s="268"/>
      <c r="E16" s="268"/>
      <c r="F16" s="268"/>
      <c r="G16" s="268">
        <v>0</v>
      </c>
      <c r="H16" s="268"/>
      <c r="I16" s="268"/>
      <c r="J16" s="268"/>
      <c r="K16" s="268"/>
      <c r="L16" s="270">
        <f t="shared" si="8"/>
        <v>0</v>
      </c>
      <c r="M16" s="268"/>
      <c r="N16" s="268"/>
      <c r="O16" s="271">
        <f>úpravy!O112</f>
        <v>16224</v>
      </c>
      <c r="P16" s="278">
        <f>16224+úpravy!P112</f>
        <v>0</v>
      </c>
      <c r="Q16" s="276"/>
      <c r="R16" s="268"/>
      <c r="S16" s="273">
        <f>L16+SUM(M16:R16)</f>
        <v>16224</v>
      </c>
    </row>
    <row r="17" spans="1:19" s="266" customFormat="1" ht="12">
      <c r="A17" s="3" t="s">
        <v>267</v>
      </c>
      <c r="B17" s="268">
        <f>úpravy!C101</f>
        <v>3000</v>
      </c>
      <c r="C17" s="268">
        <f>úpravy!D101</f>
        <v>3000</v>
      </c>
      <c r="D17" s="268">
        <f>úpravy!E101</f>
        <v>3000</v>
      </c>
      <c r="E17" s="268">
        <f>úpravy!F101</f>
        <v>3000</v>
      </c>
      <c r="F17" s="268">
        <f>úpravy!G101</f>
        <v>1500</v>
      </c>
      <c r="G17" s="268">
        <f>úpravy!H101</f>
        <v>3000</v>
      </c>
      <c r="H17" s="268">
        <f>úpravy!I101</f>
        <v>0</v>
      </c>
      <c r="I17" s="268">
        <f>úpravy!J101</f>
        <v>3000</v>
      </c>
      <c r="J17" s="268"/>
      <c r="K17" s="268"/>
      <c r="L17" s="270">
        <f t="shared" si="8"/>
        <v>19500</v>
      </c>
      <c r="M17" s="268"/>
      <c r="N17" s="268"/>
      <c r="O17" s="271">
        <f>úpravy!O101</f>
        <v>-19500</v>
      </c>
      <c r="P17" s="278"/>
      <c r="Q17" s="276"/>
      <c r="R17" s="268"/>
      <c r="S17" s="273">
        <f aca="true" t="shared" si="9" ref="S17:S23">L17+SUM(M17:R17)</f>
        <v>0</v>
      </c>
    </row>
    <row r="18" spans="1:19" s="266" customFormat="1" ht="12">
      <c r="A18" s="267"/>
      <c r="B18" s="268"/>
      <c r="C18" s="271"/>
      <c r="D18" s="268"/>
      <c r="E18" s="268"/>
      <c r="F18" s="268"/>
      <c r="G18" s="268"/>
      <c r="H18" s="268"/>
      <c r="I18" s="268"/>
      <c r="J18" s="268"/>
      <c r="K18" s="268"/>
      <c r="L18" s="270">
        <f t="shared" si="8"/>
        <v>0</v>
      </c>
      <c r="M18" s="268"/>
      <c r="N18" s="268"/>
      <c r="O18" s="271"/>
      <c r="P18" s="278"/>
      <c r="Q18" s="276"/>
      <c r="R18" s="268"/>
      <c r="S18" s="273">
        <f t="shared" si="9"/>
        <v>0</v>
      </c>
    </row>
    <row r="19" spans="1:19" s="266" customFormat="1" ht="12">
      <c r="A19" s="267"/>
      <c r="B19" s="268"/>
      <c r="C19" s="271"/>
      <c r="D19" s="268"/>
      <c r="E19" s="268"/>
      <c r="F19" s="268"/>
      <c r="G19" s="268"/>
      <c r="H19" s="268"/>
      <c r="I19" s="268"/>
      <c r="J19" s="268"/>
      <c r="K19" s="268"/>
      <c r="L19" s="270">
        <f t="shared" si="8"/>
        <v>0</v>
      </c>
      <c r="M19" s="268"/>
      <c r="N19" s="268"/>
      <c r="O19" s="271"/>
      <c r="P19" s="278"/>
      <c r="Q19" s="276"/>
      <c r="R19" s="268"/>
      <c r="S19" s="273">
        <f t="shared" si="9"/>
        <v>0</v>
      </c>
    </row>
    <row r="20" spans="1:19" s="266" customFormat="1" ht="12">
      <c r="A20" s="267"/>
      <c r="B20" s="268"/>
      <c r="C20" s="271"/>
      <c r="D20" s="268"/>
      <c r="E20" s="268"/>
      <c r="F20" s="268"/>
      <c r="G20" s="268"/>
      <c r="H20" s="268"/>
      <c r="I20" s="268"/>
      <c r="J20" s="268"/>
      <c r="K20" s="268"/>
      <c r="L20" s="270">
        <f t="shared" si="8"/>
        <v>0</v>
      </c>
      <c r="M20" s="268"/>
      <c r="N20" s="268"/>
      <c r="O20" s="271"/>
      <c r="P20" s="278"/>
      <c r="Q20" s="276"/>
      <c r="R20" s="268"/>
      <c r="S20" s="273">
        <f t="shared" si="9"/>
        <v>0</v>
      </c>
    </row>
    <row r="21" spans="1:19" s="283" customFormat="1" ht="12">
      <c r="A21" s="279"/>
      <c r="B21" s="280"/>
      <c r="C21" s="281"/>
      <c r="D21" s="280" t="s">
        <v>81</v>
      </c>
      <c r="E21" s="280"/>
      <c r="F21" s="280"/>
      <c r="G21" s="280"/>
      <c r="H21" s="280"/>
      <c r="I21" s="280"/>
      <c r="J21" s="280"/>
      <c r="K21" s="280"/>
      <c r="L21" s="270">
        <f>SUM(B21:K21)</f>
        <v>0</v>
      </c>
      <c r="M21" s="280"/>
      <c r="N21" s="280"/>
      <c r="O21" s="281"/>
      <c r="P21" s="280"/>
      <c r="Q21" s="282"/>
      <c r="R21" s="280"/>
      <c r="S21" s="273">
        <f t="shared" si="9"/>
        <v>0</v>
      </c>
    </row>
    <row r="22" spans="1:19" s="283" customFormat="1" ht="12">
      <c r="A22" s="284"/>
      <c r="B22" s="285"/>
      <c r="C22" s="286"/>
      <c r="D22" s="285"/>
      <c r="E22" s="285"/>
      <c r="F22" s="285"/>
      <c r="G22" s="285"/>
      <c r="H22" s="285"/>
      <c r="I22" s="285"/>
      <c r="J22" s="285"/>
      <c r="K22" s="285"/>
      <c r="L22" s="287">
        <f>SUM(B22:K22)</f>
        <v>0</v>
      </c>
      <c r="M22" s="285"/>
      <c r="N22" s="285"/>
      <c r="O22" s="286"/>
      <c r="P22" s="285"/>
      <c r="Q22" s="288"/>
      <c r="R22" s="285"/>
      <c r="S22" s="273">
        <f t="shared" si="9"/>
        <v>0</v>
      </c>
    </row>
    <row r="23" spans="1:19" s="283" customFormat="1" ht="12.75" thickBot="1">
      <c r="A23" s="284"/>
      <c r="B23" s="285"/>
      <c r="C23" s="286"/>
      <c r="D23" s="285"/>
      <c r="E23" s="285"/>
      <c r="F23" s="285"/>
      <c r="G23" s="285"/>
      <c r="H23" s="285"/>
      <c r="I23" s="285"/>
      <c r="J23" s="285"/>
      <c r="K23" s="285"/>
      <c r="L23" s="287"/>
      <c r="M23" s="285"/>
      <c r="N23" s="285"/>
      <c r="O23" s="286"/>
      <c r="P23" s="285"/>
      <c r="Q23" s="288"/>
      <c r="R23" s="285"/>
      <c r="S23" s="273">
        <f t="shared" si="9"/>
        <v>0</v>
      </c>
    </row>
    <row r="24" spans="1:19" s="260" customFormat="1" ht="21" customHeight="1" thickBot="1">
      <c r="A24" s="289" t="s">
        <v>83</v>
      </c>
      <c r="B24" s="290">
        <f aca="true" t="shared" si="10" ref="B24:O24">SUM(B25:B30)</f>
        <v>1966033.9000000001</v>
      </c>
      <c r="C24" s="290">
        <f t="shared" si="10"/>
        <v>863678.74</v>
      </c>
      <c r="D24" s="290">
        <f t="shared" si="10"/>
        <v>1873884.32</v>
      </c>
      <c r="E24" s="290">
        <f t="shared" si="10"/>
        <v>1780126</v>
      </c>
      <c r="F24" s="290">
        <f t="shared" si="10"/>
        <v>689030.47</v>
      </c>
      <c r="G24" s="290">
        <f t="shared" si="10"/>
        <v>1321807.86</v>
      </c>
      <c r="H24" s="290">
        <f t="shared" si="10"/>
        <v>21388</v>
      </c>
      <c r="I24" s="290">
        <f t="shared" si="10"/>
        <v>648049.56</v>
      </c>
      <c r="J24" s="290">
        <f t="shared" si="10"/>
        <v>194533</v>
      </c>
      <c r="K24" s="290">
        <f t="shared" si="10"/>
        <v>0</v>
      </c>
      <c r="L24" s="290">
        <f t="shared" si="10"/>
        <v>9358531.850000001</v>
      </c>
      <c r="M24" s="290">
        <f t="shared" si="10"/>
        <v>0</v>
      </c>
      <c r="N24" s="290">
        <f t="shared" si="10"/>
        <v>0</v>
      </c>
      <c r="O24" s="290">
        <f t="shared" si="10"/>
        <v>718355.08</v>
      </c>
      <c r="P24" s="291">
        <f>SUM(P25:P29)</f>
        <v>0</v>
      </c>
      <c r="Q24" s="292">
        <f>SUM(Q25:Q29)</f>
        <v>0</v>
      </c>
      <c r="R24" s="291">
        <f>SUM(R25:R29)</f>
        <v>0</v>
      </c>
      <c r="S24" s="293">
        <f aca="true" t="shared" si="11" ref="S24:S30">L24+SUM(M24:R24)</f>
        <v>10076886.930000002</v>
      </c>
    </row>
    <row r="25" spans="1:19" s="305" customFormat="1" ht="12">
      <c r="A25" s="295" t="s">
        <v>167</v>
      </c>
      <c r="B25" s="296">
        <f>1474202+'[33]úpravy'!C121+27249+'[33]úpravy'!C127+'[33]úpravy'!C129+'[33]úpravy'!C131+'[33]úpravy'!C133+'[33]úpravy'!C135+'[33]úpravy'!C29+'[33]úpravy'!C142+úpravy!C117+úpravy!C148</f>
        <v>1953620.58</v>
      </c>
      <c r="C25" s="297">
        <f>553555+12885+'[32]úpravy'!C131+'[32]úpravy'!C29+'[32]úpravy'!C142+úpravy!D159</f>
        <v>860334.74</v>
      </c>
      <c r="D25" s="298">
        <f>1428260+23246+úpravy!E127+366053+úpravy!E129+úpravy!E29</f>
        <v>1861874.36</v>
      </c>
      <c r="E25" s="298">
        <f>1451877+26660+úpravy!F127+úpravy!F137+úpravy!F29+úpravy!F144</f>
        <v>1774323.68</v>
      </c>
      <c r="F25" s="298">
        <f>656788+12751+úpravy!G135+úpravy!G29</f>
        <v>684796.75</v>
      </c>
      <c r="G25" s="298">
        <f>1091277+20473+úpravy!H29+úpravy!H144</f>
        <v>1309846.78</v>
      </c>
      <c r="H25" s="298">
        <v>21388</v>
      </c>
      <c r="I25" s="298">
        <f>632801+úpravy!J119+úpravy!J121+úpravy!J123+5893+úpravy!J29</f>
        <v>639150.56</v>
      </c>
      <c r="J25" s="298">
        <f>105194+3495+úpravy!M131+úpravy!M29+úpravy!M165+úpravy!M144</f>
        <v>194533</v>
      </c>
      <c r="K25" s="298">
        <v>0</v>
      </c>
      <c r="L25" s="299">
        <f>SUM(B25:K25)</f>
        <v>9299868.450000001</v>
      </c>
      <c r="M25" s="300">
        <v>0</v>
      </c>
      <c r="N25" s="300">
        <v>0</v>
      </c>
      <c r="O25" s="301">
        <f>481871+3+9817+úpravy!N144+úpravy!O29+úpravy!O165</f>
        <v>728673.48</v>
      </c>
      <c r="P25" s="302">
        <v>0</v>
      </c>
      <c r="Q25" s="303">
        <v>0</v>
      </c>
      <c r="R25" s="300">
        <f>142469-142469</f>
        <v>0</v>
      </c>
      <c r="S25" s="304">
        <f t="shared" si="11"/>
        <v>10028541.930000002</v>
      </c>
    </row>
    <row r="26" spans="1:19" s="305" customFormat="1" ht="12">
      <c r="A26" s="306" t="s">
        <v>79</v>
      </c>
      <c r="B26" s="307">
        <f>úpravy!C94</f>
        <v>704</v>
      </c>
      <c r="C26" s="308">
        <f>úpravy!D94</f>
        <v>2288</v>
      </c>
      <c r="D26" s="309">
        <f>úpravy!E94</f>
        <v>704</v>
      </c>
      <c r="E26" s="309">
        <f>úpravy!F94</f>
        <v>1232</v>
      </c>
      <c r="F26" s="309">
        <f>úpravy!G94</f>
        <v>528</v>
      </c>
      <c r="G26" s="309">
        <f>úpravy!H94</f>
        <v>880</v>
      </c>
      <c r="H26" s="309"/>
      <c r="I26" s="309">
        <f>úpravy!J94</f>
        <v>704</v>
      </c>
      <c r="J26" s="309"/>
      <c r="K26" s="309"/>
      <c r="L26" s="310">
        <f>SUM(B26:J26)</f>
        <v>7040</v>
      </c>
      <c r="M26" s="309"/>
      <c r="N26" s="309"/>
      <c r="O26" s="311">
        <v>7040</v>
      </c>
      <c r="P26" s="613">
        <f>14080-7040-7040</f>
        <v>0</v>
      </c>
      <c r="Q26" s="312"/>
      <c r="R26" s="309"/>
      <c r="S26" s="313">
        <f t="shared" si="11"/>
        <v>14080</v>
      </c>
    </row>
    <row r="27" spans="1:19" s="283" customFormat="1" ht="12">
      <c r="A27" s="267" t="s">
        <v>78</v>
      </c>
      <c r="B27" s="314">
        <f>úpravy!C87</f>
        <v>7139</v>
      </c>
      <c r="C27" s="314">
        <f>úpravy!D87</f>
        <v>0</v>
      </c>
      <c r="D27" s="314">
        <f>úpravy!E87</f>
        <v>7138</v>
      </c>
      <c r="E27" s="314">
        <f>úpravy!F87</f>
        <v>0</v>
      </c>
      <c r="F27" s="314">
        <f>úpravy!G87</f>
        <v>0</v>
      </c>
      <c r="G27" s="314">
        <f>úpravy!H87</f>
        <v>7138</v>
      </c>
      <c r="H27" s="314">
        <f>úpravy!I87</f>
        <v>0</v>
      </c>
      <c r="I27" s="314">
        <f>úpravy!J87</f>
        <v>7139</v>
      </c>
      <c r="J27" s="307"/>
      <c r="K27" s="307"/>
      <c r="L27" s="270">
        <f>SUM(B27:J27)</f>
        <v>28554</v>
      </c>
      <c r="M27" s="314"/>
      <c r="N27" s="314"/>
      <c r="O27" s="315"/>
      <c r="P27" s="275"/>
      <c r="Q27" s="316">
        <f>28554+úpravy!Q87</f>
        <v>0</v>
      </c>
      <c r="R27" s="314"/>
      <c r="S27" s="273">
        <f t="shared" si="11"/>
        <v>28554</v>
      </c>
    </row>
    <row r="28" spans="1:19" s="305" customFormat="1" ht="12">
      <c r="A28" s="267" t="s">
        <v>80</v>
      </c>
      <c r="B28" s="307"/>
      <c r="C28" s="317"/>
      <c r="D28" s="307"/>
      <c r="E28" s="307"/>
      <c r="F28" s="307"/>
      <c r="G28" s="307"/>
      <c r="H28" s="307"/>
      <c r="I28" s="307"/>
      <c r="J28" s="307"/>
      <c r="K28" s="307"/>
      <c r="L28" s="318">
        <f>SUM(B28:J28)</f>
        <v>0</v>
      </c>
      <c r="M28" s="307"/>
      <c r="N28" s="307"/>
      <c r="O28" s="317">
        <f>úpravy!O113</f>
        <v>5711</v>
      </c>
      <c r="P28" s="319">
        <f>5711+úpravy!P113</f>
        <v>0</v>
      </c>
      <c r="Q28" s="320"/>
      <c r="R28" s="307"/>
      <c r="S28" s="273">
        <f t="shared" si="11"/>
        <v>5711</v>
      </c>
    </row>
    <row r="29" spans="1:19" s="305" customFormat="1" ht="12">
      <c r="A29" s="321" t="s">
        <v>171</v>
      </c>
      <c r="B29" s="322">
        <f>úpravy!C90</f>
        <v>3514.32</v>
      </c>
      <c r="C29" s="322">
        <f>úpravy!D90</f>
        <v>0</v>
      </c>
      <c r="D29" s="322">
        <f>úpravy!E90</f>
        <v>3111.96</v>
      </c>
      <c r="E29" s="322">
        <f>úpravy!F90</f>
        <v>3514.32</v>
      </c>
      <c r="F29" s="322">
        <f>úpravy!G90</f>
        <v>3177.72</v>
      </c>
      <c r="G29" s="322">
        <f>úpravy!H90</f>
        <v>2887.08</v>
      </c>
      <c r="H29" s="322">
        <f>'[31]úpravy'!I90</f>
        <v>0</v>
      </c>
      <c r="I29" s="322">
        <f>'[31]úpravy'!J90</f>
        <v>0</v>
      </c>
      <c r="J29" s="322">
        <v>0</v>
      </c>
      <c r="K29" s="322">
        <v>0</v>
      </c>
      <c r="L29" s="318">
        <f>SUM(B29:J29)</f>
        <v>16205.4</v>
      </c>
      <c r="M29" s="322"/>
      <c r="N29" s="322"/>
      <c r="O29" s="323">
        <f>úpravy!O90</f>
        <v>-16205.4</v>
      </c>
      <c r="P29" s="324"/>
      <c r="Q29" s="325"/>
      <c r="R29" s="322"/>
      <c r="S29" s="273">
        <f t="shared" si="11"/>
        <v>0</v>
      </c>
    </row>
    <row r="30" spans="1:19" s="305" customFormat="1" ht="12.75" thickBot="1">
      <c r="A30" s="3" t="s">
        <v>267</v>
      </c>
      <c r="B30" s="326">
        <f>úpravy!C102</f>
        <v>1056</v>
      </c>
      <c r="C30" s="326">
        <f>úpravy!D102</f>
        <v>1056</v>
      </c>
      <c r="D30" s="326">
        <f>úpravy!E102</f>
        <v>1056</v>
      </c>
      <c r="E30" s="326">
        <f>úpravy!F102</f>
        <v>1056</v>
      </c>
      <c r="F30" s="326">
        <f>úpravy!G102</f>
        <v>528</v>
      </c>
      <c r="G30" s="326">
        <f>úpravy!H102</f>
        <v>1056</v>
      </c>
      <c r="H30" s="326">
        <f>úpravy!I102</f>
        <v>0</v>
      </c>
      <c r="I30" s="326">
        <f>úpravy!J102</f>
        <v>1056</v>
      </c>
      <c r="J30" s="326"/>
      <c r="K30" s="326"/>
      <c r="L30" s="318">
        <f>SUM(B30:J30)</f>
        <v>6864</v>
      </c>
      <c r="M30" s="326"/>
      <c r="N30" s="326"/>
      <c r="O30" s="327">
        <f>úpravy!O102</f>
        <v>-6864</v>
      </c>
      <c r="P30" s="328"/>
      <c r="Q30" s="328"/>
      <c r="R30" s="327"/>
      <c r="S30" s="273">
        <f t="shared" si="11"/>
        <v>0</v>
      </c>
    </row>
    <row r="31" spans="1:19" s="260" customFormat="1" ht="18.75" customHeight="1" thickBot="1">
      <c r="A31" s="329" t="s">
        <v>86</v>
      </c>
      <c r="B31" s="330">
        <f>SUM(B32:B33)+B48</f>
        <v>850183</v>
      </c>
      <c r="C31" s="331">
        <f>C32+C33+C34+C48</f>
        <v>288195</v>
      </c>
      <c r="D31" s="330">
        <f aca="true" t="shared" si="12" ref="D31:I31">SUM(D32:D33)+D48</f>
        <v>1011755</v>
      </c>
      <c r="E31" s="330">
        <f t="shared" si="12"/>
        <v>1276020</v>
      </c>
      <c r="F31" s="330">
        <f t="shared" si="12"/>
        <v>389958</v>
      </c>
      <c r="G31" s="330">
        <f t="shared" si="12"/>
        <v>665155</v>
      </c>
      <c r="H31" s="330">
        <f t="shared" si="12"/>
        <v>413</v>
      </c>
      <c r="I31" s="330">
        <f t="shared" si="12"/>
        <v>826231</v>
      </c>
      <c r="J31" s="330">
        <f>SUM(J32:J33)</f>
        <v>59069</v>
      </c>
      <c r="K31" s="330">
        <f>SUM(K32:K33)</f>
        <v>0</v>
      </c>
      <c r="L31" s="332">
        <f>SUM(B31:K31)</f>
        <v>5366979</v>
      </c>
      <c r="M31" s="330">
        <f>SUM(M32:M33)</f>
        <v>0</v>
      </c>
      <c r="N31" s="330">
        <f>SUM(N32:N33)</f>
        <v>0</v>
      </c>
      <c r="O31" s="331">
        <f>SUM(O32:O33)+O48</f>
        <v>806079</v>
      </c>
      <c r="P31" s="331">
        <f>SUM(P32:P63)</f>
        <v>897901</v>
      </c>
      <c r="Q31" s="331">
        <f>SUM(Q32:Q63)</f>
        <v>0</v>
      </c>
      <c r="R31" s="331">
        <f>SUM(R32:R33)+R48</f>
        <v>369333.61</v>
      </c>
      <c r="S31" s="333">
        <f aca="true" t="shared" si="13" ref="S31:S70">L31+SUM(M31:R31)</f>
        <v>7440292.609999999</v>
      </c>
    </row>
    <row r="32" spans="1:19" s="340" customFormat="1" ht="12">
      <c r="A32" s="334" t="s">
        <v>87</v>
      </c>
      <c r="B32" s="335">
        <v>828372</v>
      </c>
      <c r="C32" s="336">
        <f>327732+úpravy!D160+úpravy!D149</f>
        <v>233492</v>
      </c>
      <c r="D32" s="335">
        <f>830254+úpravy!E149</f>
        <v>996254</v>
      </c>
      <c r="E32" s="335">
        <f>647302+úpravy!F145</f>
        <v>1255739</v>
      </c>
      <c r="F32" s="335">
        <v>383325</v>
      </c>
      <c r="G32" s="335">
        <v>646345</v>
      </c>
      <c r="H32" s="335">
        <v>413</v>
      </c>
      <c r="I32" s="335">
        <f>471924+úpravy!J145</f>
        <v>821924</v>
      </c>
      <c r="J32" s="335">
        <v>59069</v>
      </c>
      <c r="K32" s="335"/>
      <c r="L32" s="337">
        <f>SUM(B32:K32)</f>
        <v>5224933</v>
      </c>
      <c r="M32" s="335">
        <v>0</v>
      </c>
      <c r="N32" s="335">
        <v>0</v>
      </c>
      <c r="O32" s="335">
        <v>693986</v>
      </c>
      <c r="P32" s="335"/>
      <c r="Q32" s="335"/>
      <c r="R32" s="338">
        <f>úpravy!R34+úpravy!R44+úpravy!R45+úpravy!R145</f>
        <v>362596</v>
      </c>
      <c r="S32" s="339">
        <f t="shared" si="13"/>
        <v>6281515</v>
      </c>
    </row>
    <row r="33" spans="1:19" s="340" customFormat="1" ht="12">
      <c r="A33" s="267" t="s">
        <v>166</v>
      </c>
      <c r="B33" s="341"/>
      <c r="C33" s="341"/>
      <c r="D33" s="341"/>
      <c r="E33" s="341"/>
      <c r="F33" s="341"/>
      <c r="G33" s="341"/>
      <c r="H33" s="341"/>
      <c r="I33" s="341"/>
      <c r="J33" s="342"/>
      <c r="K33" s="341"/>
      <c r="L33" s="343">
        <f>SUM(B33:K33)</f>
        <v>0</v>
      </c>
      <c r="M33" s="344"/>
      <c r="N33" s="345"/>
      <c r="O33" s="344">
        <v>100000</v>
      </c>
      <c r="P33" s="344"/>
      <c r="Q33" s="344"/>
      <c r="R33" s="345"/>
      <c r="S33" s="346">
        <f t="shared" si="13"/>
        <v>100000</v>
      </c>
    </row>
    <row r="34" spans="1:19" s="340" customFormat="1" ht="12">
      <c r="A34" s="267" t="s">
        <v>223</v>
      </c>
      <c r="B34" s="344"/>
      <c r="C34" s="344">
        <v>44000</v>
      </c>
      <c r="D34" s="344"/>
      <c r="E34" s="344"/>
      <c r="F34" s="344"/>
      <c r="G34" s="344"/>
      <c r="H34" s="344"/>
      <c r="I34" s="344"/>
      <c r="J34" s="345"/>
      <c r="K34" s="344"/>
      <c r="L34" s="346">
        <f>C34</f>
        <v>44000</v>
      </c>
      <c r="M34" s="344"/>
      <c r="N34" s="345"/>
      <c r="O34" s="344"/>
      <c r="P34" s="344"/>
      <c r="Q34" s="344"/>
      <c r="R34" s="345"/>
      <c r="S34" s="346">
        <f>L34</f>
        <v>44000</v>
      </c>
    </row>
    <row r="35" spans="1:19" s="340" customFormat="1" ht="12">
      <c r="A35" s="267" t="s">
        <v>222</v>
      </c>
      <c r="B35" s="344"/>
      <c r="C35" s="344"/>
      <c r="D35" s="344"/>
      <c r="E35" s="344"/>
      <c r="F35" s="344"/>
      <c r="G35" s="344"/>
      <c r="H35" s="344"/>
      <c r="I35" s="344"/>
      <c r="J35" s="345"/>
      <c r="K35" s="344"/>
      <c r="L35" s="346">
        <v>0</v>
      </c>
      <c r="M35" s="344"/>
      <c r="N35" s="345"/>
      <c r="O35" s="344"/>
      <c r="P35" s="344">
        <v>45320</v>
      </c>
      <c r="Q35" s="344"/>
      <c r="R35" s="345"/>
      <c r="S35" s="346">
        <f>P35</f>
        <v>45320</v>
      </c>
    </row>
    <row r="36" spans="1:19" s="340" customFormat="1" ht="12">
      <c r="A36" s="267" t="s">
        <v>224</v>
      </c>
      <c r="B36" s="344"/>
      <c r="C36" s="344"/>
      <c r="D36" s="344"/>
      <c r="E36" s="344"/>
      <c r="F36" s="344"/>
      <c r="G36" s="344"/>
      <c r="H36" s="344"/>
      <c r="I36" s="344"/>
      <c r="J36" s="345"/>
      <c r="K36" s="344"/>
      <c r="L36" s="346">
        <v>0</v>
      </c>
      <c r="M36" s="344"/>
      <c r="N36" s="345"/>
      <c r="O36" s="344"/>
      <c r="P36" s="344">
        <v>15000</v>
      </c>
      <c r="Q36" s="344"/>
      <c r="R36" s="345"/>
      <c r="S36" s="346">
        <f>P36</f>
        <v>15000</v>
      </c>
    </row>
    <row r="37" spans="1:19" s="340" customFormat="1" ht="12">
      <c r="A37" s="347" t="s">
        <v>205</v>
      </c>
      <c r="B37" s="344"/>
      <c r="C37" s="344"/>
      <c r="D37" s="344"/>
      <c r="E37" s="344"/>
      <c r="F37" s="344"/>
      <c r="G37" s="344"/>
      <c r="H37" s="344"/>
      <c r="I37" s="344"/>
      <c r="J37" s="345"/>
      <c r="K37" s="344"/>
      <c r="L37" s="346"/>
      <c r="M37" s="344"/>
      <c r="N37" s="345"/>
      <c r="O37" s="344"/>
      <c r="P37" s="344">
        <v>509045</v>
      </c>
      <c r="Q37" s="344"/>
      <c r="R37" s="345"/>
      <c r="S37" s="346">
        <f t="shared" si="13"/>
        <v>509045</v>
      </c>
    </row>
    <row r="38" spans="1:19" s="340" customFormat="1" ht="12">
      <c r="A38" s="267" t="s">
        <v>206</v>
      </c>
      <c r="B38" s="344"/>
      <c r="C38" s="344"/>
      <c r="D38" s="344"/>
      <c r="E38" s="344"/>
      <c r="F38" s="344"/>
      <c r="G38" s="344"/>
      <c r="H38" s="344"/>
      <c r="I38" s="344"/>
      <c r="J38" s="345"/>
      <c r="K38" s="344"/>
      <c r="L38" s="346"/>
      <c r="M38" s="344"/>
      <c r="N38" s="345"/>
      <c r="O38" s="344"/>
      <c r="P38" s="344">
        <v>4000</v>
      </c>
      <c r="Q38" s="344"/>
      <c r="R38" s="345"/>
      <c r="S38" s="346">
        <f t="shared" si="13"/>
        <v>4000</v>
      </c>
    </row>
    <row r="39" spans="1:19" s="340" customFormat="1" ht="24">
      <c r="A39" s="267" t="s">
        <v>207</v>
      </c>
      <c r="B39" s="344"/>
      <c r="C39" s="344"/>
      <c r="D39" s="344"/>
      <c r="E39" s="344"/>
      <c r="F39" s="344"/>
      <c r="G39" s="344"/>
      <c r="H39" s="344"/>
      <c r="I39" s="344"/>
      <c r="J39" s="345"/>
      <c r="K39" s="344"/>
      <c r="L39" s="346"/>
      <c r="M39" s="344"/>
      <c r="N39" s="345"/>
      <c r="O39" s="344"/>
      <c r="P39" s="344">
        <v>40000</v>
      </c>
      <c r="Q39" s="344"/>
      <c r="R39" s="345"/>
      <c r="S39" s="346">
        <f t="shared" si="13"/>
        <v>40000</v>
      </c>
    </row>
    <row r="40" spans="1:19" s="340" customFormat="1" ht="12">
      <c r="A40" s="267" t="s">
        <v>208</v>
      </c>
      <c r="B40" s="344">
        <f>7000+2464</f>
        <v>9464</v>
      </c>
      <c r="C40" s="344"/>
      <c r="D40" s="344"/>
      <c r="E40" s="344"/>
      <c r="F40" s="344"/>
      <c r="G40" s="344"/>
      <c r="H40" s="344"/>
      <c r="I40" s="344"/>
      <c r="J40" s="345"/>
      <c r="K40" s="344"/>
      <c r="L40" s="346"/>
      <c r="M40" s="344"/>
      <c r="N40" s="345"/>
      <c r="O40" s="344"/>
      <c r="P40" s="344">
        <f>60000-7000-2464</f>
        <v>50536</v>
      </c>
      <c r="Q40" s="344"/>
      <c r="R40" s="345"/>
      <c r="S40" s="346">
        <f t="shared" si="13"/>
        <v>50536</v>
      </c>
    </row>
    <row r="41" spans="1:19" s="340" customFormat="1" ht="12">
      <c r="A41" s="267" t="s">
        <v>209</v>
      </c>
      <c r="B41" s="344"/>
      <c r="C41" s="344"/>
      <c r="D41" s="344"/>
      <c r="E41" s="344"/>
      <c r="F41" s="344"/>
      <c r="G41" s="344"/>
      <c r="H41" s="344"/>
      <c r="I41" s="344"/>
      <c r="J41" s="345"/>
      <c r="K41" s="344"/>
      <c r="L41" s="346"/>
      <c r="M41" s="344"/>
      <c r="N41" s="345"/>
      <c r="O41" s="344"/>
      <c r="P41" s="344">
        <f>26000-26000</f>
        <v>0</v>
      </c>
      <c r="Q41" s="344"/>
      <c r="R41" s="345"/>
      <c r="S41" s="346">
        <f t="shared" si="13"/>
        <v>0</v>
      </c>
    </row>
    <row r="42" spans="1:19" s="340" customFormat="1" ht="12">
      <c r="A42" s="267" t="s">
        <v>210</v>
      </c>
      <c r="B42" s="344"/>
      <c r="C42" s="344"/>
      <c r="D42" s="344"/>
      <c r="E42" s="344"/>
      <c r="F42" s="344"/>
      <c r="G42" s="344"/>
      <c r="H42" s="344"/>
      <c r="I42" s="344"/>
      <c r="J42" s="345"/>
      <c r="K42" s="344"/>
      <c r="L42" s="346"/>
      <c r="M42" s="344"/>
      <c r="N42" s="345"/>
      <c r="O42" s="344"/>
      <c r="P42" s="344">
        <v>5000</v>
      </c>
      <c r="Q42" s="344"/>
      <c r="R42" s="345"/>
      <c r="S42" s="346">
        <f t="shared" si="13"/>
        <v>5000</v>
      </c>
    </row>
    <row r="43" spans="1:19" s="340" customFormat="1" ht="12">
      <c r="A43" s="267" t="s">
        <v>211</v>
      </c>
      <c r="B43" s="344"/>
      <c r="C43" s="344"/>
      <c r="D43" s="344"/>
      <c r="E43" s="344"/>
      <c r="F43" s="344"/>
      <c r="G43" s="344"/>
      <c r="H43" s="344"/>
      <c r="I43" s="344"/>
      <c r="J43" s="345"/>
      <c r="K43" s="344"/>
      <c r="L43" s="346"/>
      <c r="M43" s="344"/>
      <c r="N43" s="345"/>
      <c r="O43" s="344"/>
      <c r="P43" s="344">
        <v>20000</v>
      </c>
      <c r="Q43" s="344"/>
      <c r="R43" s="345"/>
      <c r="S43" s="346">
        <f t="shared" si="13"/>
        <v>20000</v>
      </c>
    </row>
    <row r="44" spans="1:19" s="340" customFormat="1" ht="12">
      <c r="A44" s="267" t="s">
        <v>212</v>
      </c>
      <c r="B44" s="344"/>
      <c r="C44" s="344"/>
      <c r="D44" s="344"/>
      <c r="E44" s="344"/>
      <c r="F44" s="344"/>
      <c r="G44" s="344"/>
      <c r="H44" s="344"/>
      <c r="I44" s="344"/>
      <c r="J44" s="345"/>
      <c r="K44" s="344"/>
      <c r="L44" s="346"/>
      <c r="M44" s="344"/>
      <c r="N44" s="345"/>
      <c r="O44" s="344"/>
      <c r="P44" s="344">
        <v>50000</v>
      </c>
      <c r="Q44" s="344"/>
      <c r="R44" s="345"/>
      <c r="S44" s="346">
        <f t="shared" si="13"/>
        <v>50000</v>
      </c>
    </row>
    <row r="45" spans="1:19" s="340" customFormat="1" ht="12">
      <c r="A45" s="267" t="s">
        <v>213</v>
      </c>
      <c r="B45" s="344"/>
      <c r="C45" s="344"/>
      <c r="D45" s="344"/>
      <c r="E45" s="344"/>
      <c r="F45" s="344"/>
      <c r="G45" s="344"/>
      <c r="H45" s="344"/>
      <c r="I45" s="344"/>
      <c r="J45" s="345"/>
      <c r="K45" s="344"/>
      <c r="L45" s="346"/>
      <c r="M45" s="344"/>
      <c r="N45" s="345"/>
      <c r="O45" s="344"/>
      <c r="P45" s="344">
        <v>40000</v>
      </c>
      <c r="Q45" s="344"/>
      <c r="R45" s="345"/>
      <c r="S45" s="346">
        <f t="shared" si="13"/>
        <v>40000</v>
      </c>
    </row>
    <row r="46" spans="1:19" s="340" customFormat="1" ht="12">
      <c r="A46" s="267" t="s">
        <v>214</v>
      </c>
      <c r="B46" s="344"/>
      <c r="C46" s="344"/>
      <c r="D46" s="344"/>
      <c r="E46" s="344"/>
      <c r="F46" s="344"/>
      <c r="G46" s="344"/>
      <c r="H46" s="344"/>
      <c r="I46" s="344"/>
      <c r="J46" s="345"/>
      <c r="K46" s="344"/>
      <c r="L46" s="346"/>
      <c r="M46" s="344"/>
      <c r="N46" s="345"/>
      <c r="O46" s="344"/>
      <c r="P46" s="344">
        <v>105000</v>
      </c>
      <c r="Q46" s="344"/>
      <c r="R46" s="345"/>
      <c r="S46" s="346">
        <f t="shared" si="13"/>
        <v>105000</v>
      </c>
    </row>
    <row r="47" spans="1:19" s="340" customFormat="1" ht="12">
      <c r="A47" s="267" t="s">
        <v>215</v>
      </c>
      <c r="B47" s="344"/>
      <c r="C47" s="344"/>
      <c r="D47" s="344"/>
      <c r="E47" s="344"/>
      <c r="F47" s="344"/>
      <c r="G47" s="344"/>
      <c r="H47" s="344"/>
      <c r="I47" s="344"/>
      <c r="J47" s="345"/>
      <c r="K47" s="344"/>
      <c r="L47" s="346"/>
      <c r="M47" s="344"/>
      <c r="N47" s="345"/>
      <c r="O47" s="344"/>
      <c r="P47" s="344">
        <v>14000</v>
      </c>
      <c r="Q47" s="344"/>
      <c r="R47" s="345"/>
      <c r="S47" s="346">
        <f t="shared" si="13"/>
        <v>14000</v>
      </c>
    </row>
    <row r="48" spans="1:19" s="340" customFormat="1" ht="12.75" thickBot="1">
      <c r="A48" s="267" t="s">
        <v>274</v>
      </c>
      <c r="B48" s="268">
        <f>úpravy!C40+úpravy!C43</f>
        <v>21811</v>
      </c>
      <c r="C48" s="271">
        <f>úpravy!D40+úpravy!D43</f>
        <v>10703</v>
      </c>
      <c r="D48" s="271">
        <f>úpravy!E40+úpravy!E43</f>
        <v>15501</v>
      </c>
      <c r="E48" s="271">
        <f>úpravy!F40+úpravy!F43</f>
        <v>20281</v>
      </c>
      <c r="F48" s="271">
        <f>úpravy!G40+úpravy!G43</f>
        <v>6633</v>
      </c>
      <c r="G48" s="271">
        <f>úpravy!H40+úpravy!H43</f>
        <v>18810</v>
      </c>
      <c r="H48" s="271"/>
      <c r="I48" s="271">
        <f>úpravy!J40+úpravy!J43</f>
        <v>4307</v>
      </c>
      <c r="J48" s="271"/>
      <c r="K48" s="271"/>
      <c r="L48" s="348">
        <f>SUM(B48:K48)</f>
        <v>98046</v>
      </c>
      <c r="M48" s="268"/>
      <c r="N48" s="268"/>
      <c r="O48" s="271">
        <f>úpravy!O40+úpravy!O43</f>
        <v>12093</v>
      </c>
      <c r="P48" s="268"/>
      <c r="Q48" s="276"/>
      <c r="R48" s="268">
        <f>úpravy!R43+úpravy!R168</f>
        <v>6737.61</v>
      </c>
      <c r="S48" s="348">
        <f>SUM(L48:R48)</f>
        <v>116876.61</v>
      </c>
    </row>
    <row r="49" spans="1:19" s="340" customFormat="1" ht="12.75" hidden="1" thickBot="1">
      <c r="A49" s="267"/>
      <c r="B49" s="268"/>
      <c r="C49" s="271"/>
      <c r="D49" s="271"/>
      <c r="E49" s="271"/>
      <c r="F49" s="271"/>
      <c r="G49" s="271"/>
      <c r="H49" s="271"/>
      <c r="I49" s="271"/>
      <c r="J49" s="271"/>
      <c r="K49" s="271"/>
      <c r="L49" s="348"/>
      <c r="M49" s="268"/>
      <c r="N49" s="268"/>
      <c r="O49" s="271"/>
      <c r="P49" s="268"/>
      <c r="Q49" s="276"/>
      <c r="R49" s="268"/>
      <c r="S49" s="348">
        <f t="shared" si="13"/>
        <v>0</v>
      </c>
    </row>
    <row r="50" spans="1:19" s="340" customFormat="1" ht="12.75" hidden="1" thickBot="1">
      <c r="A50" s="267"/>
      <c r="B50" s="268"/>
      <c r="C50" s="271"/>
      <c r="D50" s="271"/>
      <c r="E50" s="271"/>
      <c r="F50" s="271"/>
      <c r="G50" s="271"/>
      <c r="H50" s="271"/>
      <c r="I50" s="271"/>
      <c r="J50" s="271"/>
      <c r="K50" s="271"/>
      <c r="L50" s="348"/>
      <c r="M50" s="268"/>
      <c r="N50" s="268"/>
      <c r="O50" s="271"/>
      <c r="P50" s="268"/>
      <c r="Q50" s="276"/>
      <c r="R50" s="268"/>
      <c r="S50" s="348">
        <f t="shared" si="13"/>
        <v>0</v>
      </c>
    </row>
    <row r="51" spans="1:19" s="340" customFormat="1" ht="12.75" hidden="1" thickBot="1">
      <c r="A51" s="267"/>
      <c r="B51" s="268"/>
      <c r="C51" s="271"/>
      <c r="D51" s="271"/>
      <c r="E51" s="271"/>
      <c r="F51" s="271"/>
      <c r="G51" s="271"/>
      <c r="H51" s="271"/>
      <c r="I51" s="271"/>
      <c r="J51" s="271"/>
      <c r="K51" s="271"/>
      <c r="L51" s="348"/>
      <c r="M51" s="268"/>
      <c r="N51" s="268"/>
      <c r="O51" s="271"/>
      <c r="P51" s="268"/>
      <c r="Q51" s="276"/>
      <c r="R51" s="268"/>
      <c r="S51" s="348">
        <f t="shared" si="13"/>
        <v>0</v>
      </c>
    </row>
    <row r="52" spans="1:19" s="340" customFormat="1" ht="12.75" hidden="1" thickBot="1">
      <c r="A52" s="267"/>
      <c r="B52" s="268"/>
      <c r="C52" s="271"/>
      <c r="D52" s="271"/>
      <c r="E52" s="271"/>
      <c r="F52" s="271"/>
      <c r="G52" s="271"/>
      <c r="H52" s="271"/>
      <c r="I52" s="271"/>
      <c r="J52" s="271"/>
      <c r="K52" s="271"/>
      <c r="L52" s="348"/>
      <c r="M52" s="268"/>
      <c r="N52" s="268"/>
      <c r="O52" s="271"/>
      <c r="P52" s="268"/>
      <c r="Q52" s="276"/>
      <c r="R52" s="268"/>
      <c r="S52" s="348">
        <f t="shared" si="13"/>
        <v>0</v>
      </c>
    </row>
    <row r="53" spans="1:19" s="340" customFormat="1" ht="12.75" hidden="1" thickBot="1">
      <c r="A53" s="267"/>
      <c r="B53" s="268"/>
      <c r="C53" s="271"/>
      <c r="D53" s="271"/>
      <c r="E53" s="271"/>
      <c r="F53" s="271"/>
      <c r="G53" s="271"/>
      <c r="H53" s="271"/>
      <c r="I53" s="271"/>
      <c r="J53" s="271"/>
      <c r="K53" s="271"/>
      <c r="L53" s="348"/>
      <c r="M53" s="268"/>
      <c r="N53" s="268"/>
      <c r="O53" s="271"/>
      <c r="P53" s="268"/>
      <c r="Q53" s="276"/>
      <c r="R53" s="268"/>
      <c r="S53" s="348">
        <f t="shared" si="13"/>
        <v>0</v>
      </c>
    </row>
    <row r="54" spans="1:19" s="340" customFormat="1" ht="12.75" hidden="1" thickBot="1">
      <c r="A54" s="267"/>
      <c r="B54" s="268"/>
      <c r="C54" s="271"/>
      <c r="D54" s="271"/>
      <c r="E54" s="271"/>
      <c r="F54" s="271"/>
      <c r="G54" s="271"/>
      <c r="H54" s="271"/>
      <c r="I54" s="271"/>
      <c r="J54" s="271"/>
      <c r="K54" s="271"/>
      <c r="L54" s="348"/>
      <c r="M54" s="268"/>
      <c r="N54" s="268"/>
      <c r="O54" s="271"/>
      <c r="P54" s="268"/>
      <c r="Q54" s="276"/>
      <c r="R54" s="268"/>
      <c r="S54" s="348">
        <f t="shared" si="13"/>
        <v>0</v>
      </c>
    </row>
    <row r="55" spans="1:19" s="340" customFormat="1" ht="12.75" hidden="1" thickBot="1">
      <c r="A55" s="267"/>
      <c r="B55" s="268"/>
      <c r="C55" s="271"/>
      <c r="D55" s="271"/>
      <c r="E55" s="271"/>
      <c r="F55" s="271"/>
      <c r="G55" s="271"/>
      <c r="H55" s="271"/>
      <c r="I55" s="271"/>
      <c r="J55" s="271"/>
      <c r="K55" s="271"/>
      <c r="L55" s="348"/>
      <c r="M55" s="268"/>
      <c r="N55" s="268"/>
      <c r="O55" s="271"/>
      <c r="P55" s="268"/>
      <c r="Q55" s="276"/>
      <c r="R55" s="268"/>
      <c r="S55" s="348">
        <f t="shared" si="13"/>
        <v>0</v>
      </c>
    </row>
    <row r="56" spans="1:19" s="340" customFormat="1" ht="12.75" hidden="1" thickBot="1">
      <c r="A56" s="267"/>
      <c r="B56" s="268"/>
      <c r="C56" s="271"/>
      <c r="D56" s="271"/>
      <c r="E56" s="271"/>
      <c r="F56" s="271"/>
      <c r="G56" s="271"/>
      <c r="H56" s="271"/>
      <c r="I56" s="271"/>
      <c r="J56" s="271"/>
      <c r="K56" s="271"/>
      <c r="L56" s="348"/>
      <c r="M56" s="268"/>
      <c r="N56" s="268"/>
      <c r="O56" s="271"/>
      <c r="P56" s="268"/>
      <c r="Q56" s="276"/>
      <c r="R56" s="268"/>
      <c r="S56" s="348">
        <f t="shared" si="13"/>
        <v>0</v>
      </c>
    </row>
    <row r="57" spans="1:19" s="340" customFormat="1" ht="12.75" hidden="1" thickBot="1">
      <c r="A57" s="267"/>
      <c r="B57" s="268"/>
      <c r="C57" s="271"/>
      <c r="D57" s="271"/>
      <c r="E57" s="271"/>
      <c r="F57" s="271"/>
      <c r="G57" s="271"/>
      <c r="H57" s="271"/>
      <c r="I57" s="271"/>
      <c r="J57" s="271"/>
      <c r="K57" s="271"/>
      <c r="L57" s="348"/>
      <c r="M57" s="268"/>
      <c r="N57" s="268"/>
      <c r="O57" s="271"/>
      <c r="P57" s="268"/>
      <c r="Q57" s="276"/>
      <c r="R57" s="268"/>
      <c r="S57" s="348">
        <f t="shared" si="13"/>
        <v>0</v>
      </c>
    </row>
    <row r="58" spans="1:19" s="340" customFormat="1" ht="12.75" hidden="1" thickBot="1">
      <c r="A58" s="267"/>
      <c r="B58" s="268"/>
      <c r="C58" s="271"/>
      <c r="D58" s="271"/>
      <c r="E58" s="271"/>
      <c r="F58" s="271"/>
      <c r="G58" s="271"/>
      <c r="H58" s="271"/>
      <c r="I58" s="271"/>
      <c r="J58" s="271"/>
      <c r="K58" s="271"/>
      <c r="L58" s="348"/>
      <c r="M58" s="268"/>
      <c r="N58" s="268"/>
      <c r="O58" s="271"/>
      <c r="P58" s="268"/>
      <c r="Q58" s="276"/>
      <c r="R58" s="268"/>
      <c r="S58" s="348">
        <f t="shared" si="13"/>
        <v>0</v>
      </c>
    </row>
    <row r="59" spans="1:19" s="340" customFormat="1" ht="12.75" hidden="1" thickBot="1">
      <c r="A59" s="267"/>
      <c r="B59" s="268"/>
      <c r="C59" s="271"/>
      <c r="D59" s="271"/>
      <c r="E59" s="271"/>
      <c r="F59" s="271"/>
      <c r="G59" s="271"/>
      <c r="H59" s="271"/>
      <c r="I59" s="271"/>
      <c r="J59" s="271"/>
      <c r="K59" s="271"/>
      <c r="L59" s="348"/>
      <c r="M59" s="268"/>
      <c r="N59" s="268"/>
      <c r="O59" s="271"/>
      <c r="P59" s="268"/>
      <c r="Q59" s="276"/>
      <c r="R59" s="268"/>
      <c r="S59" s="348">
        <f t="shared" si="13"/>
        <v>0</v>
      </c>
    </row>
    <row r="60" spans="1:19" s="340" customFormat="1" ht="12.75" hidden="1" thickBot="1">
      <c r="A60" s="267"/>
      <c r="B60" s="268"/>
      <c r="C60" s="271"/>
      <c r="D60" s="271"/>
      <c r="E60" s="271"/>
      <c r="F60" s="271"/>
      <c r="G60" s="271"/>
      <c r="H60" s="271"/>
      <c r="I60" s="271"/>
      <c r="J60" s="271"/>
      <c r="K60" s="271"/>
      <c r="L60" s="348"/>
      <c r="M60" s="268"/>
      <c r="N60" s="268"/>
      <c r="O60" s="271"/>
      <c r="P60" s="268"/>
      <c r="Q60" s="276"/>
      <c r="R60" s="268"/>
      <c r="S60" s="348">
        <f t="shared" si="13"/>
        <v>0</v>
      </c>
    </row>
    <row r="61" spans="1:19" s="340" customFormat="1" ht="12.75" hidden="1" thickBot="1">
      <c r="A61" s="267"/>
      <c r="B61" s="268"/>
      <c r="C61" s="271"/>
      <c r="D61" s="271"/>
      <c r="E61" s="271"/>
      <c r="F61" s="271"/>
      <c r="G61" s="271"/>
      <c r="H61" s="271"/>
      <c r="I61" s="271"/>
      <c r="J61" s="271"/>
      <c r="K61" s="271"/>
      <c r="L61" s="348"/>
      <c r="M61" s="268"/>
      <c r="N61" s="268"/>
      <c r="O61" s="271"/>
      <c r="P61" s="268"/>
      <c r="Q61" s="276"/>
      <c r="R61" s="268"/>
      <c r="S61" s="348">
        <f t="shared" si="13"/>
        <v>0</v>
      </c>
    </row>
    <row r="62" spans="1:19" s="340" customFormat="1" ht="12.75" hidden="1" thickBot="1">
      <c r="A62" s="267"/>
      <c r="B62" s="268"/>
      <c r="C62" s="271"/>
      <c r="D62" s="271"/>
      <c r="E62" s="271"/>
      <c r="F62" s="271"/>
      <c r="G62" s="271"/>
      <c r="H62" s="271"/>
      <c r="I62" s="271"/>
      <c r="J62" s="271"/>
      <c r="K62" s="271"/>
      <c r="L62" s="348"/>
      <c r="M62" s="268"/>
      <c r="N62" s="268"/>
      <c r="O62" s="271"/>
      <c r="P62" s="268"/>
      <c r="Q62" s="276"/>
      <c r="R62" s="268"/>
      <c r="S62" s="348">
        <f t="shared" si="13"/>
        <v>0</v>
      </c>
    </row>
    <row r="63" spans="1:19" s="340" customFormat="1" ht="12.75" hidden="1" thickBot="1">
      <c r="A63" s="267"/>
      <c r="B63" s="268"/>
      <c r="C63" s="271"/>
      <c r="D63" s="271"/>
      <c r="E63" s="271"/>
      <c r="F63" s="271"/>
      <c r="G63" s="271"/>
      <c r="H63" s="271"/>
      <c r="I63" s="271"/>
      <c r="J63" s="271"/>
      <c r="K63" s="271"/>
      <c r="L63" s="348"/>
      <c r="M63" s="268"/>
      <c r="N63" s="268"/>
      <c r="O63" s="271"/>
      <c r="P63" s="268"/>
      <c r="Q63" s="276"/>
      <c r="R63" s="268"/>
      <c r="S63" s="348">
        <f t="shared" si="13"/>
        <v>0</v>
      </c>
    </row>
    <row r="64" spans="1:19" s="340" customFormat="1" ht="12.75" hidden="1" thickBot="1">
      <c r="A64" s="349" t="s">
        <v>133</v>
      </c>
      <c r="B64" s="268"/>
      <c r="C64" s="271"/>
      <c r="D64" s="268"/>
      <c r="E64" s="268"/>
      <c r="F64" s="268"/>
      <c r="G64" s="268"/>
      <c r="H64" s="268"/>
      <c r="I64" s="268"/>
      <c r="J64" s="268"/>
      <c r="K64" s="268"/>
      <c r="L64" s="350">
        <f aca="true" t="shared" si="14" ref="L64:L69">SUM(B64:J64)</f>
        <v>0</v>
      </c>
      <c r="M64" s="268"/>
      <c r="N64" s="268"/>
      <c r="O64" s="271"/>
      <c r="P64" s="278"/>
      <c r="Q64" s="276"/>
      <c r="R64" s="351"/>
      <c r="S64" s="273">
        <f t="shared" si="13"/>
        <v>0</v>
      </c>
    </row>
    <row r="65" spans="1:19" s="340" customFormat="1" ht="12.75" hidden="1" thickBot="1">
      <c r="A65" s="349" t="s">
        <v>140</v>
      </c>
      <c r="B65" s="268"/>
      <c r="C65" s="271"/>
      <c r="D65" s="268"/>
      <c r="E65" s="268"/>
      <c r="F65" s="268"/>
      <c r="G65" s="268"/>
      <c r="H65" s="268"/>
      <c r="I65" s="268"/>
      <c r="J65" s="268"/>
      <c r="K65" s="268"/>
      <c r="L65" s="350">
        <f t="shared" si="14"/>
        <v>0</v>
      </c>
      <c r="M65" s="268"/>
      <c r="N65" s="268"/>
      <c r="O65" s="271"/>
      <c r="P65" s="278"/>
      <c r="Q65" s="271"/>
      <c r="R65" s="352"/>
      <c r="S65" s="273">
        <f t="shared" si="13"/>
        <v>0</v>
      </c>
    </row>
    <row r="66" spans="1:19" s="340" customFormat="1" ht="19.5" customHeight="1" hidden="1">
      <c r="A66" s="349" t="s">
        <v>144</v>
      </c>
      <c r="B66" s="268"/>
      <c r="C66" s="271"/>
      <c r="D66" s="268"/>
      <c r="E66" s="268"/>
      <c r="F66" s="268"/>
      <c r="G66" s="268"/>
      <c r="H66" s="268"/>
      <c r="I66" s="268"/>
      <c r="J66" s="268"/>
      <c r="K66" s="268"/>
      <c r="L66" s="350">
        <f t="shared" si="14"/>
        <v>0</v>
      </c>
      <c r="M66" s="268"/>
      <c r="N66" s="268"/>
      <c r="O66" s="271"/>
      <c r="P66" s="278"/>
      <c r="Q66" s="271"/>
      <c r="R66" s="352"/>
      <c r="S66" s="273">
        <f t="shared" si="13"/>
        <v>0</v>
      </c>
    </row>
    <row r="67" spans="1:19" s="340" customFormat="1" ht="19.5" customHeight="1" hidden="1">
      <c r="A67" s="349" t="s">
        <v>157</v>
      </c>
      <c r="B67" s="268"/>
      <c r="C67" s="271"/>
      <c r="D67" s="268"/>
      <c r="E67" s="268"/>
      <c r="F67" s="268"/>
      <c r="G67" s="268"/>
      <c r="H67" s="268"/>
      <c r="I67" s="268"/>
      <c r="J67" s="268"/>
      <c r="K67" s="268"/>
      <c r="L67" s="350">
        <f t="shared" si="14"/>
        <v>0</v>
      </c>
      <c r="M67" s="268"/>
      <c r="N67" s="268"/>
      <c r="O67" s="271"/>
      <c r="P67" s="278"/>
      <c r="Q67" s="271"/>
      <c r="R67" s="352"/>
      <c r="S67" s="273">
        <f t="shared" si="13"/>
        <v>0</v>
      </c>
    </row>
    <row r="68" spans="1:19" s="340" customFormat="1" ht="19.5" customHeight="1" hidden="1">
      <c r="A68" s="349" t="s">
        <v>159</v>
      </c>
      <c r="B68" s="268"/>
      <c r="C68" s="271"/>
      <c r="D68" s="268"/>
      <c r="E68" s="268"/>
      <c r="F68" s="268"/>
      <c r="G68" s="268"/>
      <c r="H68" s="268"/>
      <c r="I68" s="268"/>
      <c r="J68" s="268"/>
      <c r="K68" s="268"/>
      <c r="L68" s="350">
        <f t="shared" si="14"/>
        <v>0</v>
      </c>
      <c r="M68" s="268"/>
      <c r="N68" s="268"/>
      <c r="O68" s="271"/>
      <c r="P68" s="278"/>
      <c r="Q68" s="271"/>
      <c r="R68" s="352"/>
      <c r="S68" s="273">
        <f t="shared" si="13"/>
        <v>0</v>
      </c>
    </row>
    <row r="69" spans="1:19" s="340" customFormat="1" ht="19.5" customHeight="1" hidden="1">
      <c r="A69" s="349" t="s">
        <v>160</v>
      </c>
      <c r="B69" s="268"/>
      <c r="C69" s="271"/>
      <c r="D69" s="268"/>
      <c r="E69" s="268"/>
      <c r="F69" s="268"/>
      <c r="G69" s="268"/>
      <c r="H69" s="268"/>
      <c r="I69" s="268"/>
      <c r="J69" s="268"/>
      <c r="K69" s="268"/>
      <c r="L69" s="350">
        <f t="shared" si="14"/>
        <v>0</v>
      </c>
      <c r="M69" s="268"/>
      <c r="N69" s="268"/>
      <c r="O69" s="271"/>
      <c r="P69" s="278"/>
      <c r="Q69" s="271"/>
      <c r="R69" s="352"/>
      <c r="S69" s="273">
        <f t="shared" si="13"/>
        <v>0</v>
      </c>
    </row>
    <row r="70" spans="1:19" s="340" customFormat="1" ht="12.75" hidden="1" thickBot="1">
      <c r="A70" s="267" t="s">
        <v>84</v>
      </c>
      <c r="B70" s="268"/>
      <c r="C70" s="271"/>
      <c r="D70" s="268"/>
      <c r="E70" s="268"/>
      <c r="F70" s="268"/>
      <c r="G70" s="268"/>
      <c r="H70" s="268"/>
      <c r="I70" s="268"/>
      <c r="J70" s="268"/>
      <c r="K70" s="268"/>
      <c r="L70" s="350">
        <f>SUM(B70:K70)</f>
        <v>0</v>
      </c>
      <c r="M70" s="268"/>
      <c r="N70" s="268"/>
      <c r="O70" s="271"/>
      <c r="P70" s="319"/>
      <c r="Q70" s="353"/>
      <c r="R70" s="352"/>
      <c r="S70" s="273">
        <f t="shared" si="13"/>
        <v>0</v>
      </c>
    </row>
    <row r="71" spans="1:19" s="340" customFormat="1" ht="12.75" hidden="1" thickBot="1">
      <c r="A71" s="267" t="s">
        <v>85</v>
      </c>
      <c r="B71" s="268"/>
      <c r="C71" s="271"/>
      <c r="D71" s="268"/>
      <c r="E71" s="268"/>
      <c r="F71" s="268"/>
      <c r="G71" s="268"/>
      <c r="H71" s="268"/>
      <c r="I71" s="268"/>
      <c r="J71" s="268"/>
      <c r="K71" s="268"/>
      <c r="L71" s="350">
        <f>SUM(B71:K71)</f>
        <v>0</v>
      </c>
      <c r="M71" s="268"/>
      <c r="N71" s="268"/>
      <c r="O71" s="271"/>
      <c r="P71" s="277"/>
      <c r="Q71" s="271"/>
      <c r="R71" s="277"/>
      <c r="S71" s="273">
        <f aca="true" t="shared" si="15" ref="S71:S84">L71+SUM(M71:R71)</f>
        <v>0</v>
      </c>
    </row>
    <row r="72" spans="1:19" s="340" customFormat="1" ht="12.75" hidden="1" thickBot="1">
      <c r="A72" s="306" t="s">
        <v>88</v>
      </c>
      <c r="B72" s="307"/>
      <c r="C72" s="317"/>
      <c r="D72" s="307"/>
      <c r="E72" s="307"/>
      <c r="F72" s="307"/>
      <c r="G72" s="307"/>
      <c r="H72" s="307"/>
      <c r="I72" s="307"/>
      <c r="J72" s="307"/>
      <c r="K72" s="307"/>
      <c r="L72" s="354">
        <f aca="true" t="shared" si="16" ref="L72:L82">SUM(B72:K72)</f>
        <v>0</v>
      </c>
      <c r="M72" s="307"/>
      <c r="N72" s="307"/>
      <c r="O72" s="317"/>
      <c r="P72" s="319"/>
      <c r="Q72" s="355"/>
      <c r="R72" s="319"/>
      <c r="S72" s="356">
        <f t="shared" si="15"/>
        <v>0</v>
      </c>
    </row>
    <row r="73" spans="1:19" s="340" customFormat="1" ht="27" customHeight="1" hidden="1">
      <c r="A73" s="357" t="s">
        <v>89</v>
      </c>
      <c r="B73" s="307"/>
      <c r="C73" s="317"/>
      <c r="D73" s="307"/>
      <c r="E73" s="307"/>
      <c r="F73" s="307"/>
      <c r="G73" s="307"/>
      <c r="H73" s="307"/>
      <c r="I73" s="307"/>
      <c r="J73" s="307"/>
      <c r="K73" s="307"/>
      <c r="L73" s="354">
        <f t="shared" si="16"/>
        <v>0</v>
      </c>
      <c r="M73" s="307"/>
      <c r="N73" s="307"/>
      <c r="O73" s="317"/>
      <c r="P73" s="358"/>
      <c r="Q73" s="317"/>
      <c r="R73" s="307"/>
      <c r="S73" s="356">
        <f t="shared" si="15"/>
        <v>0</v>
      </c>
    </row>
    <row r="74" spans="1:19" s="340" customFormat="1" ht="12.75" hidden="1" thickBot="1">
      <c r="A74" s="359" t="s">
        <v>90</v>
      </c>
      <c r="B74" s="268"/>
      <c r="C74" s="271"/>
      <c r="D74" s="268"/>
      <c r="E74" s="268"/>
      <c r="F74" s="268"/>
      <c r="G74" s="268"/>
      <c r="H74" s="268"/>
      <c r="I74" s="268"/>
      <c r="J74" s="268"/>
      <c r="K74" s="268"/>
      <c r="L74" s="360">
        <f t="shared" si="16"/>
        <v>0</v>
      </c>
      <c r="M74" s="268"/>
      <c r="N74" s="268"/>
      <c r="O74" s="271"/>
      <c r="P74" s="278"/>
      <c r="Q74" s="271"/>
      <c r="R74" s="268"/>
      <c r="S74" s="273">
        <f t="shared" si="15"/>
        <v>0</v>
      </c>
    </row>
    <row r="75" spans="1:19" s="340" customFormat="1" ht="12.75" hidden="1" thickBot="1">
      <c r="A75" s="361" t="s">
        <v>91</v>
      </c>
      <c r="B75" s="268"/>
      <c r="C75" s="271"/>
      <c r="D75" s="268"/>
      <c r="E75" s="268"/>
      <c r="F75" s="268"/>
      <c r="G75" s="268"/>
      <c r="H75" s="268"/>
      <c r="I75" s="268"/>
      <c r="J75" s="268"/>
      <c r="K75" s="268"/>
      <c r="L75" s="360">
        <f t="shared" si="16"/>
        <v>0</v>
      </c>
      <c r="M75" s="268"/>
      <c r="N75" s="268"/>
      <c r="O75" s="271"/>
      <c r="P75" s="278"/>
      <c r="Q75" s="271"/>
      <c r="R75" s="268"/>
      <c r="S75" s="273">
        <f t="shared" si="15"/>
        <v>0</v>
      </c>
    </row>
    <row r="76" spans="1:19" s="340" customFormat="1" ht="12.75" hidden="1" thickBot="1">
      <c r="A76" s="361" t="s">
        <v>92</v>
      </c>
      <c r="B76" s="268"/>
      <c r="C76" s="271"/>
      <c r="D76" s="268"/>
      <c r="E76" s="268"/>
      <c r="F76" s="268"/>
      <c r="G76" s="268"/>
      <c r="H76" s="268"/>
      <c r="I76" s="268"/>
      <c r="J76" s="268"/>
      <c r="K76" s="268"/>
      <c r="L76" s="360">
        <f t="shared" si="16"/>
        <v>0</v>
      </c>
      <c r="M76" s="268"/>
      <c r="N76" s="268"/>
      <c r="O76" s="271"/>
      <c r="P76" s="278"/>
      <c r="Q76" s="271"/>
      <c r="R76" s="268"/>
      <c r="S76" s="273">
        <f t="shared" si="15"/>
        <v>0</v>
      </c>
    </row>
    <row r="77" spans="1:19" s="340" customFormat="1" ht="12.75" hidden="1" thickBot="1">
      <c r="A77" s="361" t="s">
        <v>93</v>
      </c>
      <c r="B77" s="268"/>
      <c r="C77" s="271"/>
      <c r="D77" s="268"/>
      <c r="E77" s="268"/>
      <c r="F77" s="268"/>
      <c r="G77" s="268"/>
      <c r="H77" s="268"/>
      <c r="I77" s="268"/>
      <c r="J77" s="268"/>
      <c r="K77" s="268"/>
      <c r="L77" s="360">
        <f t="shared" si="16"/>
        <v>0</v>
      </c>
      <c r="M77" s="268"/>
      <c r="N77" s="268"/>
      <c r="O77" s="271"/>
      <c r="P77" s="278"/>
      <c r="Q77" s="271"/>
      <c r="R77" s="268"/>
      <c r="S77" s="273">
        <f t="shared" si="15"/>
        <v>0</v>
      </c>
    </row>
    <row r="78" spans="1:19" s="340" customFormat="1" ht="12.75" hidden="1" thickBot="1">
      <c r="A78" s="361" t="s">
        <v>94</v>
      </c>
      <c r="B78" s="268"/>
      <c r="C78" s="271"/>
      <c r="D78" s="268"/>
      <c r="E78" s="268"/>
      <c r="F78" s="268"/>
      <c r="G78" s="268"/>
      <c r="H78" s="268"/>
      <c r="I78" s="268"/>
      <c r="J78" s="268"/>
      <c r="K78" s="268"/>
      <c r="L78" s="360">
        <f t="shared" si="16"/>
        <v>0</v>
      </c>
      <c r="M78" s="268"/>
      <c r="N78" s="268"/>
      <c r="O78" s="271"/>
      <c r="P78" s="278"/>
      <c r="Q78" s="271"/>
      <c r="R78" s="268"/>
      <c r="S78" s="273">
        <f t="shared" si="15"/>
        <v>0</v>
      </c>
    </row>
    <row r="79" spans="1:19" s="340" customFormat="1" ht="12.75" hidden="1" thickBot="1">
      <c r="A79" s="361" t="s">
        <v>95</v>
      </c>
      <c r="B79" s="268"/>
      <c r="C79" s="271"/>
      <c r="D79" s="268"/>
      <c r="E79" s="268"/>
      <c r="F79" s="268"/>
      <c r="G79" s="268"/>
      <c r="H79" s="268"/>
      <c r="I79" s="268"/>
      <c r="J79" s="268"/>
      <c r="K79" s="268"/>
      <c r="L79" s="360">
        <f t="shared" si="16"/>
        <v>0</v>
      </c>
      <c r="M79" s="268"/>
      <c r="N79" s="268"/>
      <c r="O79" s="271"/>
      <c r="P79" s="278"/>
      <c r="Q79" s="271"/>
      <c r="R79" s="268"/>
      <c r="S79" s="273">
        <f t="shared" si="15"/>
        <v>0</v>
      </c>
    </row>
    <row r="80" spans="1:19" s="340" customFormat="1" ht="24.75" hidden="1" thickBot="1">
      <c r="A80" s="361" t="s">
        <v>96</v>
      </c>
      <c r="B80" s="268"/>
      <c r="C80" s="271"/>
      <c r="D80" s="268"/>
      <c r="E80" s="268"/>
      <c r="F80" s="268"/>
      <c r="G80" s="268"/>
      <c r="H80" s="268"/>
      <c r="I80" s="268"/>
      <c r="J80" s="268"/>
      <c r="K80" s="268"/>
      <c r="L80" s="360">
        <f t="shared" si="16"/>
        <v>0</v>
      </c>
      <c r="M80" s="268"/>
      <c r="N80" s="268"/>
      <c r="O80" s="271"/>
      <c r="P80" s="278"/>
      <c r="Q80" s="271"/>
      <c r="R80" s="268"/>
      <c r="S80" s="273">
        <f t="shared" si="15"/>
        <v>0</v>
      </c>
    </row>
    <row r="81" spans="1:19" s="340" customFormat="1" ht="12.75" hidden="1" thickBot="1">
      <c r="A81" s="361" t="s">
        <v>98</v>
      </c>
      <c r="B81" s="268"/>
      <c r="C81" s="271"/>
      <c r="D81" s="268"/>
      <c r="E81" s="268"/>
      <c r="F81" s="268"/>
      <c r="G81" s="268"/>
      <c r="H81" s="268"/>
      <c r="I81" s="268"/>
      <c r="J81" s="268"/>
      <c r="K81" s="268"/>
      <c r="L81" s="360">
        <f t="shared" si="16"/>
        <v>0</v>
      </c>
      <c r="M81" s="268"/>
      <c r="N81" s="268"/>
      <c r="O81" s="271"/>
      <c r="P81" s="278"/>
      <c r="Q81" s="271"/>
      <c r="R81" s="268"/>
      <c r="S81" s="273">
        <f t="shared" si="15"/>
        <v>0</v>
      </c>
    </row>
    <row r="82" spans="1:19" s="340" customFormat="1" ht="12.75" hidden="1" thickBot="1">
      <c r="A82" s="361" t="s">
        <v>97</v>
      </c>
      <c r="B82" s="268"/>
      <c r="C82" s="271"/>
      <c r="D82" s="268"/>
      <c r="E82" s="268"/>
      <c r="F82" s="268"/>
      <c r="G82" s="268"/>
      <c r="H82" s="268"/>
      <c r="I82" s="268"/>
      <c r="J82" s="268"/>
      <c r="K82" s="268"/>
      <c r="L82" s="360">
        <f t="shared" si="16"/>
        <v>0</v>
      </c>
      <c r="M82" s="268"/>
      <c r="N82" s="268"/>
      <c r="O82" s="271"/>
      <c r="P82" s="278"/>
      <c r="Q82" s="355"/>
      <c r="R82" s="268"/>
      <c r="S82" s="273">
        <f t="shared" si="15"/>
        <v>0</v>
      </c>
    </row>
    <row r="83" spans="1:19" s="340" customFormat="1" ht="12.75" hidden="1" thickBot="1">
      <c r="A83" s="362" t="s">
        <v>100</v>
      </c>
      <c r="B83" s="277"/>
      <c r="C83" s="363"/>
      <c r="D83" s="277"/>
      <c r="E83" s="277"/>
      <c r="F83" s="277"/>
      <c r="G83" s="277"/>
      <c r="H83" s="277"/>
      <c r="I83" s="277"/>
      <c r="J83" s="277"/>
      <c r="K83" s="277"/>
      <c r="L83" s="354">
        <f>B83+C83+D83+E83+F83+G83+I83+J83+K83</f>
        <v>0</v>
      </c>
      <c r="M83" s="268"/>
      <c r="N83" s="268"/>
      <c r="O83" s="271"/>
      <c r="P83" s="278"/>
      <c r="Q83" s="364"/>
      <c r="R83" s="268"/>
      <c r="S83" s="273">
        <f t="shared" si="15"/>
        <v>0</v>
      </c>
    </row>
    <row r="84" spans="1:19" s="340" customFormat="1" ht="12.75" hidden="1" thickBot="1">
      <c r="A84" s="365" t="s">
        <v>101</v>
      </c>
      <c r="B84" s="277"/>
      <c r="C84" s="271"/>
      <c r="D84" s="277"/>
      <c r="E84" s="277"/>
      <c r="F84" s="277"/>
      <c r="G84" s="277"/>
      <c r="H84" s="277"/>
      <c r="I84" s="277"/>
      <c r="J84" s="277"/>
      <c r="K84" s="277"/>
      <c r="L84" s="354">
        <f>B84+D84+E84+F84+G84+I84+J84+K84</f>
        <v>0</v>
      </c>
      <c r="M84" s="268"/>
      <c r="N84" s="268"/>
      <c r="O84" s="271"/>
      <c r="P84" s="366"/>
      <c r="Q84" s="367"/>
      <c r="R84" s="368"/>
      <c r="S84" s="273">
        <f t="shared" si="15"/>
        <v>0</v>
      </c>
    </row>
    <row r="85" spans="1:19" ht="26.25" customHeight="1" thickBot="1">
      <c r="A85" s="369" t="s">
        <v>14</v>
      </c>
      <c r="B85" s="370">
        <f aca="true" t="shared" si="17" ref="B85:K85">B86+B115+B116</f>
        <v>3343943.13</v>
      </c>
      <c r="C85" s="371">
        <f t="shared" si="17"/>
        <v>1024880.47</v>
      </c>
      <c r="D85" s="370">
        <f t="shared" si="17"/>
        <v>5819853.81</v>
      </c>
      <c r="E85" s="370">
        <f t="shared" si="17"/>
        <v>4674672.33</v>
      </c>
      <c r="F85" s="370">
        <f t="shared" si="17"/>
        <v>1211633.73</v>
      </c>
      <c r="G85" s="370">
        <f t="shared" si="17"/>
        <v>2040516.43</v>
      </c>
      <c r="H85" s="370">
        <f t="shared" si="17"/>
        <v>143566.09</v>
      </c>
      <c r="I85" s="370">
        <f t="shared" si="17"/>
        <v>424469.3400000001</v>
      </c>
      <c r="J85" s="370">
        <f t="shared" si="17"/>
        <v>302089.43</v>
      </c>
      <c r="K85" s="370">
        <f t="shared" si="17"/>
        <v>0</v>
      </c>
      <c r="L85" s="372">
        <f aca="true" t="shared" si="18" ref="L85:L90">SUM(B85:K85)</f>
        <v>18985624.76</v>
      </c>
      <c r="M85" s="370">
        <f aca="true" t="shared" si="19" ref="M85:R85">M86+M115+M116</f>
        <v>0</v>
      </c>
      <c r="N85" s="370">
        <f t="shared" si="19"/>
        <v>0</v>
      </c>
      <c r="O85" s="371">
        <f t="shared" si="19"/>
        <v>419386.56</v>
      </c>
      <c r="P85" s="370">
        <f t="shared" si="19"/>
        <v>652120</v>
      </c>
      <c r="Q85" s="373">
        <f t="shared" si="19"/>
        <v>893973.6799999999</v>
      </c>
      <c r="R85" s="370">
        <f t="shared" si="19"/>
        <v>0</v>
      </c>
      <c r="S85" s="374">
        <f>L85+SUM(M85:R85)</f>
        <v>20951105</v>
      </c>
    </row>
    <row r="86" spans="1:19" ht="27" customHeight="1" thickBot="1">
      <c r="A86" s="375" t="s">
        <v>111</v>
      </c>
      <c r="B86" s="376">
        <f>SUM(B87:B114)</f>
        <v>2867515.13</v>
      </c>
      <c r="C86" s="377">
        <f>SUM(C87:C114)+'[32]úpravy'!C30+'[32]úpravy'!C31</f>
        <v>718989.47</v>
      </c>
      <c r="D86" s="378">
        <f>SUM(D87:D114)+úpravy!E30+úpravy!E31+úpravy!E146</f>
        <v>5324022.81</v>
      </c>
      <c r="E86" s="379">
        <f aca="true" t="shared" si="20" ref="E86:K86">SUM(E87:E114)</f>
        <v>4099627.3299999996</v>
      </c>
      <c r="F86" s="379">
        <f t="shared" si="20"/>
        <v>1149068.73</v>
      </c>
      <c r="G86" s="379">
        <f>SUM(G87:G114)+úpravy!H30+úpravy!H31</f>
        <v>1659235.43</v>
      </c>
      <c r="H86" s="379">
        <f t="shared" si="20"/>
        <v>143566.09</v>
      </c>
      <c r="I86" s="379">
        <f>SUM(I87:I114)+úpravy!J142</f>
        <v>397092.3400000001</v>
      </c>
      <c r="J86" s="379">
        <f t="shared" si="20"/>
        <v>288947.43</v>
      </c>
      <c r="K86" s="379">
        <f t="shared" si="20"/>
        <v>0</v>
      </c>
      <c r="L86" s="380">
        <f t="shared" si="18"/>
        <v>16648064.76</v>
      </c>
      <c r="M86" s="381">
        <v>0</v>
      </c>
      <c r="N86" s="381">
        <v>0</v>
      </c>
      <c r="O86" s="378">
        <f>SUM(O87:O114)</f>
        <v>419386.56</v>
      </c>
      <c r="P86" s="380">
        <f>SUM(P87:P114)</f>
        <v>652120</v>
      </c>
      <c r="Q86" s="382">
        <f>SUM(Q87:Q114)</f>
        <v>893973.6799999999</v>
      </c>
      <c r="R86" s="380">
        <f>153074+53882-116894-90062</f>
        <v>0</v>
      </c>
      <c r="S86" s="383">
        <f>L86+SUM(M86:R86)</f>
        <v>18613545</v>
      </c>
    </row>
    <row r="87" spans="1:19" ht="12">
      <c r="A87" s="385" t="s">
        <v>59</v>
      </c>
      <c r="B87" s="344">
        <f>3961010+13965+24125+'[33]úpravy'!C30+'[33]úpravy'!C31+'[33]úpravy'!C140+úpravy!C146+úpravy!C46</f>
        <v>2772350.13</v>
      </c>
      <c r="C87" s="344">
        <f>1540742+7170+6895+úpravy!D142+úpravy!D146+úpravy!D46</f>
        <v>690131.73</v>
      </c>
      <c r="D87" s="344">
        <f>4908655+24658-1405975+13252+úpravy!E46</f>
        <v>3781714.19</v>
      </c>
      <c r="E87" s="344">
        <f>4808950+35781+23497+úpravy!F30+úpravy!F31+úpravy!F142+úpravy!F46</f>
        <v>3691933.3299999996</v>
      </c>
      <c r="F87" s="344">
        <f>1061528+6873+5596+úpravy!G30+úpravy!G31+úpravy!G46</f>
        <v>1141547.73</v>
      </c>
      <c r="G87" s="344">
        <f>2062374+22120+10326+úpravy!H142+úpravy!H46</f>
        <v>1596128.46</v>
      </c>
      <c r="H87" s="344">
        <f>136844+úpravy!I46</f>
        <v>143566.09</v>
      </c>
      <c r="I87" s="344">
        <f>670029+5462+4163+úpravy!J30+úpravy!J31+úpravy!J46</f>
        <v>724175.3400000001</v>
      </c>
      <c r="J87" s="345">
        <f>528608+865+2208+úpravy!M30+úpravy!M31+úpravy!M166+úpravy!M167+úpravy!M142+úpravy!M46</f>
        <v>220647.43</v>
      </c>
      <c r="K87" s="344">
        <v>0</v>
      </c>
      <c r="L87" s="346">
        <f t="shared" si="18"/>
        <v>14762194.43</v>
      </c>
      <c r="M87" s="344"/>
      <c r="N87" s="345">
        <v>0</v>
      </c>
      <c r="O87" s="386">
        <f>1108090+úpravy!N142+úpravy!O30+úpravy!O31+úpravy!O166+úpravy!O167+úpravy!O46</f>
        <v>406196.56</v>
      </c>
      <c r="P87" s="387"/>
      <c r="Q87" s="387">
        <v>0</v>
      </c>
      <c r="R87" s="268">
        <f>úpravy!R46+úpravy!R142</f>
        <v>0</v>
      </c>
      <c r="S87" s="388">
        <f>L87+SUM(M87:R87)</f>
        <v>15168390.99</v>
      </c>
    </row>
    <row r="88" spans="1:19" ht="12">
      <c r="A88" s="267" t="s">
        <v>275</v>
      </c>
      <c r="B88" s="344">
        <f>úpravy!C41</f>
        <v>1201</v>
      </c>
      <c r="C88" s="611">
        <f>úpravy!D41</f>
        <v>268</v>
      </c>
      <c r="D88" s="344">
        <f>úpravy!E41</f>
        <v>1974</v>
      </c>
      <c r="E88" s="344">
        <f>úpravy!F41</f>
        <v>4560</v>
      </c>
      <c r="F88" s="344">
        <v>0</v>
      </c>
      <c r="G88" s="344">
        <f>úpravy!H41</f>
        <v>4135</v>
      </c>
      <c r="H88" s="344"/>
      <c r="I88" s="344">
        <f>úpravy!J41</f>
        <v>442</v>
      </c>
      <c r="J88" s="345"/>
      <c r="K88" s="344"/>
      <c r="L88" s="346">
        <f t="shared" si="18"/>
        <v>12580</v>
      </c>
      <c r="M88" s="344"/>
      <c r="N88" s="345"/>
      <c r="O88" s="390">
        <f>úpravy!O41</f>
        <v>1724</v>
      </c>
      <c r="P88" s="341"/>
      <c r="Q88" s="344"/>
      <c r="R88" s="268"/>
      <c r="S88" s="391">
        <f>L88+SUM(M88:R88)</f>
        <v>14304</v>
      </c>
    </row>
    <row r="89" spans="1:19" ht="12">
      <c r="A89" s="392" t="s">
        <v>246</v>
      </c>
      <c r="B89" s="344">
        <f>úpravy!C99+úpravy!C100</f>
        <v>1521</v>
      </c>
      <c r="C89" s="344">
        <f>úpravy!D99+úpravy!D100</f>
        <v>5915</v>
      </c>
      <c r="D89" s="344">
        <f>úpravy!E99+úpravy!E100</f>
        <v>1352</v>
      </c>
      <c r="E89" s="344">
        <f>úpravy!F99+úpravy!F100</f>
        <v>1521</v>
      </c>
      <c r="F89" s="344">
        <f>úpravy!G99+úpravy!G100</f>
        <v>1521</v>
      </c>
      <c r="G89" s="344">
        <f>úpravy!H99+úpravy!H100</f>
        <v>1352</v>
      </c>
      <c r="H89" s="344"/>
      <c r="I89" s="344">
        <f>úpravy!J99+úpravy!J100</f>
        <v>1352</v>
      </c>
      <c r="J89" s="345"/>
      <c r="K89" s="344"/>
      <c r="L89" s="346">
        <f t="shared" si="18"/>
        <v>14534</v>
      </c>
      <c r="M89" s="344"/>
      <c r="N89" s="345"/>
      <c r="O89" s="390">
        <f>26000+úpravy!O99+úpravy!O100</f>
        <v>11466</v>
      </c>
      <c r="P89" s="341">
        <f>26000-26000</f>
        <v>0</v>
      </c>
      <c r="Q89" s="344"/>
      <c r="R89" s="268"/>
      <c r="S89" s="391">
        <f>L89+SUM(M89:R89)</f>
        <v>26000</v>
      </c>
    </row>
    <row r="90" spans="1:19" ht="12">
      <c r="A90" s="393" t="s">
        <v>99</v>
      </c>
      <c r="B90" s="344">
        <v>48132</v>
      </c>
      <c r="C90" s="389"/>
      <c r="D90" s="344">
        <v>1591065</v>
      </c>
      <c r="E90" s="344">
        <v>322423</v>
      </c>
      <c r="F90" s="344"/>
      <c r="G90" s="344"/>
      <c r="H90" s="344"/>
      <c r="I90" s="344"/>
      <c r="J90" s="345">
        <v>61504</v>
      </c>
      <c r="K90" s="344"/>
      <c r="L90" s="394">
        <f t="shared" si="18"/>
        <v>2023124</v>
      </c>
      <c r="M90" s="344"/>
      <c r="N90" s="345"/>
      <c r="O90" s="341"/>
      <c r="P90" s="341"/>
      <c r="Q90" s="344"/>
      <c r="R90" s="268"/>
      <c r="S90" s="391">
        <f aca="true" t="shared" si="21" ref="S90:S111">L90+M90+N90+O90+P90+Q90+R90</f>
        <v>2023124</v>
      </c>
    </row>
    <row r="91" spans="1:19" ht="12">
      <c r="A91" s="395" t="s">
        <v>191</v>
      </c>
      <c r="B91" s="344"/>
      <c r="C91" s="341"/>
      <c r="D91" s="344"/>
      <c r="E91" s="344"/>
      <c r="F91" s="344"/>
      <c r="G91" s="344"/>
      <c r="H91" s="344"/>
      <c r="I91" s="344"/>
      <c r="J91" s="345"/>
      <c r="K91" s="344"/>
      <c r="L91" s="343">
        <f aca="true" t="shared" si="22" ref="L91:L114">B91+C91+D91+E91+F91+G91+I91+J91+K91</f>
        <v>0</v>
      </c>
      <c r="M91" s="344"/>
      <c r="N91" s="345"/>
      <c r="O91" s="344"/>
      <c r="P91" s="344">
        <v>124800</v>
      </c>
      <c r="Q91" s="396"/>
      <c r="R91" s="268"/>
      <c r="S91" s="391">
        <f t="shared" si="21"/>
        <v>124800</v>
      </c>
    </row>
    <row r="92" spans="1:19" ht="12">
      <c r="A92" s="395" t="s">
        <v>192</v>
      </c>
      <c r="B92" s="344"/>
      <c r="C92" s="341"/>
      <c r="D92" s="344"/>
      <c r="E92" s="344"/>
      <c r="F92" s="344"/>
      <c r="G92" s="344"/>
      <c r="H92" s="344"/>
      <c r="I92" s="344"/>
      <c r="J92" s="345"/>
      <c r="K92" s="344"/>
      <c r="L92" s="343">
        <f t="shared" si="22"/>
        <v>0</v>
      </c>
      <c r="M92" s="344"/>
      <c r="N92" s="345"/>
      <c r="O92" s="344"/>
      <c r="P92" s="344">
        <v>100000</v>
      </c>
      <c r="Q92" s="389"/>
      <c r="R92" s="268"/>
      <c r="S92" s="391">
        <f t="shared" si="21"/>
        <v>100000</v>
      </c>
    </row>
    <row r="93" spans="1:19" ht="12">
      <c r="A93" s="395" t="s">
        <v>193</v>
      </c>
      <c r="B93" s="341"/>
      <c r="C93" s="341"/>
      <c r="D93" s="344"/>
      <c r="E93" s="344"/>
      <c r="F93" s="344"/>
      <c r="G93" s="344"/>
      <c r="H93" s="344"/>
      <c r="I93" s="344"/>
      <c r="J93" s="345"/>
      <c r="K93" s="344"/>
      <c r="L93" s="343">
        <f t="shared" si="22"/>
        <v>0</v>
      </c>
      <c r="M93" s="344"/>
      <c r="N93" s="345"/>
      <c r="O93" s="344"/>
      <c r="P93" s="396">
        <v>25000</v>
      </c>
      <c r="Q93" s="341"/>
      <c r="R93" s="268"/>
      <c r="S93" s="391">
        <f t="shared" si="21"/>
        <v>25000</v>
      </c>
    </row>
    <row r="94" spans="1:19" ht="12">
      <c r="A94" s="395" t="s">
        <v>194</v>
      </c>
      <c r="B94" s="344"/>
      <c r="C94" s="341"/>
      <c r="D94" s="344"/>
      <c r="E94" s="344"/>
      <c r="F94" s="344"/>
      <c r="G94" s="344"/>
      <c r="H94" s="344"/>
      <c r="I94" s="344"/>
      <c r="J94" s="345"/>
      <c r="K94" s="344"/>
      <c r="L94" s="343">
        <f t="shared" si="22"/>
        <v>0</v>
      </c>
      <c r="M94" s="344"/>
      <c r="N94" s="345"/>
      <c r="O94" s="344"/>
      <c r="P94" s="396">
        <v>161000</v>
      </c>
      <c r="Q94" s="344"/>
      <c r="R94" s="268"/>
      <c r="S94" s="391">
        <f t="shared" si="21"/>
        <v>161000</v>
      </c>
    </row>
    <row r="95" spans="1:19" ht="12">
      <c r="A95" s="395" t="s">
        <v>195</v>
      </c>
      <c r="B95" s="397"/>
      <c r="C95" s="397"/>
      <c r="D95" s="397"/>
      <c r="E95" s="397"/>
      <c r="F95" s="397"/>
      <c r="G95" s="397"/>
      <c r="H95" s="397"/>
      <c r="I95" s="397"/>
      <c r="J95" s="398"/>
      <c r="K95" s="397"/>
      <c r="L95" s="343">
        <f t="shared" si="22"/>
        <v>0</v>
      </c>
      <c r="M95" s="344"/>
      <c r="N95" s="345"/>
      <c r="O95" s="344"/>
      <c r="P95" s="396">
        <v>11820</v>
      </c>
      <c r="Q95" s="399"/>
      <c r="R95" s="268"/>
      <c r="S95" s="391">
        <f t="shared" si="21"/>
        <v>11820</v>
      </c>
    </row>
    <row r="96" spans="1:19" ht="12">
      <c r="A96" s="395" t="s">
        <v>196</v>
      </c>
      <c r="B96" s="400"/>
      <c r="C96" s="397"/>
      <c r="D96" s="400"/>
      <c r="E96" s="400"/>
      <c r="F96" s="400"/>
      <c r="G96" s="400"/>
      <c r="H96" s="400"/>
      <c r="I96" s="400"/>
      <c r="J96" s="401"/>
      <c r="K96" s="400"/>
      <c r="L96" s="343">
        <f t="shared" si="22"/>
        <v>0</v>
      </c>
      <c r="M96" s="344"/>
      <c r="N96" s="345"/>
      <c r="O96" s="344"/>
      <c r="P96" s="396">
        <v>120000</v>
      </c>
      <c r="Q96" s="399"/>
      <c r="R96" s="268"/>
      <c r="S96" s="391">
        <f t="shared" si="21"/>
        <v>120000</v>
      </c>
    </row>
    <row r="97" spans="1:19" ht="12">
      <c r="A97" s="395" t="s">
        <v>197</v>
      </c>
      <c r="B97" s="400"/>
      <c r="C97" s="397"/>
      <c r="D97" s="400"/>
      <c r="E97" s="400"/>
      <c r="F97" s="400"/>
      <c r="G97" s="400"/>
      <c r="H97" s="400"/>
      <c r="I97" s="400"/>
      <c r="J97" s="401"/>
      <c r="K97" s="400"/>
      <c r="L97" s="343">
        <f t="shared" si="22"/>
        <v>0</v>
      </c>
      <c r="M97" s="344"/>
      <c r="N97" s="345"/>
      <c r="O97" s="344"/>
      <c r="P97" s="396">
        <v>10000</v>
      </c>
      <c r="Q97" s="399"/>
      <c r="R97" s="268"/>
      <c r="S97" s="391">
        <f t="shared" si="21"/>
        <v>10000</v>
      </c>
    </row>
    <row r="98" spans="1:19" ht="20.25" customHeight="1">
      <c r="A98" s="395" t="s">
        <v>198</v>
      </c>
      <c r="B98" s="400"/>
      <c r="C98" s="397"/>
      <c r="D98" s="400"/>
      <c r="E98" s="400"/>
      <c r="F98" s="400"/>
      <c r="G98" s="400"/>
      <c r="H98" s="400"/>
      <c r="I98" s="400"/>
      <c r="J98" s="401"/>
      <c r="K98" s="400"/>
      <c r="L98" s="343">
        <f t="shared" si="22"/>
        <v>0</v>
      </c>
      <c r="M98" s="344"/>
      <c r="N98" s="345"/>
      <c r="O98" s="344"/>
      <c r="P98" s="396">
        <v>10000</v>
      </c>
      <c r="Q98" s="399"/>
      <c r="R98" s="268"/>
      <c r="S98" s="391" t="s">
        <v>81</v>
      </c>
    </row>
    <row r="99" spans="1:19" ht="27.75" customHeight="1">
      <c r="A99" s="395" t="s">
        <v>199</v>
      </c>
      <c r="B99" s="400"/>
      <c r="C99" s="400"/>
      <c r="D99" s="400"/>
      <c r="E99" s="400"/>
      <c r="F99" s="400"/>
      <c r="G99" s="400"/>
      <c r="H99" s="400"/>
      <c r="I99" s="400"/>
      <c r="J99" s="401"/>
      <c r="K99" s="400"/>
      <c r="L99" s="343">
        <f t="shared" si="22"/>
        <v>0</v>
      </c>
      <c r="M99" s="344"/>
      <c r="N99" s="345"/>
      <c r="O99" s="344"/>
      <c r="P99" s="396">
        <v>20000</v>
      </c>
      <c r="Q99" s="399"/>
      <c r="R99" s="268"/>
      <c r="S99" s="391">
        <f t="shared" si="21"/>
        <v>20000</v>
      </c>
    </row>
    <row r="100" spans="1:19" ht="20.25" customHeight="1">
      <c r="A100" s="395" t="s">
        <v>200</v>
      </c>
      <c r="B100" s="400"/>
      <c r="C100" s="400"/>
      <c r="D100" s="400"/>
      <c r="E100" s="400"/>
      <c r="F100" s="400"/>
      <c r="G100" s="400"/>
      <c r="H100" s="400"/>
      <c r="I100" s="400"/>
      <c r="J100" s="401"/>
      <c r="K100" s="400"/>
      <c r="L100" s="343">
        <f t="shared" si="22"/>
        <v>0</v>
      </c>
      <c r="M100" s="344"/>
      <c r="N100" s="345"/>
      <c r="O100" s="344"/>
      <c r="P100" s="396">
        <v>40000</v>
      </c>
      <c r="Q100" s="399"/>
      <c r="R100" s="268"/>
      <c r="S100" s="391">
        <f t="shared" si="21"/>
        <v>40000</v>
      </c>
    </row>
    <row r="101" spans="1:19" ht="20.25" customHeight="1">
      <c r="A101" s="395" t="s">
        <v>201</v>
      </c>
      <c r="B101" s="400"/>
      <c r="C101" s="400"/>
      <c r="D101" s="400"/>
      <c r="E101" s="400"/>
      <c r="F101" s="400"/>
      <c r="G101" s="400"/>
      <c r="H101" s="400"/>
      <c r="I101" s="400"/>
      <c r="J101" s="401"/>
      <c r="K101" s="400"/>
      <c r="L101" s="343">
        <f t="shared" si="22"/>
        <v>0</v>
      </c>
      <c r="M101" s="344"/>
      <c r="N101" s="345"/>
      <c r="O101" s="344"/>
      <c r="P101" s="396">
        <v>5000</v>
      </c>
      <c r="Q101" s="399"/>
      <c r="R101" s="268"/>
      <c r="S101" s="391">
        <f t="shared" si="21"/>
        <v>5000</v>
      </c>
    </row>
    <row r="102" spans="1:19" ht="12">
      <c r="A102" s="395" t="s">
        <v>202</v>
      </c>
      <c r="B102" s="400"/>
      <c r="C102" s="344"/>
      <c r="D102" s="400"/>
      <c r="E102" s="400"/>
      <c r="F102" s="400"/>
      <c r="G102" s="400"/>
      <c r="H102" s="400"/>
      <c r="I102" s="400"/>
      <c r="J102" s="401"/>
      <c r="K102" s="400"/>
      <c r="L102" s="343">
        <f>B102+D102+E102+F102+G102+I102+J102+K102</f>
        <v>0</v>
      </c>
      <c r="M102" s="344"/>
      <c r="N102" s="345"/>
      <c r="O102" s="344"/>
      <c r="P102" s="396">
        <v>9500</v>
      </c>
      <c r="Q102" s="399"/>
      <c r="R102" s="268"/>
      <c r="S102" s="391">
        <f t="shared" si="21"/>
        <v>9500</v>
      </c>
    </row>
    <row r="103" spans="1:19" ht="12">
      <c r="A103" s="402" t="s">
        <v>216</v>
      </c>
      <c r="B103" s="400"/>
      <c r="C103" s="344"/>
      <c r="D103" s="400"/>
      <c r="E103" s="400"/>
      <c r="F103" s="400"/>
      <c r="G103" s="400"/>
      <c r="H103" s="400"/>
      <c r="I103" s="400"/>
      <c r="J103" s="401"/>
      <c r="K103" s="400"/>
      <c r="L103" s="343">
        <f>B103+D103+E103+F103+G103+I103+J103+K103</f>
        <v>0</v>
      </c>
      <c r="M103" s="344"/>
      <c r="N103" s="345"/>
      <c r="O103" s="344"/>
      <c r="P103" s="396">
        <v>15000</v>
      </c>
      <c r="Q103" s="399"/>
      <c r="R103" s="268"/>
      <c r="S103" s="391"/>
    </row>
    <row r="104" spans="1:19" ht="24.75" customHeight="1">
      <c r="A104" s="361" t="s">
        <v>269</v>
      </c>
      <c r="B104" s="344"/>
      <c r="C104" s="344">
        <f>úpravy!D91+úpravy!D92</f>
        <v>2031</v>
      </c>
      <c r="D104" s="344">
        <f>úpravy!E91+úpravy!E92</f>
        <v>2436</v>
      </c>
      <c r="E104" s="344">
        <f>úpravy!F91+úpravy!F92</f>
        <v>406</v>
      </c>
      <c r="F104" s="344"/>
      <c r="G104" s="344">
        <f>úpravy!H91+úpravy!H92</f>
        <v>2571</v>
      </c>
      <c r="H104" s="344"/>
      <c r="I104" s="344">
        <f>úpravy!J91+úpravy!J92</f>
        <v>136</v>
      </c>
      <c r="J104" s="345"/>
      <c r="K104" s="344"/>
      <c r="L104" s="403">
        <f aca="true" t="shared" si="23" ref="L104:L111">SUM(B104:K104)</f>
        <v>7580</v>
      </c>
      <c r="M104" s="344"/>
      <c r="N104" s="345"/>
      <c r="O104" s="344"/>
      <c r="P104" s="396"/>
      <c r="Q104" s="396">
        <f>45000+úpravy!Q91+úpravy!Q92</f>
        <v>37420</v>
      </c>
      <c r="R104" s="268"/>
      <c r="S104" s="391">
        <f t="shared" si="21"/>
        <v>45000</v>
      </c>
    </row>
    <row r="105" spans="1:19" ht="12">
      <c r="A105" s="395" t="s">
        <v>203</v>
      </c>
      <c r="B105" s="344"/>
      <c r="C105" s="344"/>
      <c r="D105" s="344"/>
      <c r="E105" s="344"/>
      <c r="F105" s="344"/>
      <c r="G105" s="344"/>
      <c r="H105" s="344"/>
      <c r="I105" s="344"/>
      <c r="J105" s="345"/>
      <c r="K105" s="344"/>
      <c r="L105" s="403">
        <f t="shared" si="23"/>
        <v>0</v>
      </c>
      <c r="M105" s="344"/>
      <c r="N105" s="345"/>
      <c r="O105" s="344"/>
      <c r="P105" s="397"/>
      <c r="Q105" s="396">
        <v>6760</v>
      </c>
      <c r="R105" s="268"/>
      <c r="S105" s="391">
        <f t="shared" si="21"/>
        <v>6760</v>
      </c>
    </row>
    <row r="106" spans="1:19" ht="12">
      <c r="A106" s="395" t="s">
        <v>204</v>
      </c>
      <c r="B106" s="344"/>
      <c r="C106" s="344"/>
      <c r="D106" s="344"/>
      <c r="E106" s="344"/>
      <c r="F106" s="344"/>
      <c r="G106" s="344"/>
      <c r="H106" s="344"/>
      <c r="I106" s="344"/>
      <c r="J106" s="345"/>
      <c r="K106" s="344"/>
      <c r="L106" s="403">
        <f t="shared" si="23"/>
        <v>0</v>
      </c>
      <c r="M106" s="341"/>
      <c r="N106" s="342"/>
      <c r="O106" s="341"/>
      <c r="P106" s="397"/>
      <c r="Q106" s="399">
        <v>13520</v>
      </c>
      <c r="R106" s="268"/>
      <c r="S106" s="391">
        <f t="shared" si="21"/>
        <v>13520</v>
      </c>
    </row>
    <row r="107" spans="1:19" ht="12">
      <c r="A107" s="402" t="s">
        <v>217</v>
      </c>
      <c r="B107" s="344"/>
      <c r="C107" s="344"/>
      <c r="D107" s="344">
        <f>úpravy!E106</f>
        <v>20000</v>
      </c>
      <c r="E107" s="344"/>
      <c r="F107" s="344">
        <f>úpravy!G106</f>
        <v>4000</v>
      </c>
      <c r="G107" s="344">
        <f>úpravy!H106</f>
        <v>4000</v>
      </c>
      <c r="H107" s="344"/>
      <c r="I107" s="344"/>
      <c r="J107" s="345">
        <f>úpravy!M106</f>
        <v>4000</v>
      </c>
      <c r="K107" s="344"/>
      <c r="L107" s="403">
        <f>SUM(C107:K107)</f>
        <v>32000</v>
      </c>
      <c r="M107" s="341"/>
      <c r="N107" s="342"/>
      <c r="O107" s="341"/>
      <c r="P107" s="400"/>
      <c r="Q107" s="399">
        <v>0</v>
      </c>
      <c r="R107" s="268"/>
      <c r="S107" s="391">
        <f>L107+Q107</f>
        <v>32000</v>
      </c>
    </row>
    <row r="108" spans="1:19" s="266" customFormat="1" ht="12">
      <c r="A108" s="361" t="s">
        <v>103</v>
      </c>
      <c r="B108" s="344">
        <f>úpravy!C108+úpravy!C109</f>
        <v>27800</v>
      </c>
      <c r="C108" s="344">
        <f>úpravy!D108</f>
        <v>5980</v>
      </c>
      <c r="D108" s="344">
        <f>úpravy!E108+úpravy!E109</f>
        <v>23995</v>
      </c>
      <c r="E108" s="344">
        <f>úpravy!F108+úpravy!F109</f>
        <v>51900</v>
      </c>
      <c r="F108" s="344">
        <f>úpravy!G108</f>
        <v>2000</v>
      </c>
      <c r="G108" s="344">
        <f>úpravy!H108</f>
        <v>9000</v>
      </c>
      <c r="H108" s="344"/>
      <c r="I108" s="344">
        <f>úpravy!J108+úpravy!J109</f>
        <v>12000</v>
      </c>
      <c r="J108" s="345">
        <f>úpravy!M108</f>
        <v>700</v>
      </c>
      <c r="K108" s="344"/>
      <c r="L108" s="403">
        <f t="shared" si="23"/>
        <v>133375</v>
      </c>
      <c r="M108" s="341"/>
      <c r="N108" s="342"/>
      <c r="O108" s="341"/>
      <c r="P108" s="400"/>
      <c r="Q108" s="399">
        <f>135000+úpravy!Q108+úpravy!Q109</f>
        <v>1625</v>
      </c>
      <c r="R108" s="268"/>
      <c r="S108" s="391">
        <f t="shared" si="21"/>
        <v>135000</v>
      </c>
    </row>
    <row r="109" spans="1:19" ht="12">
      <c r="A109" s="361" t="s">
        <v>104</v>
      </c>
      <c r="B109" s="344"/>
      <c r="C109" s="344"/>
      <c r="D109" s="344"/>
      <c r="E109" s="344"/>
      <c r="F109" s="344"/>
      <c r="G109" s="344"/>
      <c r="H109" s="344"/>
      <c r="I109" s="344"/>
      <c r="J109" s="345"/>
      <c r="K109" s="344"/>
      <c r="L109" s="403">
        <f t="shared" si="23"/>
        <v>0</v>
      </c>
      <c r="M109" s="341"/>
      <c r="N109" s="342"/>
      <c r="O109" s="341"/>
      <c r="P109" s="400"/>
      <c r="Q109" s="399">
        <v>74580</v>
      </c>
      <c r="R109" s="268"/>
      <c r="S109" s="391">
        <f t="shared" si="21"/>
        <v>74580</v>
      </c>
    </row>
    <row r="110" spans="1:19" ht="12">
      <c r="A110" s="361" t="s">
        <v>105</v>
      </c>
      <c r="B110" s="341">
        <f>úpravy!C115</f>
        <v>16511</v>
      </c>
      <c r="C110" s="341">
        <f>úpravy!D115</f>
        <v>5104</v>
      </c>
      <c r="D110" s="341"/>
      <c r="E110" s="341">
        <f>úpravy!F115</f>
        <v>26884</v>
      </c>
      <c r="F110" s="341"/>
      <c r="G110" s="341">
        <f>úpravy!H115</f>
        <v>1498</v>
      </c>
      <c r="H110" s="341"/>
      <c r="I110" s="341">
        <f>úpravy!J115</f>
        <v>8987</v>
      </c>
      <c r="J110" s="342">
        <f>úpravy!M115</f>
        <v>2096</v>
      </c>
      <c r="K110" s="341"/>
      <c r="L110" s="403">
        <f t="shared" si="23"/>
        <v>61080</v>
      </c>
      <c r="M110" s="341"/>
      <c r="N110" s="342"/>
      <c r="O110" s="341"/>
      <c r="P110" s="400"/>
      <c r="Q110" s="407">
        <f>110000+úpravy!Q115</f>
        <v>48920</v>
      </c>
      <c r="R110" s="268"/>
      <c r="S110" s="391">
        <f>L110+SUM(M110:R110)</f>
        <v>110000</v>
      </c>
    </row>
    <row r="111" spans="1:19" s="266" customFormat="1" ht="12">
      <c r="A111" s="361" t="s">
        <v>106</v>
      </c>
      <c r="B111" s="341"/>
      <c r="C111" s="341"/>
      <c r="D111" s="341"/>
      <c r="E111" s="341"/>
      <c r="F111" s="341"/>
      <c r="G111" s="341"/>
      <c r="H111" s="341"/>
      <c r="I111" s="341"/>
      <c r="J111" s="342"/>
      <c r="K111" s="341"/>
      <c r="L111" s="403">
        <f t="shared" si="23"/>
        <v>0</v>
      </c>
      <c r="M111" s="341"/>
      <c r="N111" s="342"/>
      <c r="O111" s="341"/>
      <c r="P111" s="404"/>
      <c r="Q111" s="399">
        <v>20000</v>
      </c>
      <c r="R111" s="268"/>
      <c r="S111" s="391">
        <f t="shared" si="21"/>
        <v>20000</v>
      </c>
    </row>
    <row r="112" spans="1:19" ht="12.75" thickBot="1">
      <c r="A112" s="361" t="s">
        <v>107</v>
      </c>
      <c r="B112" s="344"/>
      <c r="C112" s="344"/>
      <c r="D112" s="344"/>
      <c r="E112" s="344"/>
      <c r="F112" s="344"/>
      <c r="G112" s="344"/>
      <c r="H112" s="344"/>
      <c r="I112" s="344"/>
      <c r="J112" s="345"/>
      <c r="K112" s="344"/>
      <c r="L112" s="394">
        <f t="shared" si="22"/>
        <v>0</v>
      </c>
      <c r="M112" s="344"/>
      <c r="N112" s="345"/>
      <c r="O112" s="344"/>
      <c r="P112" s="405"/>
      <c r="Q112" s="344">
        <v>150000</v>
      </c>
      <c r="R112" s="268"/>
      <c r="S112" s="391">
        <f>Q112</f>
        <v>150000</v>
      </c>
    </row>
    <row r="113" spans="1:19" ht="12.75" thickBot="1">
      <c r="A113" s="406" t="s">
        <v>112</v>
      </c>
      <c r="B113" s="344"/>
      <c r="C113" s="344">
        <f>úpravy!D88</f>
        <v>-5632.01</v>
      </c>
      <c r="D113" s="344">
        <f>úpravy!E88</f>
        <v>-516.67</v>
      </c>
      <c r="E113" s="344"/>
      <c r="F113" s="344"/>
      <c r="G113" s="344"/>
      <c r="H113" s="344"/>
      <c r="I113" s="344"/>
      <c r="J113" s="345"/>
      <c r="K113" s="344"/>
      <c r="L113" s="394">
        <f t="shared" si="22"/>
        <v>-6148.68</v>
      </c>
      <c r="M113" s="344"/>
      <c r="N113" s="345"/>
      <c r="O113" s="344"/>
      <c r="P113" s="397"/>
      <c r="Q113" s="407">
        <f>500000+úpravy!Q88</f>
        <v>506148.68</v>
      </c>
      <c r="R113" s="268"/>
      <c r="S113" s="388">
        <f>L113+SUM(M113:R113)</f>
        <v>500000</v>
      </c>
    </row>
    <row r="114" spans="1:19" ht="12.75" thickBot="1">
      <c r="A114" s="408" t="s">
        <v>108</v>
      </c>
      <c r="B114" s="409"/>
      <c r="C114" s="409"/>
      <c r="D114" s="409"/>
      <c r="E114" s="409"/>
      <c r="F114" s="409"/>
      <c r="G114" s="409"/>
      <c r="H114" s="409"/>
      <c r="I114" s="409"/>
      <c r="J114" s="410"/>
      <c r="K114" s="409"/>
      <c r="L114" s="411">
        <f t="shared" si="22"/>
        <v>0</v>
      </c>
      <c r="M114" s="409"/>
      <c r="N114" s="410"/>
      <c r="O114" s="409"/>
      <c r="P114" s="412"/>
      <c r="Q114" s="413">
        <v>35000</v>
      </c>
      <c r="R114" s="326"/>
      <c r="S114" s="414">
        <f>L114+M114+N114+O114+P114+Q114+R114</f>
        <v>35000</v>
      </c>
    </row>
    <row r="115" spans="1:19" ht="12.75" thickBot="1">
      <c r="A115" s="415" t="s">
        <v>39</v>
      </c>
      <c r="B115" s="416">
        <f>úpravy!C16+úpravy!C20</f>
        <v>449405</v>
      </c>
      <c r="C115" s="417">
        <f>úpravy!D16</f>
        <v>72877</v>
      </c>
      <c r="D115" s="416">
        <f>úpravy!E16</f>
        <v>392694</v>
      </c>
      <c r="E115" s="416">
        <f>úpravy!F16</f>
        <v>551847</v>
      </c>
      <c r="F115" s="416">
        <f>úpravy!G16</f>
        <v>14065</v>
      </c>
      <c r="G115" s="416">
        <f>úpravy!H16</f>
        <v>248942</v>
      </c>
      <c r="H115" s="416"/>
      <c r="I115" s="416">
        <f>úpravy!J16</f>
        <v>13157</v>
      </c>
      <c r="J115" s="416">
        <f>úpravy!M16</f>
        <v>4228</v>
      </c>
      <c r="K115" s="416"/>
      <c r="L115" s="418">
        <f>B115+C115+D115+E115+F115+G115+I115+J115+K115</f>
        <v>1747215</v>
      </c>
      <c r="M115" s="416"/>
      <c r="N115" s="416"/>
      <c r="O115" s="419"/>
      <c r="P115" s="418"/>
      <c r="Q115" s="419"/>
      <c r="R115" s="416"/>
      <c r="S115" s="417">
        <f>L115+M115+N115+O115+P115+Q115+R115</f>
        <v>1747215</v>
      </c>
    </row>
    <row r="116" spans="1:19" ht="12.75" thickBot="1">
      <c r="A116" s="420" t="s">
        <v>40</v>
      </c>
      <c r="B116" s="421">
        <f>úpravy!C17</f>
        <v>27023</v>
      </c>
      <c r="C116" s="422">
        <f>úpravy!D17</f>
        <v>233014</v>
      </c>
      <c r="D116" s="421">
        <f>úpravy!E17</f>
        <v>103137</v>
      </c>
      <c r="E116" s="421">
        <f>úpravy!F17</f>
        <v>23198</v>
      </c>
      <c r="F116" s="421">
        <f>úpravy!G17</f>
        <v>48500</v>
      </c>
      <c r="G116" s="421">
        <f>úpravy!H17</f>
        <v>132339</v>
      </c>
      <c r="H116" s="421"/>
      <c r="I116" s="421">
        <f>úpravy!J17</f>
        <v>14220</v>
      </c>
      <c r="J116" s="421">
        <f>úpravy!M17</f>
        <v>8914</v>
      </c>
      <c r="K116" s="421"/>
      <c r="L116" s="423">
        <f>B116+C116+D116+E116+F116+G116+I116+J116+K116</f>
        <v>590345</v>
      </c>
      <c r="M116" s="424"/>
      <c r="N116" s="424"/>
      <c r="O116" s="425"/>
      <c r="P116" s="426"/>
      <c r="Q116" s="425"/>
      <c r="R116" s="424"/>
      <c r="S116" s="422">
        <f>L116+M116+N116+O116+P116+Q116+R116</f>
        <v>590345</v>
      </c>
    </row>
    <row r="117" spans="1:19" s="260" customFormat="1" ht="21" customHeight="1" thickBot="1">
      <c r="A117" s="369" t="s">
        <v>15</v>
      </c>
      <c r="B117" s="370"/>
      <c r="C117" s="371"/>
      <c r="D117" s="370"/>
      <c r="E117" s="370"/>
      <c r="F117" s="370">
        <f>úpravy!G39</f>
        <v>15000</v>
      </c>
      <c r="G117" s="370"/>
      <c r="H117" s="370"/>
      <c r="I117" s="370"/>
      <c r="J117" s="370"/>
      <c r="K117" s="370"/>
      <c r="L117" s="372">
        <f>SUM(B117:J117)</f>
        <v>15000</v>
      </c>
      <c r="M117" s="370"/>
      <c r="N117" s="370"/>
      <c r="O117" s="371"/>
      <c r="P117" s="370"/>
      <c r="Q117" s="371"/>
      <c r="R117" s="370">
        <v>0</v>
      </c>
      <c r="S117" s="427">
        <f>L117+M117+N117+O117+P117+Q117+R117</f>
        <v>15000</v>
      </c>
    </row>
    <row r="118" spans="1:19" s="430" customFormat="1" ht="12.75" hidden="1" thickBot="1">
      <c r="A118" s="428" t="s">
        <v>158</v>
      </c>
      <c r="B118" s="268"/>
      <c r="C118" s="271"/>
      <c r="D118" s="268"/>
      <c r="E118" s="268"/>
      <c r="F118" s="268"/>
      <c r="G118" s="268"/>
      <c r="H118" s="326"/>
      <c r="I118" s="268"/>
      <c r="J118" s="326"/>
      <c r="K118" s="326"/>
      <c r="L118" s="429"/>
      <c r="M118" s="268"/>
      <c r="N118" s="268"/>
      <c r="O118" s="271"/>
      <c r="P118" s="268"/>
      <c r="Q118" s="271"/>
      <c r="R118" s="268" t="e">
        <f>'[31]úpravy'!R60</f>
        <v>#REF!</v>
      </c>
      <c r="S118" s="388" t="e">
        <f>L118+M118+N118+O118+P118+Q118+R118</f>
        <v>#REF!</v>
      </c>
    </row>
    <row r="119" spans="1:19" ht="23.25" customHeight="1" thickBot="1">
      <c r="A119" s="369" t="s">
        <v>42</v>
      </c>
      <c r="B119" s="431">
        <f>SUM(B120:B124)</f>
        <v>435857</v>
      </c>
      <c r="C119" s="427">
        <f aca="true" t="shared" si="24" ref="C119:K119">SUM(C120:C124)</f>
        <v>177179</v>
      </c>
      <c r="D119" s="431">
        <f t="shared" si="24"/>
        <v>468312</v>
      </c>
      <c r="E119" s="431">
        <f t="shared" si="24"/>
        <v>317709</v>
      </c>
      <c r="F119" s="431">
        <f t="shared" si="24"/>
        <v>67928</v>
      </c>
      <c r="G119" s="431">
        <f>SUM(G120:G124)</f>
        <v>1103278.3</v>
      </c>
      <c r="H119" s="431">
        <f>SUM(H120:H124)</f>
        <v>0</v>
      </c>
      <c r="I119" s="431">
        <f t="shared" si="24"/>
        <v>255758</v>
      </c>
      <c r="J119" s="431">
        <f t="shared" si="24"/>
        <v>8525</v>
      </c>
      <c r="K119" s="431">
        <f t="shared" si="24"/>
        <v>0</v>
      </c>
      <c r="L119" s="372">
        <f>SUM(B119:K119)</f>
        <v>2834546.3</v>
      </c>
      <c r="M119" s="431">
        <f>M124</f>
        <v>3195180.09</v>
      </c>
      <c r="N119" s="431">
        <f>N120+N122+N123+N124+N132</f>
        <v>32087</v>
      </c>
      <c r="O119" s="431">
        <f>O120+O122+O123+O124+O132</f>
        <v>17033</v>
      </c>
      <c r="P119" s="431">
        <f>P120+P122+P123+P124+P132</f>
        <v>43798</v>
      </c>
      <c r="Q119" s="432">
        <f>Q120+Q122+Q123+Q124+Q132</f>
        <v>0</v>
      </c>
      <c r="R119" s="431">
        <f>R120+R122+R123+R124</f>
        <v>0</v>
      </c>
      <c r="S119" s="427">
        <f>L119+SUM(M119:R119)</f>
        <v>6122644.39</v>
      </c>
    </row>
    <row r="120" spans="1:19" s="430" customFormat="1" ht="12.75" thickBot="1">
      <c r="A120" s="433" t="s">
        <v>16</v>
      </c>
      <c r="B120" s="434">
        <f>36039+úpravy!C36</f>
        <v>74358</v>
      </c>
      <c r="C120" s="435">
        <f>2049+úpravy!D36</f>
        <v>15959</v>
      </c>
      <c r="D120" s="434">
        <f>50527+úpravy!E36</f>
        <v>50714</v>
      </c>
      <c r="E120" s="434">
        <f>32034+úpravy!F36</f>
        <v>74241</v>
      </c>
      <c r="F120" s="434">
        <f>23834+úpravy!G36</f>
        <v>29021</v>
      </c>
      <c r="G120" s="434">
        <v>37271</v>
      </c>
      <c r="H120" s="434"/>
      <c r="I120" s="434">
        <v>47064</v>
      </c>
      <c r="J120" s="434">
        <f>úpravy!M36</f>
        <v>190</v>
      </c>
      <c r="K120" s="434">
        <v>0</v>
      </c>
      <c r="L120" s="436">
        <f>SUM(B120:J120)</f>
        <v>328818</v>
      </c>
      <c r="M120" s="434">
        <v>0</v>
      </c>
      <c r="N120" s="434">
        <v>0</v>
      </c>
      <c r="O120" s="434">
        <v>0</v>
      </c>
      <c r="P120" s="434">
        <v>0</v>
      </c>
      <c r="Q120" s="434">
        <v>0</v>
      </c>
      <c r="R120" s="434">
        <f>úpravy!R36</f>
        <v>0</v>
      </c>
      <c r="S120" s="437">
        <f aca="true" t="shared" si="25" ref="S120:S127">L120+SUM(M120:R120)</f>
        <v>328818</v>
      </c>
    </row>
    <row r="121" spans="1:19" s="430" customFormat="1" ht="12">
      <c r="A121" s="433" t="s">
        <v>125</v>
      </c>
      <c r="B121" s="268"/>
      <c r="C121" s="269"/>
      <c r="D121" s="268"/>
      <c r="E121" s="268"/>
      <c r="F121" s="268"/>
      <c r="G121" s="268"/>
      <c r="H121" s="268"/>
      <c r="I121" s="268"/>
      <c r="J121" s="268"/>
      <c r="K121" s="268"/>
      <c r="L121" s="438">
        <f>SUM(B121:J121)</f>
        <v>0</v>
      </c>
      <c r="M121" s="268"/>
      <c r="N121" s="268"/>
      <c r="O121" s="268"/>
      <c r="P121" s="268"/>
      <c r="Q121" s="268"/>
      <c r="R121" s="268"/>
      <c r="S121" s="439">
        <f t="shared" si="25"/>
        <v>0</v>
      </c>
    </row>
    <row r="122" spans="1:19" s="430" customFormat="1" ht="12">
      <c r="A122" s="440" t="s">
        <v>56</v>
      </c>
      <c r="B122" s="307">
        <v>260101</v>
      </c>
      <c r="C122" s="441">
        <v>104120</v>
      </c>
      <c r="D122" s="307">
        <v>306922</v>
      </c>
      <c r="E122" s="307">
        <v>170571</v>
      </c>
      <c r="F122" s="307">
        <v>0</v>
      </c>
      <c r="G122" s="307">
        <v>206563</v>
      </c>
      <c r="H122" s="307">
        <v>0</v>
      </c>
      <c r="I122" s="307">
        <v>150278</v>
      </c>
      <c r="J122" s="307">
        <f>úpravy!K11</f>
        <v>0</v>
      </c>
      <c r="K122" s="307">
        <f>úpravy!L11</f>
        <v>0</v>
      </c>
      <c r="L122" s="438">
        <f>SUM(B122:J122)</f>
        <v>1198555</v>
      </c>
      <c r="M122" s="307">
        <v>0</v>
      </c>
      <c r="N122" s="307">
        <v>0</v>
      </c>
      <c r="O122" s="307">
        <v>0</v>
      </c>
      <c r="P122" s="307">
        <v>0</v>
      </c>
      <c r="Q122" s="307">
        <v>0</v>
      </c>
      <c r="R122" s="307">
        <v>0</v>
      </c>
      <c r="S122" s="439">
        <f>L122</f>
        <v>1198555</v>
      </c>
    </row>
    <row r="123" spans="1:19" s="430" customFormat="1" ht="12.75" thickBot="1">
      <c r="A123" s="440" t="s">
        <v>49</v>
      </c>
      <c r="B123" s="322">
        <v>101398</v>
      </c>
      <c r="C123" s="442">
        <v>35952</v>
      </c>
      <c r="D123" s="322">
        <v>105978</v>
      </c>
      <c r="E123" s="322">
        <v>58897</v>
      </c>
      <c r="F123" s="322">
        <v>38907</v>
      </c>
      <c r="G123" s="322">
        <v>71541</v>
      </c>
      <c r="H123" s="322">
        <v>0</v>
      </c>
      <c r="I123" s="322">
        <v>51866</v>
      </c>
      <c r="J123" s="322">
        <v>8335</v>
      </c>
      <c r="K123" s="322">
        <v>0</v>
      </c>
      <c r="L123" s="438">
        <f>SUM(B123:J123)</f>
        <v>472874</v>
      </c>
      <c r="M123" s="322">
        <v>0</v>
      </c>
      <c r="N123" s="322">
        <v>0</v>
      </c>
      <c r="O123" s="322">
        <v>0</v>
      </c>
      <c r="P123" s="322">
        <v>13798</v>
      </c>
      <c r="Q123" s="322">
        <v>0</v>
      </c>
      <c r="R123" s="268">
        <v>0</v>
      </c>
      <c r="S123" s="414">
        <f>L123+O123+P123</f>
        <v>486672</v>
      </c>
    </row>
    <row r="124" spans="1:19" s="430" customFormat="1" ht="19.5" customHeight="1" thickBot="1">
      <c r="A124" s="443" t="s">
        <v>60</v>
      </c>
      <c r="B124" s="444">
        <v>0</v>
      </c>
      <c r="C124" s="445">
        <f>C125+C135</f>
        <v>21148</v>
      </c>
      <c r="D124" s="444">
        <f>D125+D135</f>
        <v>4698</v>
      </c>
      <c r="E124" s="444">
        <f>E125+E133</f>
        <v>14000</v>
      </c>
      <c r="F124" s="444">
        <f>F125+F133</f>
        <v>0</v>
      </c>
      <c r="G124" s="444">
        <f>G125+G135</f>
        <v>787903.3</v>
      </c>
      <c r="H124" s="444">
        <f>H125+H133</f>
        <v>0</v>
      </c>
      <c r="I124" s="444">
        <f>I125+I133</f>
        <v>6550</v>
      </c>
      <c r="J124" s="444">
        <f>J125+J133</f>
        <v>0</v>
      </c>
      <c r="K124" s="444">
        <f>K125+K133</f>
        <v>0</v>
      </c>
      <c r="L124" s="446">
        <f>SUM(B124:K124)</f>
        <v>834299.3</v>
      </c>
      <c r="M124" s="444">
        <f>M125+M133</f>
        <v>3195180.09</v>
      </c>
      <c r="N124" s="444">
        <f>N125+N133+N136</f>
        <v>32087</v>
      </c>
      <c r="O124" s="444">
        <f>O125+O132++O133+O134+O135</f>
        <v>17033</v>
      </c>
      <c r="P124" s="444">
        <f>P125+P135+P133+P134</f>
        <v>30000</v>
      </c>
      <c r="Q124" s="445">
        <f>Q125+Q133</f>
        <v>0</v>
      </c>
      <c r="R124" s="444">
        <f>R125+R133</f>
        <v>0</v>
      </c>
      <c r="S124" s="447">
        <f t="shared" si="25"/>
        <v>4108599.3899999997</v>
      </c>
    </row>
    <row r="125" spans="1:19" ht="18.75" customHeight="1" thickBot="1">
      <c r="A125" s="448" t="s">
        <v>61</v>
      </c>
      <c r="B125" s="449"/>
      <c r="C125" s="450"/>
      <c r="D125" s="449"/>
      <c r="E125" s="449"/>
      <c r="F125" s="449"/>
      <c r="G125" s="449">
        <f>SUM(G126:G132)+G136+G137+G138</f>
        <v>777329.3</v>
      </c>
      <c r="H125" s="449">
        <v>0</v>
      </c>
      <c r="I125" s="449"/>
      <c r="J125" s="449"/>
      <c r="K125" s="449">
        <v>0</v>
      </c>
      <c r="L125" s="451">
        <f>L126+L127+L128+L129+L130+L131+L132</f>
        <v>777329.3</v>
      </c>
      <c r="M125" s="452">
        <f>SUM(M126:M138)</f>
        <v>3195180.09</v>
      </c>
      <c r="N125" s="449">
        <f>SUM(N126:N132)</f>
        <v>0</v>
      </c>
      <c r="O125" s="450">
        <f>SUM(O126:O132)</f>
        <v>0</v>
      </c>
      <c r="P125" s="449">
        <f>SUM(P126:P132)</f>
        <v>0</v>
      </c>
      <c r="Q125" s="450">
        <f>SUM(Q126:Q132)</f>
        <v>0</v>
      </c>
      <c r="R125" s="449">
        <f>SUM(R126:R139)</f>
        <v>0</v>
      </c>
      <c r="S125" s="453">
        <f>L125+SUM(M125:R125)</f>
        <v>3972509.3899999997</v>
      </c>
    </row>
    <row r="126" spans="1:19" ht="18.75" customHeight="1">
      <c r="A126" s="454" t="s">
        <v>62</v>
      </c>
      <c r="B126" s="455"/>
      <c r="C126" s="456"/>
      <c r="D126" s="455"/>
      <c r="E126" s="455"/>
      <c r="F126" s="455"/>
      <c r="G126" s="457">
        <f>368085+4929+úpravy!H32</f>
        <v>394714.5</v>
      </c>
      <c r="H126" s="458"/>
      <c r="I126" s="455"/>
      <c r="J126" s="455"/>
      <c r="K126" s="458"/>
      <c r="L126" s="459">
        <f aca="true" t="shared" si="26" ref="L126:L132">SUM(B126:K126)</f>
        <v>394714.5</v>
      </c>
      <c r="M126" s="460">
        <f>1523940+19542+úpravy!K32</f>
        <v>1626265.8</v>
      </c>
      <c r="N126" s="461"/>
      <c r="O126" s="462"/>
      <c r="P126" s="461"/>
      <c r="Q126" s="463"/>
      <c r="R126" s="461">
        <f>24471-24471</f>
        <v>0</v>
      </c>
      <c r="S126" s="464">
        <f t="shared" si="25"/>
        <v>2020980.3</v>
      </c>
    </row>
    <row r="127" spans="1:19" ht="19.5" customHeight="1">
      <c r="A127" s="465" t="s">
        <v>63</v>
      </c>
      <c r="B127" s="466"/>
      <c r="C127" s="467"/>
      <c r="D127" s="466"/>
      <c r="E127" s="466"/>
      <c r="F127" s="466"/>
      <c r="G127" s="466">
        <f>129566+1735+úpravy!H33</f>
        <v>138489.49</v>
      </c>
      <c r="H127" s="468"/>
      <c r="I127" s="466"/>
      <c r="J127" s="466"/>
      <c r="K127" s="468"/>
      <c r="L127" s="469">
        <f t="shared" si="26"/>
        <v>138489.49</v>
      </c>
      <c r="M127" s="470">
        <f>536427+6879+úpravy!K33</f>
        <v>570623.21</v>
      </c>
      <c r="N127" s="471"/>
      <c r="O127" s="472"/>
      <c r="P127" s="471"/>
      <c r="Q127" s="473"/>
      <c r="R127" s="471">
        <f>8614-8614</f>
        <v>0</v>
      </c>
      <c r="S127" s="474">
        <f t="shared" si="25"/>
        <v>709112.7</v>
      </c>
    </row>
    <row r="128" spans="1:19" ht="19.5" customHeight="1" hidden="1">
      <c r="A128" s="475" t="s">
        <v>64</v>
      </c>
      <c r="B128" s="476"/>
      <c r="C128" s="477"/>
      <c r="D128" s="476"/>
      <c r="E128" s="476"/>
      <c r="F128" s="476"/>
      <c r="G128" s="476"/>
      <c r="H128" s="478"/>
      <c r="I128" s="476"/>
      <c r="J128" s="476"/>
      <c r="K128" s="478"/>
      <c r="L128" s="459">
        <f t="shared" si="26"/>
        <v>0</v>
      </c>
      <c r="M128" s="479"/>
      <c r="N128" s="476"/>
      <c r="O128" s="477"/>
      <c r="P128" s="476"/>
      <c r="Q128" s="480"/>
      <c r="R128" s="476"/>
      <c r="S128" s="481">
        <f>SUM(L128:R128)</f>
        <v>0</v>
      </c>
    </row>
    <row r="129" spans="1:19" ht="18.75" customHeight="1" hidden="1">
      <c r="A129" s="475" t="s">
        <v>65</v>
      </c>
      <c r="B129" s="476"/>
      <c r="C129" s="477"/>
      <c r="D129" s="476"/>
      <c r="E129" s="476"/>
      <c r="F129" s="476"/>
      <c r="G129" s="476"/>
      <c r="H129" s="478"/>
      <c r="I129" s="476"/>
      <c r="J129" s="476"/>
      <c r="K129" s="478"/>
      <c r="L129" s="459">
        <f t="shared" si="26"/>
        <v>0</v>
      </c>
      <c r="M129" s="479"/>
      <c r="N129" s="476"/>
      <c r="O129" s="477"/>
      <c r="P129" s="476"/>
      <c r="Q129" s="480"/>
      <c r="R129" s="476"/>
      <c r="S129" s="481">
        <f>SUM(L129:R129)</f>
        <v>0</v>
      </c>
    </row>
    <row r="130" spans="1:19" ht="18.75" customHeight="1">
      <c r="A130" s="482" t="s">
        <v>190</v>
      </c>
      <c r="B130" s="483"/>
      <c r="C130" s="484"/>
      <c r="D130" s="483"/>
      <c r="E130" s="483"/>
      <c r="F130" s="483"/>
      <c r="G130" s="483">
        <v>188610</v>
      </c>
      <c r="H130" s="483"/>
      <c r="I130" s="483"/>
      <c r="J130" s="483"/>
      <c r="K130" s="483"/>
      <c r="L130" s="485">
        <f t="shared" si="26"/>
        <v>188610</v>
      </c>
      <c r="M130" s="486">
        <v>366158</v>
      </c>
      <c r="N130" s="487"/>
      <c r="O130" s="488"/>
      <c r="P130" s="487"/>
      <c r="Q130" s="489"/>
      <c r="R130" s="487">
        <v>0</v>
      </c>
      <c r="S130" s="490">
        <f aca="true" t="shared" si="27" ref="S130:S139">L130+SUM(M130:R130)</f>
        <v>554768</v>
      </c>
    </row>
    <row r="131" spans="1:19" s="260" customFormat="1" ht="19.5" customHeight="1">
      <c r="A131" s="491" t="s">
        <v>66</v>
      </c>
      <c r="B131" s="483"/>
      <c r="C131" s="484"/>
      <c r="D131" s="483"/>
      <c r="E131" s="483"/>
      <c r="F131" s="483"/>
      <c r="G131" s="483">
        <f>úpravy!H42+úpravy!H169</f>
        <v>1612.31</v>
      </c>
      <c r="H131" s="483"/>
      <c r="I131" s="483"/>
      <c r="J131" s="483"/>
      <c r="K131" s="483"/>
      <c r="L131" s="485">
        <f t="shared" si="26"/>
        <v>1612.31</v>
      </c>
      <c r="M131" s="486">
        <f>414790+úpravy!K42+úpravy!K169</f>
        <v>421401.08</v>
      </c>
      <c r="N131" s="492"/>
      <c r="O131" s="493"/>
      <c r="P131" s="492"/>
      <c r="Q131" s="494"/>
      <c r="R131" s="487">
        <f>1087.39-1087.39</f>
        <v>0</v>
      </c>
      <c r="S131" s="490">
        <f t="shared" si="27"/>
        <v>423013.39</v>
      </c>
    </row>
    <row r="132" spans="1:19" ht="19.5" customHeight="1">
      <c r="A132" s="495" t="s">
        <v>109</v>
      </c>
      <c r="B132" s="307"/>
      <c r="C132" s="317"/>
      <c r="D132" s="307"/>
      <c r="E132" s="307"/>
      <c r="F132" s="307"/>
      <c r="G132" s="483">
        <f>26090+úpravy!H35</f>
        <v>53903</v>
      </c>
      <c r="H132" s="307"/>
      <c r="I132" s="307"/>
      <c r="J132" s="307"/>
      <c r="K132" s="307"/>
      <c r="L132" s="485">
        <f t="shared" si="26"/>
        <v>53903</v>
      </c>
      <c r="M132" s="486">
        <f>108545+úpravy!K35</f>
        <v>210732</v>
      </c>
      <c r="N132" s="307"/>
      <c r="O132" s="317"/>
      <c r="P132" s="307"/>
      <c r="Q132" s="496"/>
      <c r="R132" s="487">
        <f>úpravy!R35</f>
        <v>0</v>
      </c>
      <c r="S132" s="490">
        <f t="shared" si="27"/>
        <v>264635</v>
      </c>
    </row>
    <row r="133" spans="1:19" ht="19.5" customHeight="1">
      <c r="A133" s="497" t="s">
        <v>226</v>
      </c>
      <c r="B133" s="322"/>
      <c r="C133" s="498"/>
      <c r="D133" s="499"/>
      <c r="E133" s="322">
        <f>úpravy!F38</f>
        <v>14000</v>
      </c>
      <c r="F133" s="322"/>
      <c r="G133" s="499"/>
      <c r="H133" s="322"/>
      <c r="I133" s="322">
        <f>úpravy!J37</f>
        <v>6550</v>
      </c>
      <c r="J133" s="322"/>
      <c r="K133" s="322"/>
      <c r="L133" s="500"/>
      <c r="M133" s="322"/>
      <c r="N133" s="322">
        <v>32087</v>
      </c>
      <c r="O133" s="323"/>
      <c r="P133" s="501">
        <v>15000</v>
      </c>
      <c r="Q133" s="502"/>
      <c r="R133" s="322"/>
      <c r="S133" s="503">
        <f>SUM(B133:R133)</f>
        <v>67637</v>
      </c>
    </row>
    <row r="134" spans="1:19" ht="19.5" customHeight="1">
      <c r="A134" s="497" t="s">
        <v>225</v>
      </c>
      <c r="B134" s="322"/>
      <c r="C134" s="498"/>
      <c r="D134" s="499"/>
      <c r="E134" s="322"/>
      <c r="F134" s="504"/>
      <c r="G134" s="505"/>
      <c r="H134" s="309"/>
      <c r="I134" s="309"/>
      <c r="J134" s="309"/>
      <c r="K134" s="309"/>
      <c r="L134" s="438"/>
      <c r="M134" s="309"/>
      <c r="N134" s="309"/>
      <c r="O134" s="309"/>
      <c r="P134" s="506">
        <v>15000</v>
      </c>
      <c r="Q134" s="312"/>
      <c r="R134" s="309"/>
      <c r="S134" s="507">
        <f>P134</f>
        <v>15000</v>
      </c>
    </row>
    <row r="135" spans="1:19" s="505" customFormat="1" ht="19.5" customHeight="1" thickBot="1">
      <c r="A135" s="508" t="s">
        <v>110</v>
      </c>
      <c r="B135" s="307">
        <v>0</v>
      </c>
      <c r="C135" s="509">
        <v>21148</v>
      </c>
      <c r="D135" s="510">
        <v>4698</v>
      </c>
      <c r="E135" s="510"/>
      <c r="F135" s="510"/>
      <c r="G135" s="510">
        <v>10574</v>
      </c>
      <c r="H135" s="309">
        <v>0</v>
      </c>
      <c r="I135" s="309">
        <v>0</v>
      </c>
      <c r="J135" s="309">
        <v>0</v>
      </c>
      <c r="K135" s="309">
        <v>0</v>
      </c>
      <c r="L135" s="438">
        <f>SUM(B135:K135)</f>
        <v>36420</v>
      </c>
      <c r="M135" s="309"/>
      <c r="N135" s="309"/>
      <c r="O135" s="309">
        <v>17033</v>
      </c>
      <c r="P135" s="309">
        <f>53453+úpravy!P15</f>
        <v>0</v>
      </c>
      <c r="Q135" s="511"/>
      <c r="R135" s="307"/>
      <c r="S135" s="512">
        <f t="shared" si="27"/>
        <v>53453</v>
      </c>
    </row>
    <row r="136" spans="1:19" ht="19.5" customHeight="1" hidden="1">
      <c r="A136" s="349" t="s">
        <v>132</v>
      </c>
      <c r="B136" s="326"/>
      <c r="C136" s="327"/>
      <c r="D136" s="326"/>
      <c r="E136" s="326"/>
      <c r="F136" s="326"/>
      <c r="G136" s="285"/>
      <c r="H136" s="326"/>
      <c r="I136" s="326"/>
      <c r="J136" s="326"/>
      <c r="K136" s="326"/>
      <c r="L136" s="360"/>
      <c r="M136" s="326"/>
      <c r="N136" s="326"/>
      <c r="O136" s="327"/>
      <c r="P136" s="326"/>
      <c r="Q136" s="513"/>
      <c r="R136" s="514"/>
      <c r="S136" s="515">
        <f t="shared" si="27"/>
        <v>0</v>
      </c>
    </row>
    <row r="137" spans="1:19" ht="19.5" customHeight="1" hidden="1">
      <c r="A137" s="349" t="s">
        <v>133</v>
      </c>
      <c r="B137" s="326"/>
      <c r="C137" s="327"/>
      <c r="D137" s="326"/>
      <c r="E137" s="326"/>
      <c r="F137" s="326"/>
      <c r="G137" s="285"/>
      <c r="H137" s="326"/>
      <c r="I137" s="326"/>
      <c r="J137" s="326"/>
      <c r="K137" s="326"/>
      <c r="L137" s="354"/>
      <c r="M137" s="326"/>
      <c r="N137" s="326"/>
      <c r="O137" s="327"/>
      <c r="P137" s="326"/>
      <c r="Q137" s="513"/>
      <c r="R137" s="514"/>
      <c r="S137" s="512">
        <f t="shared" si="27"/>
        <v>0</v>
      </c>
    </row>
    <row r="138" spans="1:19" ht="19.5" customHeight="1" hidden="1">
      <c r="A138" s="516" t="s">
        <v>140</v>
      </c>
      <c r="B138" s="326"/>
      <c r="C138" s="327"/>
      <c r="D138" s="326"/>
      <c r="E138" s="326"/>
      <c r="F138" s="326"/>
      <c r="G138" s="285"/>
      <c r="H138" s="326"/>
      <c r="I138" s="326"/>
      <c r="J138" s="326"/>
      <c r="K138" s="326"/>
      <c r="L138" s="354"/>
      <c r="M138" s="326"/>
      <c r="N138" s="326"/>
      <c r="O138" s="327"/>
      <c r="P138" s="326"/>
      <c r="Q138" s="513"/>
      <c r="R138" s="514"/>
      <c r="S138" s="512">
        <f t="shared" si="27"/>
        <v>0</v>
      </c>
    </row>
    <row r="139" spans="1:19" ht="19.5" customHeight="1" hidden="1" thickBot="1">
      <c r="A139" s="349" t="s">
        <v>159</v>
      </c>
      <c r="B139" s="326"/>
      <c r="C139" s="327"/>
      <c r="D139" s="326"/>
      <c r="E139" s="326"/>
      <c r="F139" s="326"/>
      <c r="G139" s="285"/>
      <c r="H139" s="326"/>
      <c r="I139" s="326"/>
      <c r="J139" s="326"/>
      <c r="K139" s="326"/>
      <c r="L139" s="354"/>
      <c r="M139" s="326"/>
      <c r="N139" s="326"/>
      <c r="O139" s="327"/>
      <c r="P139" s="326"/>
      <c r="Q139" s="513"/>
      <c r="R139" s="514"/>
      <c r="S139" s="512">
        <f t="shared" si="27"/>
        <v>0</v>
      </c>
    </row>
    <row r="140" spans="1:19" ht="18.75" customHeight="1" thickBot="1">
      <c r="A140" s="517" t="s">
        <v>31</v>
      </c>
      <c r="B140" s="518">
        <f>úpravy!C9+úpravy!C76</f>
        <v>573925.7</v>
      </c>
      <c r="C140" s="519">
        <f>úpravy!D9+úpravy!D76+úpravy!D77</f>
        <v>656995.3</v>
      </c>
      <c r="D140" s="518">
        <f>úpravy!E9</f>
        <v>975954</v>
      </c>
      <c r="E140" s="518">
        <f>úpravy!F9+úpravy!F77</f>
        <v>1652042</v>
      </c>
      <c r="F140" s="518">
        <f>úpravy!G9</f>
        <v>0</v>
      </c>
      <c r="G140" s="518">
        <f>úpravy!H9</f>
        <v>517945</v>
      </c>
      <c r="H140" s="518">
        <v>0</v>
      </c>
      <c r="I140" s="518">
        <f>úpravy!J9</f>
        <v>76524</v>
      </c>
      <c r="J140" s="518">
        <f>úpravy!M9</f>
        <v>28495</v>
      </c>
      <c r="K140" s="518"/>
      <c r="L140" s="520">
        <f>SUM(B140:K140)</f>
        <v>4481881</v>
      </c>
      <c r="M140" s="518"/>
      <c r="N140" s="518"/>
      <c r="O140" s="521"/>
      <c r="P140" s="518"/>
      <c r="Q140" s="521"/>
      <c r="R140" s="518"/>
      <c r="S140" s="522">
        <f aca="true" t="shared" si="28" ref="S140:S145">L140+M140+N140+O140+P140+Q140+R140</f>
        <v>4481881</v>
      </c>
    </row>
    <row r="141" spans="1:19" ht="20.25" customHeight="1" thickBot="1">
      <c r="A141" s="523" t="s">
        <v>32</v>
      </c>
      <c r="B141" s="524"/>
      <c r="C141" s="525">
        <f>úpravy!D10</f>
        <v>266539.8</v>
      </c>
      <c r="D141" s="524">
        <f>úpravy!E10</f>
        <v>359025.75</v>
      </c>
      <c r="E141" s="524"/>
      <c r="F141" s="524"/>
      <c r="G141" s="524"/>
      <c r="H141" s="524"/>
      <c r="I141" s="524"/>
      <c r="J141" s="524"/>
      <c r="K141" s="524"/>
      <c r="L141" s="520">
        <f>SUM(B141:K141)</f>
        <v>625565.55</v>
      </c>
      <c r="M141" s="524"/>
      <c r="N141" s="524"/>
      <c r="O141" s="525"/>
      <c r="P141" s="524"/>
      <c r="Q141" s="525"/>
      <c r="R141" s="524"/>
      <c r="S141" s="522">
        <f t="shared" si="28"/>
        <v>625565.55</v>
      </c>
    </row>
    <row r="142" spans="1:19" ht="19.5" customHeight="1" thickBot="1">
      <c r="A142" s="526" t="s">
        <v>33</v>
      </c>
      <c r="B142" s="518"/>
      <c r="C142" s="521"/>
      <c r="D142" s="518"/>
      <c r="E142" s="518"/>
      <c r="F142" s="518"/>
      <c r="G142" s="518"/>
      <c r="H142" s="518"/>
      <c r="I142" s="518"/>
      <c r="J142" s="518"/>
      <c r="K142" s="518"/>
      <c r="L142" s="520"/>
      <c r="M142" s="518"/>
      <c r="N142" s="518"/>
      <c r="O142" s="521"/>
      <c r="P142" s="518"/>
      <c r="Q142" s="521"/>
      <c r="R142" s="518"/>
      <c r="S142" s="522">
        <f t="shared" si="28"/>
        <v>0</v>
      </c>
    </row>
    <row r="143" spans="1:19" ht="18.75" customHeight="1" thickBot="1">
      <c r="A143" s="523" t="s">
        <v>34</v>
      </c>
      <c r="B143" s="524"/>
      <c r="C143" s="525"/>
      <c r="D143" s="524"/>
      <c r="E143" s="524"/>
      <c r="F143" s="524"/>
      <c r="G143" s="524"/>
      <c r="H143" s="524"/>
      <c r="I143" s="524"/>
      <c r="J143" s="524"/>
      <c r="K143" s="524"/>
      <c r="L143" s="520">
        <f>SUM(B143:K143)</f>
        <v>0</v>
      </c>
      <c r="M143" s="524"/>
      <c r="N143" s="524"/>
      <c r="O143" s="525"/>
      <c r="P143" s="518"/>
      <c r="Q143" s="525"/>
      <c r="R143" s="524"/>
      <c r="S143" s="527">
        <f t="shared" si="28"/>
        <v>0</v>
      </c>
    </row>
    <row r="144" spans="1:19" ht="18.75" customHeight="1" thickBot="1">
      <c r="A144" s="528" t="s">
        <v>35</v>
      </c>
      <c r="B144" s="518">
        <f>úpravy!C7</f>
        <v>97080</v>
      </c>
      <c r="C144" s="519">
        <f>úpravy!D7</f>
        <v>26745</v>
      </c>
      <c r="D144" s="518">
        <f>úpravy!E7</f>
        <v>253915</v>
      </c>
      <c r="E144" s="518">
        <f>úpravy!F7</f>
        <v>58340</v>
      </c>
      <c r="F144" s="518">
        <f>úpravy!G7</f>
        <v>37140</v>
      </c>
      <c r="G144" s="518">
        <f>úpravy!H7</f>
        <v>5060</v>
      </c>
      <c r="H144" s="518"/>
      <c r="I144" s="518">
        <f>úpravy!J7</f>
        <v>55515</v>
      </c>
      <c r="J144" s="518">
        <f>úpravy!M7</f>
        <v>10120</v>
      </c>
      <c r="K144" s="518"/>
      <c r="L144" s="520">
        <f>SUM(B144:K144)</f>
        <v>543915</v>
      </c>
      <c r="M144" s="518"/>
      <c r="N144" s="518"/>
      <c r="O144" s="521"/>
      <c r="P144" s="529"/>
      <c r="Q144" s="521"/>
      <c r="R144" s="518"/>
      <c r="S144" s="522">
        <f t="shared" si="28"/>
        <v>543915</v>
      </c>
    </row>
    <row r="145" spans="1:19" ht="18.75" customHeight="1" thickBot="1">
      <c r="A145" s="528" t="s">
        <v>36</v>
      </c>
      <c r="B145" s="518">
        <f>úpravy!C8</f>
        <v>4734</v>
      </c>
      <c r="C145" s="519">
        <f>úpravy!D8</f>
        <v>4680</v>
      </c>
      <c r="D145" s="518">
        <f>úpravy!E8</f>
        <v>4680</v>
      </c>
      <c r="E145" s="518">
        <f>úpravy!F8</f>
        <v>3880</v>
      </c>
      <c r="F145" s="518">
        <f>úpravy!G8</f>
        <v>6710</v>
      </c>
      <c r="G145" s="518">
        <f>úpravy!H8</f>
        <v>0</v>
      </c>
      <c r="H145" s="518"/>
      <c r="I145" s="518">
        <f>úpravy!J8</f>
        <v>0</v>
      </c>
      <c r="J145" s="518">
        <f>úpravy!M8</f>
        <v>0</v>
      </c>
      <c r="K145" s="518"/>
      <c r="L145" s="520">
        <f>SUM(B145:K145)</f>
        <v>24684</v>
      </c>
      <c r="M145" s="518"/>
      <c r="N145" s="518"/>
      <c r="O145" s="521"/>
      <c r="P145" s="518"/>
      <c r="Q145" s="521"/>
      <c r="R145" s="518"/>
      <c r="S145" s="522">
        <f t="shared" si="28"/>
        <v>24684</v>
      </c>
    </row>
    <row r="146" spans="1:19" s="430" customFormat="1" ht="18.75" customHeight="1">
      <c r="A146" s="530"/>
      <c r="B146" s="326"/>
      <c r="C146" s="327"/>
      <c r="D146" s="326"/>
      <c r="E146" s="326"/>
      <c r="F146" s="326"/>
      <c r="G146" s="326"/>
      <c r="H146" s="326"/>
      <c r="I146" s="326"/>
      <c r="J146" s="326"/>
      <c r="K146" s="326"/>
      <c r="L146" s="429"/>
      <c r="M146" s="326"/>
      <c r="N146" s="326"/>
      <c r="O146" s="327"/>
      <c r="P146" s="326"/>
      <c r="Q146" s="327"/>
      <c r="R146" s="326"/>
      <c r="S146" s="414"/>
    </row>
    <row r="147" spans="1:19" s="536" customFormat="1" ht="12.75" thickBot="1">
      <c r="A147" s="531"/>
      <c r="B147" s="532"/>
      <c r="C147" s="533"/>
      <c r="D147" s="532"/>
      <c r="E147" s="532"/>
      <c r="F147" s="532"/>
      <c r="G147" s="532"/>
      <c r="H147" s="532"/>
      <c r="I147" s="532"/>
      <c r="J147" s="532"/>
      <c r="K147" s="532"/>
      <c r="L147" s="534"/>
      <c r="M147" s="532"/>
      <c r="N147" s="532"/>
      <c r="O147" s="533"/>
      <c r="P147" s="532"/>
      <c r="Q147" s="533"/>
      <c r="R147" s="532"/>
      <c r="S147" s="535">
        <f>L147+M147+N147+O147+P147+Q147+R147</f>
        <v>0</v>
      </c>
    </row>
    <row r="148" spans="1:19" s="260" customFormat="1" ht="21" customHeight="1" thickBot="1">
      <c r="A148" s="537" t="s">
        <v>37</v>
      </c>
      <c r="B148" s="538">
        <f aca="true" t="shared" si="29" ref="B148:K148">SUM(B150:B161)</f>
        <v>0</v>
      </c>
      <c r="C148" s="539">
        <f t="shared" si="29"/>
        <v>33460.2</v>
      </c>
      <c r="D148" s="538">
        <f t="shared" si="29"/>
        <v>300000</v>
      </c>
      <c r="E148" s="538">
        <f t="shared" si="29"/>
        <v>85000</v>
      </c>
      <c r="F148" s="538">
        <f t="shared" si="29"/>
        <v>0</v>
      </c>
      <c r="G148" s="538">
        <f t="shared" si="29"/>
        <v>75000</v>
      </c>
      <c r="H148" s="538">
        <f>SUM(H150:H161)</f>
        <v>0</v>
      </c>
      <c r="I148" s="538">
        <f t="shared" si="29"/>
        <v>0</v>
      </c>
      <c r="J148" s="538">
        <f t="shared" si="29"/>
        <v>0</v>
      </c>
      <c r="K148" s="538">
        <f t="shared" si="29"/>
        <v>0</v>
      </c>
      <c r="L148" s="540">
        <f>SUM(B148:I148)+J148</f>
        <v>493460.2</v>
      </c>
      <c r="M148" s="538">
        <f aca="true" t="shared" si="30" ref="M148:R148">SUM(M150:M161)</f>
        <v>0</v>
      </c>
      <c r="N148" s="538">
        <f t="shared" si="30"/>
        <v>0</v>
      </c>
      <c r="O148" s="539">
        <f t="shared" si="30"/>
        <v>42000</v>
      </c>
      <c r="P148" s="538">
        <f t="shared" si="30"/>
        <v>0</v>
      </c>
      <c r="Q148" s="539">
        <f t="shared" si="30"/>
        <v>0</v>
      </c>
      <c r="R148" s="538">
        <f t="shared" si="30"/>
        <v>0</v>
      </c>
      <c r="S148" s="541">
        <f>L148+M148+N148+O148+P148+Q148+R148</f>
        <v>535460.2</v>
      </c>
    </row>
    <row r="149" spans="1:19" s="260" customFormat="1" ht="44.25" customHeight="1" thickBot="1">
      <c r="A149" s="542" t="s">
        <v>120</v>
      </c>
      <c r="B149" s="543">
        <f>SUM(B150:B153)</f>
        <v>0</v>
      </c>
      <c r="C149" s="544">
        <f>SUM(C150:C153)</f>
        <v>0</v>
      </c>
      <c r="D149" s="543">
        <f>SUM(D150:D153)</f>
        <v>300000</v>
      </c>
      <c r="E149" s="543">
        <f>SUM(E150:E153)</f>
        <v>85000</v>
      </c>
      <c r="F149" s="543">
        <f aca="true" t="shared" si="31" ref="F149:M149">SUM(F150:F153)</f>
        <v>0</v>
      </c>
      <c r="G149" s="543">
        <f t="shared" si="31"/>
        <v>75000</v>
      </c>
      <c r="H149" s="543">
        <f>SUM(H150:H153)</f>
        <v>0</v>
      </c>
      <c r="I149" s="543">
        <f t="shared" si="31"/>
        <v>0</v>
      </c>
      <c r="J149" s="543">
        <f t="shared" si="31"/>
        <v>0</v>
      </c>
      <c r="K149" s="543">
        <f t="shared" si="31"/>
        <v>0</v>
      </c>
      <c r="L149" s="545">
        <f>SUM(B149:K149)</f>
        <v>460000</v>
      </c>
      <c r="M149" s="543">
        <f t="shared" si="31"/>
        <v>0</v>
      </c>
      <c r="N149" s="543">
        <f>SUM(N150:N153)</f>
        <v>0</v>
      </c>
      <c r="O149" s="544">
        <f>SUM(O150:O153)</f>
        <v>42000</v>
      </c>
      <c r="P149" s="543">
        <f>SUM(P150:P153)</f>
        <v>0</v>
      </c>
      <c r="Q149" s="544">
        <f>SUM(Q150:Q153)</f>
        <v>0</v>
      </c>
      <c r="R149" s="543">
        <f>SUM(R150:R153)</f>
        <v>0</v>
      </c>
      <c r="S149" s="546">
        <f>SUM(L149:R149)</f>
        <v>502000</v>
      </c>
    </row>
    <row r="150" spans="1:19" s="260" customFormat="1" ht="24">
      <c r="A150" s="5" t="s">
        <v>230</v>
      </c>
      <c r="B150" s="547">
        <v>0</v>
      </c>
      <c r="C150" s="548"/>
      <c r="D150" s="547"/>
      <c r="E150" s="268"/>
      <c r="F150" s="547"/>
      <c r="G150" s="547"/>
      <c r="H150" s="547"/>
      <c r="I150" s="547"/>
      <c r="J150" s="547"/>
      <c r="K150" s="547">
        <v>0</v>
      </c>
      <c r="L150" s="360">
        <f>SUM(K150)</f>
        <v>0</v>
      </c>
      <c r="M150" s="547"/>
      <c r="N150" s="547"/>
      <c r="O150" s="548">
        <v>42000</v>
      </c>
      <c r="P150" s="547"/>
      <c r="Q150" s="548"/>
      <c r="R150" s="547"/>
      <c r="S150" s="388">
        <f>SUM(L150:R150)</f>
        <v>42000</v>
      </c>
    </row>
    <row r="151" spans="1:19" s="260" customFormat="1" ht="12">
      <c r="A151" s="5" t="s">
        <v>287</v>
      </c>
      <c r="B151" s="549"/>
      <c r="C151" s="384"/>
      <c r="D151" s="549"/>
      <c r="E151" s="326"/>
      <c r="F151" s="549"/>
      <c r="G151" s="549">
        <v>75000</v>
      </c>
      <c r="H151" s="549"/>
      <c r="I151" s="549"/>
      <c r="J151" s="549"/>
      <c r="K151" s="549"/>
      <c r="L151" s="360">
        <f>SUM(B151:K151)</f>
        <v>75000</v>
      </c>
      <c r="M151" s="549"/>
      <c r="N151" s="549"/>
      <c r="O151" s="384"/>
      <c r="P151" s="549"/>
      <c r="Q151" s="384"/>
      <c r="R151" s="549"/>
      <c r="S151" s="388">
        <f>SUM(L151:R151)</f>
        <v>75000</v>
      </c>
    </row>
    <row r="152" spans="1:19" s="260" customFormat="1" ht="24">
      <c r="A152" s="6" t="s">
        <v>231</v>
      </c>
      <c r="B152" s="549"/>
      <c r="C152" s="384"/>
      <c r="D152" s="549">
        <v>300000</v>
      </c>
      <c r="E152" s="326"/>
      <c r="F152" s="549"/>
      <c r="G152" s="549"/>
      <c r="H152" s="549"/>
      <c r="I152" s="549"/>
      <c r="J152" s="549"/>
      <c r="K152" s="549"/>
      <c r="L152" s="360">
        <f>SUM(B152:K152)</f>
        <v>300000</v>
      </c>
      <c r="M152" s="549"/>
      <c r="N152" s="549"/>
      <c r="O152" s="384"/>
      <c r="P152" s="549"/>
      <c r="Q152" s="384"/>
      <c r="R152" s="549"/>
      <c r="S152" s="388">
        <f>SUM(L152:R152)</f>
        <v>300000</v>
      </c>
    </row>
    <row r="153" spans="1:19" s="260" customFormat="1" ht="24.75" thickBot="1">
      <c r="A153" s="109" t="s">
        <v>233</v>
      </c>
      <c r="B153" s="322"/>
      <c r="C153" s="323"/>
      <c r="D153" s="322"/>
      <c r="E153" s="322">
        <v>85000</v>
      </c>
      <c r="F153" s="322"/>
      <c r="G153" s="322"/>
      <c r="H153" s="322"/>
      <c r="I153" s="322"/>
      <c r="J153" s="322"/>
      <c r="K153" s="322"/>
      <c r="L153" s="360">
        <f>SUM(B153:K153)</f>
        <v>85000</v>
      </c>
      <c r="M153" s="322"/>
      <c r="N153" s="322"/>
      <c r="O153" s="323"/>
      <c r="P153" s="322"/>
      <c r="Q153" s="323"/>
      <c r="R153" s="322"/>
      <c r="S153" s="388">
        <f>SUM(L153:R153)</f>
        <v>85000</v>
      </c>
    </row>
    <row r="154" spans="1:19" ht="12.75" hidden="1" thickBot="1">
      <c r="A154" s="517" t="s">
        <v>31</v>
      </c>
      <c r="B154" s="550"/>
      <c r="C154" s="551"/>
      <c r="D154" s="550"/>
      <c r="E154" s="550"/>
      <c r="F154" s="550"/>
      <c r="G154" s="550"/>
      <c r="H154" s="550"/>
      <c r="I154" s="550"/>
      <c r="J154" s="550"/>
      <c r="K154" s="550"/>
      <c r="L154" s="552">
        <f>SUM(B154:I154)</f>
        <v>0</v>
      </c>
      <c r="M154" s="550"/>
      <c r="N154" s="550"/>
      <c r="O154" s="551"/>
      <c r="P154" s="550"/>
      <c r="Q154" s="551"/>
      <c r="R154" s="550"/>
      <c r="S154" s="553">
        <f>L154+M154+N154+O154+P154+Q154+R154</f>
        <v>0</v>
      </c>
    </row>
    <row r="155" spans="1:19" ht="15.75" customHeight="1" thickBot="1">
      <c r="A155" s="554" t="s">
        <v>32</v>
      </c>
      <c r="B155" s="555"/>
      <c r="C155" s="556">
        <f>úpravy!D210</f>
        <v>33460.2</v>
      </c>
      <c r="D155" s="555"/>
      <c r="E155" s="555"/>
      <c r="F155" s="555"/>
      <c r="G155" s="555"/>
      <c r="H155" s="555"/>
      <c r="I155" s="555"/>
      <c r="J155" s="555"/>
      <c r="K155" s="555"/>
      <c r="L155" s="557">
        <f>SUM(B155:I155)</f>
        <v>33460.2</v>
      </c>
      <c r="M155" s="555"/>
      <c r="N155" s="555"/>
      <c r="O155" s="556"/>
      <c r="P155" s="555"/>
      <c r="Q155" s="556"/>
      <c r="R155" s="555"/>
      <c r="S155" s="558">
        <f>L155+M155+N155+O155+P155+Q155+R155</f>
        <v>33460.2</v>
      </c>
    </row>
    <row r="156" spans="1:19" ht="21.75" customHeight="1" hidden="1">
      <c r="A156" s="559"/>
      <c r="B156" s="560"/>
      <c r="C156" s="561"/>
      <c r="D156" s="562"/>
      <c r="E156" s="560"/>
      <c r="F156" s="562"/>
      <c r="G156" s="560"/>
      <c r="H156" s="562"/>
      <c r="I156" s="562"/>
      <c r="J156" s="560"/>
      <c r="K156" s="561"/>
      <c r="L156" s="563">
        <f>SUM(B156:I156)</f>
        <v>0</v>
      </c>
      <c r="M156" s="560"/>
      <c r="N156" s="560"/>
      <c r="O156" s="560"/>
      <c r="P156" s="560"/>
      <c r="Q156" s="564"/>
      <c r="R156" s="565"/>
      <c r="S156" s="566">
        <f aca="true" t="shared" si="32" ref="S156:S161">SUM(L156:Q156)</f>
        <v>0</v>
      </c>
    </row>
    <row r="157" spans="1:19" ht="15" customHeight="1" hidden="1">
      <c r="A157" s="567" t="s">
        <v>39</v>
      </c>
      <c r="B157" s="568"/>
      <c r="C157" s="569"/>
      <c r="D157" s="570"/>
      <c r="E157" s="568"/>
      <c r="F157" s="571"/>
      <c r="G157" s="568"/>
      <c r="H157" s="570"/>
      <c r="I157" s="570"/>
      <c r="J157" s="568"/>
      <c r="K157" s="569"/>
      <c r="L157" s="572">
        <f>SUM(B157:J157)</f>
        <v>0</v>
      </c>
      <c r="M157" s="573"/>
      <c r="N157" s="573"/>
      <c r="O157" s="568"/>
      <c r="P157" s="573"/>
      <c r="Q157" s="574"/>
      <c r="R157" s="573"/>
      <c r="S157" s="575">
        <f t="shared" si="32"/>
        <v>0</v>
      </c>
    </row>
    <row r="158" spans="1:19" ht="18" customHeight="1" hidden="1">
      <c r="A158" s="576" t="s">
        <v>34</v>
      </c>
      <c r="B158" s="577"/>
      <c r="C158" s="578"/>
      <c r="D158" s="579"/>
      <c r="E158" s="577"/>
      <c r="F158" s="579"/>
      <c r="G158" s="577"/>
      <c r="H158" s="579"/>
      <c r="I158" s="579"/>
      <c r="J158" s="577"/>
      <c r="K158" s="615"/>
      <c r="L158" s="616">
        <f>SUM(B158:I158)</f>
        <v>0</v>
      </c>
      <c r="M158" s="577"/>
      <c r="N158" s="577"/>
      <c r="O158" s="577"/>
      <c r="P158" s="580"/>
      <c r="Q158" s="581"/>
      <c r="R158" s="582"/>
      <c r="S158" s="583">
        <f t="shared" si="32"/>
        <v>0</v>
      </c>
    </row>
    <row r="159" spans="1:19" ht="15" customHeight="1" hidden="1" thickBot="1">
      <c r="A159" s="567" t="s">
        <v>40</v>
      </c>
      <c r="B159" s="584"/>
      <c r="C159" s="585"/>
      <c r="D159" s="571"/>
      <c r="E159" s="573"/>
      <c r="F159" s="571"/>
      <c r="G159" s="573"/>
      <c r="H159" s="571"/>
      <c r="I159" s="571"/>
      <c r="J159" s="573"/>
      <c r="K159" s="585"/>
      <c r="L159" s="572">
        <f>SUM(B159:J159)</f>
        <v>0</v>
      </c>
      <c r="M159" s="573"/>
      <c r="N159" s="573"/>
      <c r="O159" s="573"/>
      <c r="P159" s="573"/>
      <c r="Q159" s="574"/>
      <c r="R159" s="586"/>
      <c r="S159" s="587">
        <f t="shared" si="32"/>
        <v>0</v>
      </c>
    </row>
    <row r="160" spans="1:19" ht="13.5" customHeight="1" thickBot="1">
      <c r="A160" s="588" t="s">
        <v>31</v>
      </c>
      <c r="B160" s="589"/>
      <c r="C160" s="590"/>
      <c r="D160" s="591"/>
      <c r="E160" s="592"/>
      <c r="F160" s="591"/>
      <c r="G160" s="592"/>
      <c r="H160" s="591"/>
      <c r="I160" s="591"/>
      <c r="J160" s="589"/>
      <c r="K160" s="593"/>
      <c r="L160" s="594"/>
      <c r="M160" s="595"/>
      <c r="N160" s="592"/>
      <c r="O160" s="592"/>
      <c r="P160" s="592"/>
      <c r="Q160" s="596"/>
      <c r="R160" s="592"/>
      <c r="S160" s="597">
        <f t="shared" si="32"/>
        <v>0</v>
      </c>
    </row>
    <row r="161" spans="1:19" ht="15.75" customHeight="1" thickBot="1">
      <c r="A161" s="598" t="s">
        <v>34</v>
      </c>
      <c r="B161" s="589"/>
      <c r="C161" s="593"/>
      <c r="D161" s="589"/>
      <c r="E161" s="589"/>
      <c r="F161" s="589"/>
      <c r="G161" s="589"/>
      <c r="H161" s="589"/>
      <c r="I161" s="589"/>
      <c r="J161" s="589"/>
      <c r="K161" s="589"/>
      <c r="L161" s="599">
        <f>SUM(B161:I161)</f>
        <v>0</v>
      </c>
      <c r="M161" s="589"/>
      <c r="N161" s="589"/>
      <c r="O161" s="589"/>
      <c r="P161" s="589"/>
      <c r="Q161" s="600"/>
      <c r="R161" s="589"/>
      <c r="S161" s="601">
        <f t="shared" si="32"/>
        <v>0</v>
      </c>
    </row>
    <row r="162" spans="1:19" ht="12.75" thickBot="1">
      <c r="A162" s="201"/>
      <c r="B162" s="602"/>
      <c r="C162" s="229"/>
      <c r="D162" s="229"/>
      <c r="E162" s="229"/>
      <c r="F162" s="229"/>
      <c r="G162" s="229"/>
      <c r="H162" s="229"/>
      <c r="I162" s="229"/>
      <c r="J162" s="229"/>
      <c r="K162" s="229"/>
      <c r="L162" s="603"/>
      <c r="M162" s="229"/>
      <c r="N162" s="229"/>
      <c r="O162" s="229"/>
      <c r="P162" s="229"/>
      <c r="Q162" s="229"/>
      <c r="R162" s="604"/>
      <c r="S162" s="259"/>
    </row>
    <row r="163" spans="1:19" ht="12">
      <c r="A163" s="201"/>
      <c r="B163" s="229"/>
      <c r="C163" s="229"/>
      <c r="D163" s="229"/>
      <c r="E163" s="229"/>
      <c r="F163" s="259"/>
      <c r="G163" s="229"/>
      <c r="H163" s="229"/>
      <c r="I163" s="229"/>
      <c r="J163" s="229"/>
      <c r="K163" s="229"/>
      <c r="L163" s="603"/>
      <c r="M163" s="229"/>
      <c r="N163" s="229"/>
      <c r="O163" s="229"/>
      <c r="P163" s="229"/>
      <c r="Q163" s="229"/>
      <c r="R163" s="604"/>
      <c r="S163" s="259"/>
    </row>
    <row r="164" spans="1:19" ht="12">
      <c r="A164" s="605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603"/>
      <c r="M164" s="229"/>
      <c r="N164" s="229"/>
      <c r="O164" s="229"/>
      <c r="P164" s="229"/>
      <c r="Q164" s="229"/>
      <c r="R164" s="604"/>
      <c r="S164" s="259"/>
    </row>
    <row r="165" spans="1:19" ht="12">
      <c r="A165" s="605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603"/>
      <c r="M165" s="229"/>
      <c r="N165" s="229"/>
      <c r="O165" s="229"/>
      <c r="P165" s="229"/>
      <c r="Q165" s="229"/>
      <c r="R165" s="604"/>
      <c r="S165" s="259"/>
    </row>
    <row r="166" spans="1:19" ht="12">
      <c r="A166" s="201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603"/>
      <c r="M166" s="229"/>
      <c r="N166" s="229"/>
      <c r="O166" s="229"/>
      <c r="P166" s="229"/>
      <c r="Q166" s="229"/>
      <c r="R166" s="604"/>
      <c r="S166" s="259"/>
    </row>
    <row r="167" ht="12">
      <c r="A167" s="201"/>
    </row>
    <row r="168" ht="12">
      <c r="A168" s="605"/>
    </row>
    <row r="169" spans="1:19" ht="12">
      <c r="A169" s="201"/>
      <c r="N169" s="607"/>
      <c r="O169" s="607"/>
      <c r="P169" s="607"/>
      <c r="Q169" s="607"/>
      <c r="R169" s="608"/>
      <c r="S169" s="609"/>
    </row>
    <row r="170" spans="1:19" ht="12">
      <c r="A170" s="201"/>
      <c r="N170" s="607"/>
      <c r="O170" s="607"/>
      <c r="P170" s="607"/>
      <c r="Q170" s="607"/>
      <c r="R170" s="608"/>
      <c r="S170" s="609"/>
    </row>
    <row r="171" spans="1:19" ht="12">
      <c r="A171" s="201"/>
      <c r="N171" s="607"/>
      <c r="O171" s="609"/>
      <c r="P171" s="609"/>
      <c r="Q171" s="607"/>
      <c r="R171" s="608"/>
      <c r="S171" s="609"/>
    </row>
    <row r="172" spans="1:19" ht="12">
      <c r="A172" s="201"/>
      <c r="N172" s="607"/>
      <c r="O172" s="610"/>
      <c r="P172" s="610"/>
      <c r="Q172" s="607"/>
      <c r="R172" s="608"/>
      <c r="S172" s="609"/>
    </row>
    <row r="173" spans="1:19" ht="12">
      <c r="A173" s="201"/>
      <c r="N173" s="607"/>
      <c r="O173" s="607"/>
      <c r="P173" s="607"/>
      <c r="Q173" s="607"/>
      <c r="R173" s="608"/>
      <c r="S173" s="609"/>
    </row>
    <row r="174" spans="1:19" ht="12">
      <c r="A174" s="201"/>
      <c r="N174" s="607"/>
      <c r="O174" s="607"/>
      <c r="P174" s="607"/>
      <c r="Q174" s="607"/>
      <c r="R174" s="608"/>
      <c r="S174" s="609"/>
    </row>
    <row r="175" spans="1:19" ht="12">
      <c r="A175" s="201"/>
      <c r="N175" s="607"/>
      <c r="O175" s="607"/>
      <c r="P175" s="607"/>
      <c r="Q175" s="607"/>
      <c r="R175" s="608"/>
      <c r="S175" s="609"/>
    </row>
    <row r="176" spans="1:19" ht="12">
      <c r="A176" s="201"/>
      <c r="N176" s="607"/>
      <c r="O176" s="607"/>
      <c r="P176" s="607"/>
      <c r="Q176" s="607"/>
      <c r="R176" s="608"/>
      <c r="S176" s="609"/>
    </row>
    <row r="177" spans="1:19" ht="12">
      <c r="A177" s="201"/>
      <c r="N177" s="607"/>
      <c r="O177" s="607"/>
      <c r="P177" s="607"/>
      <c r="Q177" s="607"/>
      <c r="R177" s="608"/>
      <c r="S177" s="609"/>
    </row>
    <row r="178" ht="12">
      <c r="A178" s="201"/>
    </row>
  </sheetData>
  <sheetProtection/>
  <mergeCells count="1">
    <mergeCell ref="A1:S1"/>
  </mergeCells>
  <printOptions horizontalCentered="1" verticalCentered="1"/>
  <pageMargins left="0.2362204724409449" right="0.15748031496062992" top="0.2755905511811024" bottom="0.31496062992125984" header="0.1968503937007874" footer="0.11811023622047245"/>
  <pageSetup fitToHeight="2" fitToWidth="1" horizontalDpi="600" verticalDpi="600" orientation="landscape" paperSize="9" scale="55" r:id="rId1"/>
  <headerFooter alignWithMargins="0">
    <oddFooter>&amp;L&amp;Z&amp;F        &amp;A&amp;R  &amp;D</oddFooter>
  </headerFooter>
  <rowBreaks count="1" manualBreakCount="1">
    <brk id="139" max="18" man="1"/>
  </rowBreaks>
  <ignoredErrors>
    <ignoredError sqref="G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2013</dc:title>
  <dc:subject/>
  <dc:creator>Vanáková</dc:creator>
  <cp:keywords/>
  <dc:description/>
  <cp:lastModifiedBy>Gogorova</cp:lastModifiedBy>
  <cp:lastPrinted>2022-05-04T13:45:06Z</cp:lastPrinted>
  <dcterms:created xsi:type="dcterms:W3CDTF">2011-05-10T07:34:41Z</dcterms:created>
  <dcterms:modified xsi:type="dcterms:W3CDTF">2023-03-23T10:17:57Z</dcterms:modified>
  <cp:category/>
  <cp:version/>
  <cp:contentType/>
  <cp:contentStatus/>
</cp:coreProperties>
</file>