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585" windowWidth="8415" windowHeight="6675" activeTab="1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NPI">'[21]priplatky20'!$B$7</definedName>
    <definedName name="NPII">'[21]priplatky20'!$C$7</definedName>
    <definedName name="_xlnm.Print_Area" localSheetId="1">'súhrnná po AS'!$A$1:$R$104</definedName>
    <definedName name="_xlnm.Print_Area" localSheetId="0">'úpravy'!$A$1:$P$192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<sst xmlns="http://schemas.openxmlformats.org/spreadsheetml/2006/main" count="388" uniqueCount="227">
  <si>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</si>
  <si>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</si>
  <si>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</si>
  <si>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</si>
  <si>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</si>
  <si>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</si>
  <si>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</si>
  <si>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</si>
  <si>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</si>
  <si>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</si>
  <si>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R+CUP bez účelSTU</t>
  </si>
  <si>
    <t>účel STU*/</t>
  </si>
  <si>
    <t>S T U</t>
  </si>
  <si>
    <t>Bežné a kapitálové výdavky spolu</t>
  </si>
  <si>
    <t>Bežné výdavky spolu</t>
  </si>
  <si>
    <t>BV z toho: veda a výskum</t>
  </si>
  <si>
    <t xml:space="preserve">Program  077 </t>
  </si>
  <si>
    <t xml:space="preserve">     v tom účel z MŠ</t>
  </si>
  <si>
    <t xml:space="preserve">     v tom účel z STU/FR</t>
  </si>
  <si>
    <t>účel stu integrátori AIS</t>
  </si>
  <si>
    <t xml:space="preserve">     v tom účelové z STU</t>
  </si>
  <si>
    <t xml:space="preserve">    v tom:     účelovo určené</t>
  </si>
  <si>
    <t xml:space="preserve">                  neúčelovo určené</t>
  </si>
  <si>
    <t>Podprogram  07712 - veda a technika</t>
  </si>
  <si>
    <t>v tom účelové z STU:</t>
  </si>
  <si>
    <t>FR do 07711</t>
  </si>
  <si>
    <t>Podprogram  077 13 - rozvoj VŠ</t>
  </si>
  <si>
    <t>0771501 - sociálne štipendiá</t>
  </si>
  <si>
    <t xml:space="preserve">ÚPRAVY  DOTÁCIE  BEŽNÝCH  VÝDAVKOV  </t>
  </si>
  <si>
    <t>ÚZ ŠDaJ</t>
  </si>
  <si>
    <t>R+CUP</t>
  </si>
  <si>
    <t>Rezerva</t>
  </si>
  <si>
    <t>STU spolu</t>
  </si>
  <si>
    <t>P/PP</t>
  </si>
  <si>
    <t>07711</t>
  </si>
  <si>
    <t>07713</t>
  </si>
  <si>
    <t>interné úpravy dotácie mimo DZ:</t>
  </si>
  <si>
    <t>interné úpravy dotácie dľa DZ:</t>
  </si>
  <si>
    <t>štip.DrŠ-nové miesta-rez.</t>
  </si>
  <si>
    <t>0771205</t>
  </si>
  <si>
    <t>úpravy - vzájomné výkony vo vzdel. MP</t>
  </si>
  <si>
    <t>úpravy- vzájomné výkony vo vzd. odvody</t>
  </si>
  <si>
    <t>presun mezi programami  - odvody</t>
  </si>
  <si>
    <t>presuny z Fondu rektora MP</t>
  </si>
  <si>
    <t>presuny z Fondu rektora -odvody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</si>
  <si>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</si>
  <si>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</si>
  <si>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</si>
  <si>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</si>
  <si>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 xml:space="preserve">KEGA                            </t>
  </si>
  <si>
    <t xml:space="preserve">rozv.proj. Portál.riešenie VŠ                     </t>
  </si>
  <si>
    <t xml:space="preserve">rozv.proj. 5d                         </t>
  </si>
  <si>
    <t xml:space="preserve">rozv.proj. 5f                           </t>
  </si>
  <si>
    <t>kv+bv</t>
  </si>
  <si>
    <t>spolu BV+KV</t>
  </si>
  <si>
    <t>kontrola celkom</t>
  </si>
  <si>
    <t>príl. č. 2</t>
  </si>
  <si>
    <t>v €</t>
  </si>
  <si>
    <t>vstupy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</si>
  <si>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</si>
  <si>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</si>
  <si>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</si>
  <si>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</si>
  <si>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</si>
  <si>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</si>
  <si>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</si>
  <si>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Kapitálové výdavky 077</t>
  </si>
  <si>
    <t>DZ</t>
  </si>
  <si>
    <t>kontrola</t>
  </si>
  <si>
    <t>077 12 02 - VEGA</t>
  </si>
  <si>
    <t>077 12 05 - KEGA</t>
  </si>
  <si>
    <t xml:space="preserve">077 11 - stavby  </t>
  </si>
  <si>
    <t xml:space="preserve">    077 11- štipendiá doktorandov</t>
  </si>
  <si>
    <t xml:space="preserve">    077 11- odvody z miezd</t>
  </si>
  <si>
    <t xml:space="preserve">    077 11-TaS</t>
  </si>
  <si>
    <t xml:space="preserve">Podprogram  077 11 - VŠ vzdelávanie </t>
  </si>
  <si>
    <t xml:space="preserve">    077 11- mzdy</t>
  </si>
  <si>
    <t>Podprogram  077 15 - sociálne služby</t>
  </si>
  <si>
    <t xml:space="preserve">     077 15 03 - ŠD - odvody</t>
  </si>
  <si>
    <t xml:space="preserve">     077 15 03 - ŠD - na ubyt. študentov</t>
  </si>
  <si>
    <t>077 15 03 - kultúra,šport</t>
  </si>
  <si>
    <t>presun mezi programami  - FR</t>
  </si>
  <si>
    <t>presun medzi položkami - 610</t>
  </si>
  <si>
    <t>presun medzi položkami - 620</t>
  </si>
  <si>
    <t>Úpravy po AS</t>
  </si>
  <si>
    <t>presuny z Fondu rektora -mzdy</t>
  </si>
  <si>
    <t>projekty APVV</t>
  </si>
  <si>
    <t>presun mezi programami  - TaS</t>
  </si>
  <si>
    <t>CUVTIS</t>
  </si>
  <si>
    <t>Fak.,UM spolu</t>
  </si>
  <si>
    <t>UZ Technik</t>
  </si>
  <si>
    <t>FR - vedec roka, mladý vedec</t>
  </si>
  <si>
    <t>CAŠ</t>
  </si>
  <si>
    <t>077 12 02</t>
  </si>
  <si>
    <t>Vládni štipendisti</t>
  </si>
  <si>
    <t>projekty DAAD</t>
  </si>
  <si>
    <t>06K 11</t>
  </si>
  <si>
    <t>interné úpravy -VEGA</t>
  </si>
  <si>
    <t xml:space="preserve">DOTÁCIE KV SPOLU k  </t>
  </si>
  <si>
    <t>prierezové projekty</t>
  </si>
  <si>
    <t>úpravy v rámci účelových - programy</t>
  </si>
  <si>
    <t>úpravy v rámci účelových/FR/ - programy</t>
  </si>
  <si>
    <t>úprava v rámci programu 610</t>
  </si>
  <si>
    <t>úprava v rámci programu 620</t>
  </si>
  <si>
    <t>úprava v rámci programu 630</t>
  </si>
  <si>
    <t>úpravy v rámci účelových/FR</t>
  </si>
  <si>
    <t>úpravy FR v rámci programov</t>
  </si>
  <si>
    <t>úpravy FR v rámci programov   620</t>
  </si>
  <si>
    <t>úpravy FR v rámci programov   610</t>
  </si>
  <si>
    <t>v tom: účelová z MŠ</t>
  </si>
  <si>
    <t>fond obnovy</t>
  </si>
  <si>
    <t>Nerozd.účel MŠ</t>
  </si>
  <si>
    <t>doplnenie FR</t>
  </si>
  <si>
    <t xml:space="preserve">     v tom účel z STU/ FR</t>
  </si>
  <si>
    <t>útvar vzdelávania</t>
  </si>
  <si>
    <t>útvar vedy</t>
  </si>
  <si>
    <t>útvar medzin.mobility štud.</t>
  </si>
  <si>
    <t>útvar práce s verjenosťou</t>
  </si>
  <si>
    <t>nakladateľstvo-prevádzka</t>
  </si>
  <si>
    <t>Nakladateľstvo- štud.literatúra</t>
  </si>
  <si>
    <t>0771201 - inštituc. veda spolu</t>
  </si>
  <si>
    <t>knižničné liciencie a programy</t>
  </si>
  <si>
    <t>Know-how centrum</t>
  </si>
  <si>
    <t>Celouniverzitný šport</t>
  </si>
  <si>
    <t>Postdoktorandský program</t>
  </si>
  <si>
    <t>Štipendiá doktorandov účelovo určené</t>
  </si>
  <si>
    <t>0771502 - motivačné štipendiá pre vybrané štud. Odbory</t>
  </si>
  <si>
    <t xml:space="preserve">0771502 - motivačné štipendiá </t>
  </si>
  <si>
    <t>Schválená dotácia AS 2014</t>
  </si>
  <si>
    <t>k</t>
  </si>
  <si>
    <t xml:space="preserve">DOTÁCIE BV SPOLU k </t>
  </si>
  <si>
    <t xml:space="preserve">DOTÁCIE BV SPOLU PODĽA DZ                                               k </t>
  </si>
  <si>
    <t xml:space="preserve">DOTÁCIE KV SPOLU PODĽA  DZ k </t>
  </si>
  <si>
    <t>Nerozd.účel MŠ + fond obnovy</t>
  </si>
  <si>
    <t>05T 08</t>
  </si>
  <si>
    <t>021 02 03</t>
  </si>
  <si>
    <t>06K 12</t>
  </si>
  <si>
    <t>Dodatok č. 1 - VEGA</t>
  </si>
  <si>
    <t>077 12 05</t>
  </si>
  <si>
    <t>Dodatok č. 1 - KEGA</t>
  </si>
  <si>
    <t>077 12 01</t>
  </si>
  <si>
    <t>077 11</t>
  </si>
  <si>
    <t>presun prostriedkov-Majstrovstvá STU - 610</t>
  </si>
  <si>
    <t>presun prostriedkov-Majstrovstvá STU - 620</t>
  </si>
  <si>
    <t>úprava šport</t>
  </si>
  <si>
    <t>077 15 03 / 0810</t>
  </si>
  <si>
    <t>077 13</t>
  </si>
  <si>
    <t xml:space="preserve">rozdelenie fondu obnovy </t>
  </si>
  <si>
    <t>úprava v rámci programu 600</t>
  </si>
  <si>
    <t>presun medzi súčasťami</t>
  </si>
  <si>
    <t>úprava postdoktorandi - 610</t>
  </si>
  <si>
    <t>úprava postdoktorandi - 620</t>
  </si>
  <si>
    <t>úprava postdoktorandi - 630</t>
  </si>
  <si>
    <t>077 15 01</t>
  </si>
  <si>
    <t>úprava sociálnych šripendií na základe potreby - účelová</t>
  </si>
  <si>
    <t>technik</t>
  </si>
  <si>
    <t>šport</t>
  </si>
  <si>
    <t>valorizácia+ zvýšenie učitelia</t>
  </si>
  <si>
    <t xml:space="preserve">v tom účelové z Mš      </t>
  </si>
  <si>
    <t>prevádzkové potreby AS</t>
  </si>
  <si>
    <t>externé  služby (právne, VO a pod.)</t>
  </si>
  <si>
    <t>valorizácia</t>
  </si>
  <si>
    <t>vedec roka + najlepšia publikácia</t>
  </si>
  <si>
    <t>projektové stredisko</t>
  </si>
  <si>
    <t>mladý výskumník+pokračujúce projekty</t>
  </si>
  <si>
    <t>podpora študentských organizácií</t>
  </si>
  <si>
    <t>SIVVPP  energie</t>
  </si>
  <si>
    <t>Iné univerzitné aktivity</t>
  </si>
  <si>
    <t>Činnosť AS STU</t>
  </si>
  <si>
    <t>zvýšenie bezpečenosti AIS</t>
  </si>
  <si>
    <t>neúčeloví doktorandi- valorizácia</t>
  </si>
  <si>
    <t>077 02 02 - VEGA</t>
  </si>
  <si>
    <t>077 15 03   ŠD+ŠJ spolu / 09606</t>
  </si>
  <si>
    <t>valorizácia ŠDaJ</t>
  </si>
  <si>
    <t xml:space="preserve">    z toho valorizácia ŠJ</t>
  </si>
  <si>
    <t xml:space="preserve">     077 15 03 - ŠD+ŠJ - mzdy</t>
  </si>
  <si>
    <t xml:space="preserve">     077 15 03 - ŠD - na prevádzku</t>
  </si>
  <si>
    <t>077 15 03 - strav. príspevok / 09606</t>
  </si>
  <si>
    <t xml:space="preserve">               077 15 03 - ŠD - mzdy</t>
  </si>
  <si>
    <t>študenti so špecifickými potrebami-účelová</t>
  </si>
  <si>
    <t>presun do rektorátu za posk.služby - 610</t>
  </si>
  <si>
    <t>presun do rektorátu za posk.služby - 620</t>
  </si>
  <si>
    <t>presun do rektorátu za posk.služby - 630</t>
  </si>
  <si>
    <t>Dodatok č. 2 - RI 31917-rekonštrukcia športovísk</t>
  </si>
  <si>
    <t>Dodatok č. 2 -RI 31918-rekonštrukcia laboratória</t>
  </si>
  <si>
    <t xml:space="preserve"> á</t>
  </si>
  <si>
    <t>Schválená dotácia AS 2015</t>
  </si>
  <si>
    <t>,</t>
  </si>
  <si>
    <t>úprava na základe žiadosti MtF</t>
  </si>
  <si>
    <t>0771201</t>
  </si>
  <si>
    <t>podpora št.aktivít -STUBA Green Team</t>
  </si>
  <si>
    <t>Dodatok č. 4 -úprava doktorandských účelových sť.</t>
  </si>
  <si>
    <t>Dodatok č. 4 -úprava o záčtovanie úč. štipendií dr</t>
  </si>
  <si>
    <t>Dodatok č. 4 -úhrada členského príspevku-účelová</t>
  </si>
  <si>
    <t>Dodatok č. 3 -Projekt CEPVZJZ-účelová</t>
  </si>
  <si>
    <t>rozdelenie Dodatku č. 4-navýšenie PS STU</t>
  </si>
  <si>
    <t>rozdelenie Dodatku č. 4-Letná univerziáda 2016</t>
  </si>
  <si>
    <t>rozdelenie Dodatku č. 4-rozdelenie na súčasti</t>
  </si>
  <si>
    <t>077 15 03</t>
  </si>
  <si>
    <t>úprava doktorandi - účelová podľa CRŠ</t>
  </si>
  <si>
    <t>Dodatok č. 6 -príspevok na akciu "Nadnárodný charitatívny koncert Integrácia 2015" - zabezpečenie stravovania 2000 detí</t>
  </si>
  <si>
    <t>Dodatok č. 7 - RI31918,rekonštrukcia Laboratória organických polovodicčov - účelová</t>
  </si>
  <si>
    <t>Dodatok č. 7 - RI32748,rekonštrukcia transformátovej stanice TS935, FEI - účelová</t>
  </si>
  <si>
    <t>pozn:dotácie pre FEI 90tis.+ 50tis.neupravovať! 384 zostáva na R STU na krytie odpisov</t>
  </si>
  <si>
    <t>Dodatok č. 7 - odstránenie havarijného stavu elektroinštalácie - účelová</t>
  </si>
  <si>
    <t>Dodatok č. 7 - inventár pre zabezpečenie Letnej univerziády 2016 - účelová</t>
  </si>
  <si>
    <t>077 15 02</t>
  </si>
  <si>
    <t>Dodatok č. 7 - neoprávnene použité motivačné odborové štipendiá 2014 - 37 168€, nepoužité prostriedky - 783€ - účelová</t>
  </si>
  <si>
    <t>prerozdelenie sociálnych štipendií - revízia</t>
  </si>
  <si>
    <t>Dodatok č. 8 - zabezpečenie prevádky NC NMR - účelová</t>
  </si>
  <si>
    <t>Dodatok č. 8 - zabezpečenie prevádky HTC EMS- účelová</t>
  </si>
  <si>
    <t>Dodatok č. 8 - fenoén sietí Malého sveta, doc. Paulíková - účelová</t>
  </si>
  <si>
    <t>presun medzi položkami - 600</t>
  </si>
  <si>
    <t>Súhrnná tabuľka o rozpise dotácie STU k 31.12.2015</t>
  </si>
  <si>
    <t>pôvodne v SD na doktorandov účelová</t>
  </si>
  <si>
    <t>Dodatok č. 9 - stravný príspevok</t>
  </si>
  <si>
    <t>Dodatok č. 10 - medzinárodná súťaž "Formula Student Czech Republic 2015"-účelová</t>
  </si>
  <si>
    <t>Dodatok č. 10 - odstránenie havarijného stavu sieťovej infraštruktúry - účelová</t>
  </si>
  <si>
    <t>Dodatok č. 10 - odstránenie havarijného stavu Auly akademika Bellu - účelová</t>
  </si>
  <si>
    <t>Dodatok č. 10 - organizácia 17. slovenskej študentskej vedeckej konferencie - účelová</t>
  </si>
  <si>
    <t>Dodatok č. 10 - dofinancovanie sociálnych štipendií na základe revízie - účelová</t>
  </si>
  <si>
    <t>Dodatok č. 10 - stravný príspevok - účelová</t>
  </si>
  <si>
    <t>Dodatok č. 10 - medzinárodná súťaž "Formula Student Hungary 2015" - účelová</t>
  </si>
  <si>
    <t>Dodatok č. 5- Technik - účelová</t>
  </si>
  <si>
    <t>077 15 03 / 09606</t>
  </si>
  <si>
    <t>Dodatok č. 11 - Eliminácia inf. a orientačných bariér na STU - neúčelová</t>
  </si>
  <si>
    <t>Dodatok č. 11 - Eliminácia inf. a orientačných bariér na STU - účelová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</si>
</sst>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0.0"/>
    <numFmt numFmtId="174" formatCode="0.0000_ ;[Red]\-0.0000\ "/>
    <numFmt numFmtId="175" formatCode="0_ ;[Red]\-0\ "/>
    <numFmt numFmtId="176" formatCode="#,##0.000"/>
    <numFmt numFmtId="177" formatCode="#,##0.0000"/>
    <numFmt numFmtId="178" formatCode="#,##0.0"/>
    <numFmt numFmtId="179" formatCode="0.0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i/>
      <sz val="10"/>
      <color indexed="48"/>
      <name val="Times New Roman"/>
      <family val="1"/>
    </font>
    <font>
      <sz val="10"/>
      <name val="Times New Roman"/>
      <family val="1"/>
    </font>
    <font>
      <i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sz val="11"/>
      <color indexed="48"/>
      <name val="Arial CE"/>
      <family val="2"/>
    </font>
    <font>
      <b/>
      <sz val="11"/>
      <name val="Arial CE"/>
      <family val="2"/>
    </font>
    <font>
      <b/>
      <sz val="11"/>
      <name val="Times New Roman CE"/>
      <family val="0"/>
    </font>
    <font>
      <sz val="10"/>
      <color indexed="48"/>
      <name val="Arial CE"/>
      <family val="2"/>
    </font>
    <font>
      <b/>
      <sz val="10"/>
      <color indexed="36"/>
      <name val="Arial CE"/>
      <family val="2"/>
    </font>
    <font>
      <u val="single"/>
      <sz val="10"/>
      <name val="Arial CE"/>
      <family val="2"/>
    </font>
    <font>
      <b/>
      <i/>
      <sz val="11"/>
      <name val="Times New Roman"/>
      <family val="1"/>
    </font>
    <font>
      <i/>
      <sz val="10"/>
      <color indexed="10"/>
      <name val="Arial CE"/>
      <family val="2"/>
    </font>
    <font>
      <sz val="10"/>
      <color indexed="36"/>
      <name val="Arial CE"/>
      <family val="2"/>
    </font>
    <font>
      <sz val="10"/>
      <color indexed="17"/>
      <name val="Arial CE"/>
      <family val="2"/>
    </font>
    <font>
      <i/>
      <sz val="11"/>
      <color indexed="48"/>
      <name val="Times New Roman"/>
      <family val="1"/>
    </font>
    <font>
      <i/>
      <sz val="11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17"/>
      <name val="Times New Roman"/>
      <family val="1"/>
    </font>
    <font>
      <sz val="11"/>
      <color indexed="62"/>
      <name val="Times New Roman"/>
      <family val="1"/>
    </font>
    <font>
      <i/>
      <sz val="10"/>
      <color indexed="12"/>
      <name val="Times New Roman"/>
      <family val="1"/>
    </font>
    <font>
      <sz val="11"/>
      <color indexed="62"/>
      <name val="Arial CE"/>
      <family val="2"/>
    </font>
    <font>
      <sz val="10"/>
      <color indexed="62"/>
      <name val="Arial CE"/>
      <family val="2"/>
    </font>
    <font>
      <b/>
      <sz val="11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theme="6" tint="-0.4999699890613556"/>
      <name val="Times New Roman"/>
      <family val="1"/>
    </font>
    <font>
      <sz val="11"/>
      <color theme="3" tint="0.39998000860214233"/>
      <name val="Times New Roman"/>
      <family val="1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i/>
      <sz val="10"/>
      <color rgb="FF0000FF"/>
      <name val="Times New Roman"/>
      <family val="1"/>
    </font>
    <font>
      <b/>
      <sz val="10"/>
      <color rgb="FFFF0000"/>
      <name val="Arial CE"/>
      <family val="2"/>
    </font>
    <font>
      <sz val="11"/>
      <color theme="4"/>
      <name val="Arial CE"/>
      <family val="2"/>
    </font>
    <font>
      <sz val="10"/>
      <color theme="4"/>
      <name val="Arial CE"/>
      <family val="2"/>
    </font>
    <font>
      <b/>
      <sz val="11"/>
      <color theme="5" tint="-0.24997000396251678"/>
      <name val="Arial CE"/>
      <family val="2"/>
    </font>
    <font>
      <b/>
      <sz val="10"/>
      <color rgb="FF7030A0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3" borderId="5" applyNumberFormat="0" applyFont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4" borderId="8" applyNumberFormat="0" applyAlignment="0" applyProtection="0"/>
    <xf numFmtId="0" fontId="83" fillId="25" borderId="8" applyNumberFormat="0" applyAlignment="0" applyProtection="0"/>
    <xf numFmtId="0" fontId="84" fillId="25" borderId="9" applyNumberFormat="0" applyAlignment="0" applyProtection="0"/>
    <xf numFmtId="0" fontId="85" fillId="0" borderId="0" applyNumberFormat="0" applyFill="0" applyBorder="0" applyAlignment="0" applyProtection="0"/>
    <xf numFmtId="0" fontId="86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27" fillId="0" borderId="0" xfId="48" applyFont="1">
      <alignment/>
      <protection/>
    </xf>
    <xf numFmtId="0" fontId="0" fillId="0" borderId="0" xfId="0" applyFont="1" applyAlignment="1">
      <alignment/>
    </xf>
    <xf numFmtId="0" fontId="29" fillId="0" borderId="0" xfId="48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2" fillId="0" borderId="10" xfId="48" applyNumberFormat="1" applyFont="1" applyFill="1" applyBorder="1">
      <alignment/>
      <protection/>
    </xf>
    <xf numFmtId="4" fontId="25" fillId="0" borderId="11" xfId="49" applyNumberFormat="1" applyFont="1" applyFill="1" applyBorder="1">
      <alignment/>
      <protection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2" xfId="4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2" xfId="48" applyFont="1" applyFill="1" applyBorder="1">
      <alignment/>
      <protection/>
    </xf>
    <xf numFmtId="0" fontId="2" fillId="0" borderId="13" xfId="48" applyFont="1" applyFill="1" applyBorder="1">
      <alignment/>
      <protection/>
    </xf>
    <xf numFmtId="4" fontId="2" fillId="0" borderId="11" xfId="48" applyNumberFormat="1" applyFont="1" applyBorder="1">
      <alignment/>
      <protection/>
    </xf>
    <xf numFmtId="0" fontId="2" fillId="33" borderId="14" xfId="48" applyFont="1" applyFill="1" applyBorder="1">
      <alignment/>
      <protection/>
    </xf>
    <xf numFmtId="0" fontId="29" fillId="0" borderId="0" xfId="48" applyFont="1" applyAlignment="1">
      <alignment horizontal="right"/>
      <protection/>
    </xf>
    <xf numFmtId="4" fontId="29" fillId="0" borderId="0" xfId="48" applyNumberFormat="1" applyFont="1">
      <alignment/>
      <protection/>
    </xf>
    <xf numFmtId="0" fontId="32" fillId="0" borderId="0" xfId="48" applyFont="1">
      <alignment/>
      <protection/>
    </xf>
    <xf numFmtId="4" fontId="32" fillId="0" borderId="0" xfId="48" applyNumberFormat="1" applyFont="1">
      <alignment/>
      <protection/>
    </xf>
    <xf numFmtId="0" fontId="31" fillId="0" borderId="0" xfId="0" applyFont="1" applyAlignment="1">
      <alignment/>
    </xf>
    <xf numFmtId="4" fontId="27" fillId="0" borderId="0" xfId="48" applyNumberFormat="1" applyFont="1">
      <alignment/>
      <protection/>
    </xf>
    <xf numFmtId="0" fontId="33" fillId="0" borderId="0" xfId="0" applyFont="1" applyAlignment="1">
      <alignment/>
    </xf>
    <xf numFmtId="4" fontId="29" fillId="0" borderId="0" xfId="48" applyNumberFormat="1" applyFont="1" applyFill="1" applyBorder="1">
      <alignment/>
      <protection/>
    </xf>
    <xf numFmtId="0" fontId="2" fillId="0" borderId="0" xfId="49">
      <alignment/>
      <protection/>
    </xf>
    <xf numFmtId="0" fontId="4" fillId="0" borderId="0" xfId="49" applyFont="1" applyBorder="1" applyAlignment="1">
      <alignment horizontal="left"/>
      <protection/>
    </xf>
    <xf numFmtId="0" fontId="4" fillId="0" borderId="0" xfId="49" applyFont="1" applyBorder="1" applyAlignment="1">
      <alignment horizontal="center"/>
      <protection/>
    </xf>
    <xf numFmtId="4" fontId="3" fillId="0" borderId="0" xfId="49" applyNumberFormat="1" applyFont="1" applyBorder="1" applyAlignment="1">
      <alignment horizontal="center"/>
      <protection/>
    </xf>
    <xf numFmtId="0" fontId="28" fillId="0" borderId="15" xfId="49" applyFont="1" applyBorder="1">
      <alignment/>
      <protection/>
    </xf>
    <xf numFmtId="0" fontId="8" fillId="0" borderId="0" xfId="49" applyFont="1">
      <alignment/>
      <protection/>
    </xf>
    <xf numFmtId="4" fontId="11" fillId="34" borderId="16" xfId="49" applyNumberFormat="1" applyFont="1" applyFill="1" applyBorder="1" applyAlignment="1">
      <alignment horizontal="center"/>
      <protection/>
    </xf>
    <xf numFmtId="4" fontId="12" fillId="34" borderId="16" xfId="49" applyNumberFormat="1" applyFont="1" applyFill="1" applyBorder="1" applyAlignment="1">
      <alignment horizontal="center" wrapText="1"/>
      <protection/>
    </xf>
    <xf numFmtId="4" fontId="14" fillId="34" borderId="17" xfId="49" applyNumberFormat="1" applyFont="1" applyFill="1" applyBorder="1" applyAlignment="1">
      <alignment horizontal="right"/>
      <protection/>
    </xf>
    <xf numFmtId="0" fontId="34" fillId="0" borderId="0" xfId="49" applyFont="1">
      <alignment/>
      <protection/>
    </xf>
    <xf numFmtId="4" fontId="14" fillId="34" borderId="16" xfId="49" applyNumberFormat="1" applyFont="1" applyFill="1" applyBorder="1">
      <alignment/>
      <protection/>
    </xf>
    <xf numFmtId="0" fontId="15" fillId="0" borderId="0" xfId="49" applyFont="1">
      <alignment/>
      <protection/>
    </xf>
    <xf numFmtId="4" fontId="19" fillId="0" borderId="18" xfId="49" applyNumberFormat="1" applyFont="1" applyFill="1" applyBorder="1">
      <alignment/>
      <protection/>
    </xf>
    <xf numFmtId="4" fontId="5" fillId="0" borderId="11" xfId="49" applyNumberFormat="1" applyFont="1" applyBorder="1">
      <alignment/>
      <protection/>
    </xf>
    <xf numFmtId="0" fontId="5" fillId="0" borderId="0" xfId="49" applyFont="1">
      <alignment/>
      <protection/>
    </xf>
    <xf numFmtId="4" fontId="19" fillId="35" borderId="18" xfId="49" applyNumberFormat="1" applyFont="1" applyFill="1" applyBorder="1">
      <alignment/>
      <protection/>
    </xf>
    <xf numFmtId="0" fontId="35" fillId="0" borderId="0" xfId="49" applyFont="1">
      <alignment/>
      <protection/>
    </xf>
    <xf numFmtId="0" fontId="15" fillId="34" borderId="0" xfId="49" applyFont="1" applyFill="1">
      <alignment/>
      <protection/>
    </xf>
    <xf numFmtId="4" fontId="19" fillId="34" borderId="11" xfId="49" applyNumberFormat="1" applyFont="1" applyFill="1" applyBorder="1">
      <alignment/>
      <protection/>
    </xf>
    <xf numFmtId="4" fontId="19" fillId="0" borderId="19" xfId="49" applyNumberFormat="1" applyFont="1" applyFill="1" applyBorder="1">
      <alignment/>
      <protection/>
    </xf>
    <xf numFmtId="0" fontId="36" fillId="0" borderId="0" xfId="49" applyFont="1">
      <alignment/>
      <protection/>
    </xf>
    <xf numFmtId="4" fontId="21" fillId="0" borderId="20" xfId="49" applyNumberFormat="1" applyFont="1" applyFill="1" applyBorder="1">
      <alignment/>
      <protection/>
    </xf>
    <xf numFmtId="4" fontId="19" fillId="0" borderId="11" xfId="49" applyNumberFormat="1" applyFont="1" applyFill="1" applyBorder="1">
      <alignment/>
      <protection/>
    </xf>
    <xf numFmtId="4" fontId="26" fillId="0" borderId="11" xfId="49" applyNumberFormat="1" applyFont="1" applyBorder="1">
      <alignment/>
      <protection/>
    </xf>
    <xf numFmtId="0" fontId="6" fillId="0" borderId="0" xfId="49" applyFont="1">
      <alignment/>
      <protection/>
    </xf>
    <xf numFmtId="0" fontId="2" fillId="0" borderId="0" xfId="49" applyFill="1">
      <alignment/>
      <protection/>
    </xf>
    <xf numFmtId="0" fontId="2" fillId="0" borderId="0" xfId="49" applyFont="1" applyFill="1">
      <alignment/>
      <protection/>
    </xf>
    <xf numFmtId="4" fontId="21" fillId="0" borderId="11" xfId="49" applyNumberFormat="1" applyFont="1" applyFill="1" applyBorder="1">
      <alignment/>
      <protection/>
    </xf>
    <xf numFmtId="0" fontId="9" fillId="0" borderId="0" xfId="49" applyFont="1">
      <alignment/>
      <protection/>
    </xf>
    <xf numFmtId="4" fontId="19" fillId="0" borderId="20" xfId="49" applyNumberFormat="1" applyFont="1" applyFill="1" applyBorder="1">
      <alignment/>
      <protection/>
    </xf>
    <xf numFmtId="4" fontId="19" fillId="0" borderId="11" xfId="49" applyNumberFormat="1" applyFont="1" applyBorder="1">
      <alignment/>
      <protection/>
    </xf>
    <xf numFmtId="4" fontId="19" fillId="35" borderId="11" xfId="49" applyNumberFormat="1" applyFont="1" applyFill="1" applyBorder="1">
      <alignment/>
      <protection/>
    </xf>
    <xf numFmtId="4" fontId="2" fillId="36" borderId="21" xfId="49" applyNumberFormat="1" applyFill="1" applyBorder="1">
      <alignment/>
      <protection/>
    </xf>
    <xf numFmtId="0" fontId="39" fillId="0" borderId="0" xfId="49" applyFont="1">
      <alignment/>
      <protection/>
    </xf>
    <xf numFmtId="4" fontId="2" fillId="0" borderId="0" xfId="49" applyNumberFormat="1">
      <alignment/>
      <protection/>
    </xf>
    <xf numFmtId="4" fontId="40" fillId="0" borderId="0" xfId="48" applyNumberFormat="1" applyFont="1">
      <alignment/>
      <protection/>
    </xf>
    <xf numFmtId="4" fontId="19" fillId="34" borderId="10" xfId="49" applyNumberFormat="1" applyFont="1" applyFill="1" applyBorder="1">
      <alignment/>
      <protection/>
    </xf>
    <xf numFmtId="4" fontId="19" fillId="34" borderId="10" xfId="49" applyNumberFormat="1" applyFont="1" applyFill="1" applyBorder="1">
      <alignment/>
      <protection/>
    </xf>
    <xf numFmtId="4" fontId="15" fillId="34" borderId="10" xfId="49" applyNumberFormat="1" applyFont="1" applyFill="1" applyBorder="1">
      <alignment/>
      <protection/>
    </xf>
    <xf numFmtId="49" fontId="2" fillId="0" borderId="22" xfId="48" applyNumberFormat="1" applyFont="1" applyFill="1" applyBorder="1" applyAlignment="1">
      <alignment horizontal="right"/>
      <protection/>
    </xf>
    <xf numFmtId="0" fontId="2" fillId="0" borderId="23" xfId="48" applyFont="1" applyFill="1" applyBorder="1">
      <alignment/>
      <protection/>
    </xf>
    <xf numFmtId="0" fontId="2" fillId="0" borderId="0" xfId="49" applyFont="1" applyAlignment="1">
      <alignment horizontal="right"/>
      <protection/>
    </xf>
    <xf numFmtId="49" fontId="2" fillId="0" borderId="24" xfId="48" applyNumberFormat="1" applyFont="1" applyFill="1" applyBorder="1" applyAlignment="1">
      <alignment horizontal="right"/>
      <protection/>
    </xf>
    <xf numFmtId="2" fontId="8" fillId="0" borderId="15" xfId="49" applyNumberFormat="1" applyFont="1" applyBorder="1" applyAlignment="1">
      <alignment horizontal="left"/>
      <protection/>
    </xf>
    <xf numFmtId="4" fontId="2" fillId="0" borderId="11" xfId="49" applyNumberFormat="1" applyFont="1" applyFill="1" applyBorder="1">
      <alignment/>
      <protection/>
    </xf>
    <xf numFmtId="4" fontId="2" fillId="0" borderId="11" xfId="48" applyNumberFormat="1" applyFont="1" applyFill="1" applyBorder="1">
      <alignment/>
      <protection/>
    </xf>
    <xf numFmtId="4" fontId="2" fillId="0" borderId="25" xfId="48" applyNumberFormat="1" applyFont="1" applyFill="1" applyBorder="1">
      <alignment/>
      <protection/>
    </xf>
    <xf numFmtId="4" fontId="2" fillId="0" borderId="25" xfId="48" applyNumberFormat="1" applyFont="1" applyBorder="1">
      <alignment/>
      <protection/>
    </xf>
    <xf numFmtId="4" fontId="2" fillId="0" borderId="18" xfId="48" applyNumberFormat="1" applyFont="1" applyFill="1" applyBorder="1">
      <alignment/>
      <protection/>
    </xf>
    <xf numFmtId="0" fontId="2" fillId="0" borderId="23" xfId="48" applyFont="1" applyFill="1" applyBorder="1" applyAlignment="1">
      <alignment wrapText="1"/>
      <protection/>
    </xf>
    <xf numFmtId="4" fontId="41" fillId="34" borderId="0" xfId="49" applyNumberFormat="1" applyFont="1" applyFill="1">
      <alignment/>
      <protection/>
    </xf>
    <xf numFmtId="4" fontId="19" fillId="34" borderId="18" xfId="49" applyNumberFormat="1" applyFont="1" applyFill="1" applyBorder="1">
      <alignment/>
      <protection/>
    </xf>
    <xf numFmtId="4" fontId="2" fillId="36" borderId="17" xfId="53" applyNumberFormat="1" applyFont="1" applyFill="1" applyBorder="1" applyAlignment="1">
      <alignment/>
    </xf>
    <xf numFmtId="4" fontId="2" fillId="36" borderId="17" xfId="49" applyNumberFormat="1" applyFill="1" applyBorder="1">
      <alignment/>
      <protection/>
    </xf>
    <xf numFmtId="4" fontId="19" fillId="36" borderId="17" xfId="49" applyNumberFormat="1" applyFont="1" applyFill="1" applyBorder="1">
      <alignment/>
      <protection/>
    </xf>
    <xf numFmtId="0" fontId="9" fillId="0" borderId="26" xfId="49" applyFont="1" applyBorder="1" applyAlignment="1">
      <alignment horizontal="left"/>
      <protection/>
    </xf>
    <xf numFmtId="4" fontId="2" fillId="35" borderId="21" xfId="49" applyNumberFormat="1" applyFill="1" applyBorder="1">
      <alignment/>
      <protection/>
    </xf>
    <xf numFmtId="0" fontId="6" fillId="36" borderId="26" xfId="48" applyFont="1" applyFill="1" applyBorder="1">
      <alignment/>
      <protection/>
    </xf>
    <xf numFmtId="0" fontId="6" fillId="37" borderId="23" xfId="48" applyFont="1" applyFill="1" applyBorder="1">
      <alignment/>
      <protection/>
    </xf>
    <xf numFmtId="4" fontId="19" fillId="0" borderId="18" xfId="49" applyNumberFormat="1" applyFont="1" applyFill="1" applyBorder="1">
      <alignment/>
      <protection/>
    </xf>
    <xf numFmtId="4" fontId="17" fillId="34" borderId="11" xfId="49" applyNumberFormat="1" applyFont="1" applyFill="1" applyBorder="1">
      <alignment/>
      <protection/>
    </xf>
    <xf numFmtId="0" fontId="6" fillId="0" borderId="0" xfId="48" applyFont="1">
      <alignment/>
      <protection/>
    </xf>
    <xf numFmtId="4" fontId="19" fillId="36" borderId="16" xfId="49" applyNumberFormat="1" applyFont="1" applyFill="1" applyBorder="1">
      <alignment/>
      <protection/>
    </xf>
    <xf numFmtId="4" fontId="14" fillId="38" borderId="16" xfId="49" applyNumberFormat="1" applyFont="1" applyFill="1" applyBorder="1">
      <alignment/>
      <protection/>
    </xf>
    <xf numFmtId="4" fontId="17" fillId="33" borderId="16" xfId="49" applyNumberFormat="1" applyFont="1" applyFill="1" applyBorder="1" applyAlignment="1">
      <alignment horizontal="right" vertical="center" wrapText="1"/>
      <protection/>
    </xf>
    <xf numFmtId="4" fontId="17" fillId="33" borderId="16" xfId="49" applyNumberFormat="1" applyFont="1" applyFill="1" applyBorder="1">
      <alignment/>
      <protection/>
    </xf>
    <xf numFmtId="4" fontId="17" fillId="0" borderId="11" xfId="49" applyNumberFormat="1" applyFont="1" applyFill="1" applyBorder="1">
      <alignment/>
      <protection/>
    </xf>
    <xf numFmtId="4" fontId="17" fillId="0" borderId="19" xfId="49" applyNumberFormat="1" applyFont="1" applyFill="1" applyBorder="1">
      <alignment/>
      <protection/>
    </xf>
    <xf numFmtId="4" fontId="17" fillId="33" borderId="20" xfId="49" applyNumberFormat="1" applyFont="1" applyFill="1" applyBorder="1">
      <alignment/>
      <protection/>
    </xf>
    <xf numFmtId="4" fontId="19" fillId="0" borderId="20" xfId="50" applyNumberFormat="1" applyFont="1" applyFill="1" applyBorder="1">
      <alignment/>
      <protection/>
    </xf>
    <xf numFmtId="4" fontId="19" fillId="0" borderId="11" xfId="50" applyNumberFormat="1" applyFont="1" applyFill="1" applyBorder="1">
      <alignment/>
      <protection/>
    </xf>
    <xf numFmtId="4" fontId="14" fillId="39" borderId="16" xfId="49" applyNumberFormat="1" applyFont="1" applyFill="1" applyBorder="1">
      <alignment/>
      <protection/>
    </xf>
    <xf numFmtId="4" fontId="14" fillId="39" borderId="27" xfId="49" applyNumberFormat="1" applyFont="1" applyFill="1" applyBorder="1">
      <alignment/>
      <protection/>
    </xf>
    <xf numFmtId="4" fontId="19" fillId="34" borderId="19" xfId="49" applyNumberFormat="1" applyFont="1" applyFill="1" applyBorder="1">
      <alignment/>
      <protection/>
    </xf>
    <xf numFmtId="4" fontId="37" fillId="0" borderId="11" xfId="49" applyNumberFormat="1" applyFont="1" applyFill="1" applyBorder="1">
      <alignment/>
      <protection/>
    </xf>
    <xf numFmtId="4" fontId="37" fillId="0" borderId="19" xfId="49" applyNumberFormat="1" applyFont="1" applyFill="1" applyBorder="1">
      <alignment/>
      <protection/>
    </xf>
    <xf numFmtId="4" fontId="37" fillId="33" borderId="20" xfId="49" applyNumberFormat="1" applyFont="1" applyFill="1" applyBorder="1">
      <alignment/>
      <protection/>
    </xf>
    <xf numFmtId="4" fontId="19" fillId="0" borderId="10" xfId="49" applyNumberFormat="1" applyFont="1" applyFill="1" applyBorder="1">
      <alignment/>
      <protection/>
    </xf>
    <xf numFmtId="4" fontId="2" fillId="0" borderId="11" xfId="49" applyNumberFormat="1" applyFill="1" applyBorder="1">
      <alignment/>
      <protection/>
    </xf>
    <xf numFmtId="4" fontId="42" fillId="34" borderId="11" xfId="49" applyNumberFormat="1" applyFont="1" applyFill="1" applyBorder="1">
      <alignment/>
      <protection/>
    </xf>
    <xf numFmtId="4" fontId="19" fillId="0" borderId="20" xfId="49" applyNumberFormat="1" applyFont="1" applyBorder="1">
      <alignment/>
      <protection/>
    </xf>
    <xf numFmtId="4" fontId="19" fillId="35" borderId="19" xfId="49" applyNumberFormat="1" applyFont="1" applyFill="1" applyBorder="1">
      <alignment/>
      <protection/>
    </xf>
    <xf numFmtId="4" fontId="9" fillId="0" borderId="14" xfId="49" applyNumberFormat="1" applyFont="1" applyBorder="1" applyAlignment="1">
      <alignment horizontal="left"/>
      <protection/>
    </xf>
    <xf numFmtId="4" fontId="9" fillId="0" borderId="26" xfId="49" applyNumberFormat="1" applyFont="1" applyBorder="1" applyAlignment="1">
      <alignment horizontal="center"/>
      <protection/>
    </xf>
    <xf numFmtId="4" fontId="10" fillId="34" borderId="28" xfId="49" applyNumberFormat="1" applyFont="1" applyFill="1" applyBorder="1" applyAlignment="1">
      <alignment horizontal="center"/>
      <protection/>
    </xf>
    <xf numFmtId="4" fontId="14" fillId="34" borderId="16" xfId="49" applyNumberFormat="1" applyFont="1" applyFill="1" applyBorder="1" applyAlignment="1">
      <alignment horizontal="left" vertical="center" wrapText="1"/>
      <protection/>
    </xf>
    <xf numFmtId="4" fontId="19" fillId="0" borderId="29" xfId="49" applyNumberFormat="1" applyFont="1" applyBorder="1" applyAlignment="1">
      <alignment horizontal="left" vertical="center" wrapText="1"/>
      <protection/>
    </xf>
    <xf numFmtId="4" fontId="20" fillId="0" borderId="29" xfId="49" applyNumberFormat="1" applyFont="1" applyBorder="1" applyAlignment="1">
      <alignment horizontal="left" vertical="center" wrapText="1"/>
      <protection/>
    </xf>
    <xf numFmtId="4" fontId="14" fillId="38" borderId="26" xfId="49" applyNumberFormat="1" applyFont="1" applyFill="1" applyBorder="1" applyAlignment="1">
      <alignment horizontal="left" vertical="center" wrapText="1"/>
      <protection/>
    </xf>
    <xf numFmtId="4" fontId="17" fillId="33" borderId="26" xfId="49" applyNumberFormat="1" applyFont="1" applyFill="1" applyBorder="1" applyAlignment="1">
      <alignment horizontal="left" vertical="center" wrapText="1"/>
      <protection/>
    </xf>
    <xf numFmtId="4" fontId="23" fillId="0" borderId="23" xfId="49" applyNumberFormat="1" applyFont="1" applyBorder="1" applyAlignment="1">
      <alignment horizontal="left" vertical="center" wrapText="1"/>
      <protection/>
    </xf>
    <xf numFmtId="4" fontId="24" fillId="0" borderId="23" xfId="49" applyNumberFormat="1" applyFont="1" applyBorder="1" applyAlignment="1">
      <alignment horizontal="left" vertical="center" wrapText="1"/>
      <protection/>
    </xf>
    <xf numFmtId="4" fontId="20" fillId="40" borderId="12" xfId="49" applyNumberFormat="1" applyFont="1" applyFill="1" applyBorder="1" applyAlignment="1">
      <alignment horizontal="left" vertical="center" wrapText="1"/>
      <protection/>
    </xf>
    <xf numFmtId="4" fontId="23" fillId="0" borderId="23" xfId="49" applyNumberFormat="1" applyFont="1" applyBorder="1" applyAlignment="1">
      <alignment horizontal="right" vertical="center" wrapText="1"/>
      <protection/>
    </xf>
    <xf numFmtId="4" fontId="19" fillId="35" borderId="12" xfId="49" applyNumberFormat="1" applyFont="1" applyFill="1" applyBorder="1" applyAlignment="1">
      <alignment horizontal="left" vertical="center" wrapText="1"/>
      <protection/>
    </xf>
    <xf numFmtId="4" fontId="20" fillId="35" borderId="12" xfId="49" applyNumberFormat="1" applyFont="1" applyFill="1" applyBorder="1" applyAlignment="1">
      <alignment horizontal="left" vertical="center" wrapText="1"/>
      <protection/>
    </xf>
    <xf numFmtId="4" fontId="19" fillId="0" borderId="11" xfId="49" applyNumberFormat="1" applyFont="1" applyBorder="1" applyAlignment="1">
      <alignment horizontal="left" vertical="center" wrapText="1"/>
      <protection/>
    </xf>
    <xf numFmtId="4" fontId="19" fillId="0" borderId="13" xfId="49" applyNumberFormat="1" applyFont="1" applyBorder="1" applyAlignment="1">
      <alignment horizontal="left" vertical="center" wrapText="1"/>
      <protection/>
    </xf>
    <xf numFmtId="4" fontId="20" fillId="0" borderId="13" xfId="49" applyNumberFormat="1" applyFont="1" applyBorder="1" applyAlignment="1">
      <alignment horizontal="left" vertical="center" wrapText="1"/>
      <protection/>
    </xf>
    <xf numFmtId="4" fontId="20" fillId="0" borderId="11" xfId="49" applyNumberFormat="1" applyFont="1" applyBorder="1" applyAlignment="1">
      <alignment horizontal="right" vertical="center" wrapText="1"/>
      <protection/>
    </xf>
    <xf numFmtId="4" fontId="16" fillId="0" borderId="13" xfId="49" applyNumberFormat="1" applyFont="1" applyBorder="1" applyAlignment="1">
      <alignment horizontal="right" vertical="center" wrapText="1"/>
      <protection/>
    </xf>
    <xf numFmtId="4" fontId="20" fillId="34" borderId="23" xfId="49" applyNumberFormat="1" applyFont="1" applyFill="1" applyBorder="1" applyAlignment="1">
      <alignment horizontal="left"/>
      <protection/>
    </xf>
    <xf numFmtId="4" fontId="17" fillId="0" borderId="12" xfId="49" applyNumberFormat="1" applyFont="1" applyBorder="1" applyAlignment="1">
      <alignment horizontal="left" vertical="center" wrapText="1"/>
      <protection/>
    </xf>
    <xf numFmtId="4" fontId="20" fillId="0" borderId="12" xfId="49" applyNumberFormat="1" applyFont="1" applyBorder="1" applyAlignment="1">
      <alignment horizontal="left" vertical="center" wrapText="1"/>
      <protection/>
    </xf>
    <xf numFmtId="4" fontId="17" fillId="0" borderId="13" xfId="49" applyNumberFormat="1" applyFont="1" applyBorder="1" applyAlignment="1">
      <alignment horizontal="left" vertical="center" wrapText="1"/>
      <protection/>
    </xf>
    <xf numFmtId="4" fontId="17" fillId="33" borderId="30" xfId="49" applyNumberFormat="1" applyFont="1" applyFill="1" applyBorder="1" applyAlignment="1">
      <alignment horizontal="left" vertical="center" wrapText="1"/>
      <protection/>
    </xf>
    <xf numFmtId="4" fontId="18" fillId="33" borderId="30" xfId="49" applyNumberFormat="1" applyFont="1" applyFill="1" applyBorder="1" applyAlignment="1">
      <alignment horizontal="left" vertical="center" wrapText="1"/>
      <protection/>
    </xf>
    <xf numFmtId="4" fontId="6" fillId="0" borderId="0" xfId="49" applyNumberFormat="1" applyFont="1">
      <alignment/>
      <protection/>
    </xf>
    <xf numFmtId="4" fontId="11" fillId="0" borderId="31" xfId="49" applyNumberFormat="1" applyFont="1" applyFill="1" applyBorder="1" applyAlignment="1">
      <alignment horizontal="left" vertical="center" wrapText="1"/>
      <protection/>
    </xf>
    <xf numFmtId="4" fontId="10" fillId="0" borderId="13" xfId="49" applyNumberFormat="1" applyFont="1" applyFill="1" applyBorder="1" applyAlignment="1">
      <alignment horizontal="left" vertical="center" wrapText="1"/>
      <protection/>
    </xf>
    <xf numFmtId="4" fontId="17" fillId="33" borderId="16" xfId="49" applyNumberFormat="1" applyFont="1" applyFill="1" applyBorder="1" applyAlignment="1">
      <alignment horizontal="left" vertical="center" wrapText="1"/>
      <protection/>
    </xf>
    <xf numFmtId="4" fontId="17" fillId="34" borderId="29" xfId="49" applyNumberFormat="1" applyFont="1" applyFill="1" applyBorder="1" applyAlignment="1">
      <alignment horizontal="left" vertical="center" wrapText="1"/>
      <protection/>
    </xf>
    <xf numFmtId="4" fontId="19" fillId="34" borderId="0" xfId="49" applyNumberFormat="1" applyFont="1" applyFill="1" applyBorder="1" applyAlignment="1">
      <alignment horizontal="left" vertical="center" wrapText="1"/>
      <protection/>
    </xf>
    <xf numFmtId="4" fontId="14" fillId="39" borderId="26" xfId="49" applyNumberFormat="1" applyFont="1" applyFill="1" applyBorder="1" applyAlignment="1">
      <alignment horizontal="left" vertical="center" wrapText="1"/>
      <protection/>
    </xf>
    <xf numFmtId="4" fontId="19" fillId="0" borderId="20" xfId="49" applyNumberFormat="1" applyFont="1" applyBorder="1" applyAlignment="1">
      <alignment horizontal="left" vertical="center" wrapText="1"/>
      <protection/>
    </xf>
    <xf numFmtId="4" fontId="20" fillId="0" borderId="30" xfId="49" applyNumberFormat="1" applyFont="1" applyBorder="1" applyAlignment="1">
      <alignment horizontal="left" vertical="center" wrapText="1"/>
      <protection/>
    </xf>
    <xf numFmtId="4" fontId="19" fillId="0" borderId="12" xfId="49" applyNumberFormat="1" applyFont="1" applyBorder="1" applyAlignment="1">
      <alignment horizontal="left" vertical="center" wrapText="1"/>
      <protection/>
    </xf>
    <xf numFmtId="4" fontId="19" fillId="35" borderId="32" xfId="49" applyNumberFormat="1" applyFont="1" applyFill="1" applyBorder="1" applyAlignment="1">
      <alignment horizontal="left" vertical="center" wrapText="1"/>
      <protection/>
    </xf>
    <xf numFmtId="4" fontId="20" fillId="35" borderId="33" xfId="49" applyNumberFormat="1" applyFont="1" applyFill="1" applyBorder="1" applyAlignment="1">
      <alignment horizontal="left" vertical="center" wrapText="1"/>
      <protection/>
    </xf>
    <xf numFmtId="4" fontId="19" fillId="0" borderId="32" xfId="49" applyNumberFormat="1" applyFont="1" applyBorder="1" applyAlignment="1">
      <alignment horizontal="left" vertical="center" wrapText="1"/>
      <protection/>
    </xf>
    <xf numFmtId="4" fontId="20" fillId="0" borderId="33" xfId="49" applyNumberFormat="1" applyFont="1" applyBorder="1" applyAlignment="1">
      <alignment horizontal="left" vertical="center" wrapText="1"/>
      <protection/>
    </xf>
    <xf numFmtId="4" fontId="17" fillId="36" borderId="34" xfId="49" applyNumberFormat="1" applyFont="1" applyFill="1" applyBorder="1">
      <alignment/>
      <protection/>
    </xf>
    <xf numFmtId="4" fontId="39" fillId="0" borderId="35" xfId="49" applyNumberFormat="1" applyFont="1" applyBorder="1">
      <alignment/>
      <protection/>
    </xf>
    <xf numFmtId="4" fontId="17" fillId="36" borderId="18" xfId="49" applyNumberFormat="1" applyFont="1" applyFill="1" applyBorder="1" applyAlignment="1">
      <alignment horizontal="left" vertical="center" wrapText="1"/>
      <protection/>
    </xf>
    <xf numFmtId="4" fontId="39" fillId="0" borderId="36" xfId="49" applyNumberFormat="1" applyFont="1" applyBorder="1">
      <alignment/>
      <protection/>
    </xf>
    <xf numFmtId="4" fontId="39" fillId="0" borderId="0" xfId="49" applyNumberFormat="1" applyFont="1">
      <alignment/>
      <protection/>
    </xf>
    <xf numFmtId="4" fontId="2" fillId="0" borderId="0" xfId="49" applyNumberFormat="1" applyFont="1">
      <alignment/>
      <protection/>
    </xf>
    <xf numFmtId="4" fontId="2" fillId="0" borderId="0" xfId="49" applyNumberFormat="1" applyFont="1" applyAlignment="1">
      <alignment horizontal="right"/>
      <protection/>
    </xf>
    <xf numFmtId="4" fontId="2" fillId="0" borderId="0" xfId="49" applyNumberFormat="1" applyFont="1">
      <alignment/>
      <protection/>
    </xf>
    <xf numFmtId="4" fontId="19" fillId="41" borderId="11" xfId="49" applyNumberFormat="1" applyFont="1" applyFill="1" applyBorder="1">
      <alignment/>
      <protection/>
    </xf>
    <xf numFmtId="0" fontId="2" fillId="42" borderId="23" xfId="48" applyFont="1" applyFill="1" applyBorder="1" applyAlignment="1">
      <alignment wrapText="1"/>
      <protection/>
    </xf>
    <xf numFmtId="4" fontId="5" fillId="42" borderId="18" xfId="50" applyNumberFormat="1" applyFont="1" applyFill="1" applyBorder="1">
      <alignment/>
      <protection/>
    </xf>
    <xf numFmtId="4" fontId="5" fillId="42" borderId="11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26" xfId="48" applyFont="1" applyBorder="1">
      <alignment/>
      <protection/>
    </xf>
    <xf numFmtId="4" fontId="7" fillId="34" borderId="16" xfId="49" applyNumberFormat="1" applyFont="1" applyFill="1" applyBorder="1" applyAlignment="1">
      <alignment horizontal="center" wrapText="1"/>
      <protection/>
    </xf>
    <xf numFmtId="0" fontId="6" fillId="36" borderId="37" xfId="48" applyFont="1" applyFill="1" applyBorder="1">
      <alignment/>
      <protection/>
    </xf>
    <xf numFmtId="4" fontId="6" fillId="0" borderId="18" xfId="48" applyNumberFormat="1" applyFont="1" applyFill="1" applyBorder="1">
      <alignment/>
      <protection/>
    </xf>
    <xf numFmtId="4" fontId="2" fillId="0" borderId="0" xfId="0" applyNumberFormat="1" applyFont="1" applyAlignment="1">
      <alignment/>
    </xf>
    <xf numFmtId="0" fontId="6" fillId="33" borderId="26" xfId="48" applyFont="1" applyFill="1" applyBorder="1">
      <alignment/>
      <protection/>
    </xf>
    <xf numFmtId="4" fontId="6" fillId="33" borderId="16" xfId="48" applyNumberFormat="1" applyFont="1" applyFill="1" applyBorder="1">
      <alignment/>
      <protection/>
    </xf>
    <xf numFmtId="0" fontId="6" fillId="0" borderId="24" xfId="48" applyFont="1" applyFill="1" applyBorder="1">
      <alignment/>
      <protection/>
    </xf>
    <xf numFmtId="4" fontId="2" fillId="0" borderId="20" xfId="48" applyNumberFormat="1" applyFont="1" applyFill="1" applyBorder="1">
      <alignment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43" fillId="34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/>
    </xf>
    <xf numFmtId="4" fontId="6" fillId="0" borderId="11" xfId="48" applyNumberFormat="1" applyFont="1" applyFill="1" applyBorder="1">
      <alignment/>
      <protection/>
    </xf>
    <xf numFmtId="0" fontId="7" fillId="37" borderId="32" xfId="48" applyFont="1" applyFill="1" applyBorder="1">
      <alignment/>
      <protection/>
    </xf>
    <xf numFmtId="0" fontId="5" fillId="0" borderId="12" xfId="48" applyFont="1" applyFill="1" applyBorder="1">
      <alignment/>
      <protection/>
    </xf>
    <xf numFmtId="4" fontId="6" fillId="0" borderId="19" xfId="48" applyNumberFormat="1" applyFont="1" applyFill="1" applyBorder="1">
      <alignment/>
      <protection/>
    </xf>
    <xf numFmtId="4" fontId="39" fillId="0" borderId="0" xfId="0" applyNumberFormat="1" applyFont="1" applyAlignment="1">
      <alignment/>
    </xf>
    <xf numFmtId="4" fontId="2" fillId="0" borderId="21" xfId="48" applyNumberFormat="1" applyFont="1" applyBorder="1">
      <alignment/>
      <protection/>
    </xf>
    <xf numFmtId="4" fontId="2" fillId="0" borderId="38" xfId="48" applyNumberFormat="1" applyFont="1" applyBorder="1">
      <alignment/>
      <protection/>
    </xf>
    <xf numFmtId="4" fontId="5" fillId="0" borderId="21" xfId="48" applyNumberFormat="1" applyFont="1" applyBorder="1">
      <alignment/>
      <protection/>
    </xf>
    <xf numFmtId="4" fontId="6" fillId="36" borderId="39" xfId="48" applyNumberFormat="1" applyFont="1" applyFill="1" applyBorder="1">
      <alignment/>
      <protection/>
    </xf>
    <xf numFmtId="0" fontId="32" fillId="0" borderId="0" xfId="0" applyFont="1" applyAlignment="1">
      <alignment horizontal="right"/>
    </xf>
    <xf numFmtId="4" fontId="32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6" fillId="0" borderId="37" xfId="48" applyFont="1" applyBorder="1">
      <alignment/>
      <protection/>
    </xf>
    <xf numFmtId="4" fontId="6" fillId="0" borderId="40" xfId="48" applyNumberFormat="1" applyFont="1" applyBorder="1" applyAlignment="1">
      <alignment horizontal="center"/>
      <protection/>
    </xf>
    <xf numFmtId="4" fontId="6" fillId="0" borderId="27" xfId="48" applyNumberFormat="1" applyFont="1" applyBorder="1" applyAlignment="1">
      <alignment horizontal="center"/>
      <protection/>
    </xf>
    <xf numFmtId="0" fontId="6" fillId="40" borderId="37" xfId="48" applyFont="1" applyFill="1" applyBorder="1">
      <alignment/>
      <protection/>
    </xf>
    <xf numFmtId="4" fontId="6" fillId="40" borderId="41" xfId="48" applyNumberFormat="1" applyFont="1" applyFill="1" applyBorder="1">
      <alignment/>
      <protection/>
    </xf>
    <xf numFmtId="4" fontId="6" fillId="40" borderId="16" xfId="48" applyNumberFormat="1" applyFont="1" applyFill="1" applyBorder="1">
      <alignment/>
      <protection/>
    </xf>
    <xf numFmtId="4" fontId="6" fillId="33" borderId="42" xfId="48" applyNumberFormat="1" applyFont="1" applyFill="1" applyBorder="1">
      <alignment/>
      <protection/>
    </xf>
    <xf numFmtId="0" fontId="6" fillId="0" borderId="43" xfId="48" applyFont="1" applyFill="1" applyBorder="1">
      <alignment/>
      <protection/>
    </xf>
    <xf numFmtId="0" fontId="2" fillId="0" borderId="29" xfId="48" applyFont="1" applyFill="1" applyBorder="1">
      <alignment/>
      <protection/>
    </xf>
    <xf numFmtId="4" fontId="2" fillId="0" borderId="10" xfId="48" applyNumberFormat="1" applyFont="1" applyFill="1" applyBorder="1">
      <alignment/>
      <protection/>
    </xf>
    <xf numFmtId="4" fontId="2" fillId="0" borderId="19" xfId="48" applyNumberFormat="1" applyFont="1" applyBorder="1">
      <alignment/>
      <protection/>
    </xf>
    <xf numFmtId="0" fontId="2" fillId="0" borderId="11" xfId="48" applyFont="1" applyFill="1" applyBorder="1">
      <alignment/>
      <protection/>
    </xf>
    <xf numFmtId="49" fontId="2" fillId="0" borderId="11" xfId="48" applyNumberFormat="1" applyFont="1" applyFill="1" applyBorder="1" applyAlignment="1">
      <alignment horizontal="right"/>
      <protection/>
    </xf>
    <xf numFmtId="4" fontId="2" fillId="0" borderId="21" xfId="49" applyNumberFormat="1" applyFont="1" applyFill="1" applyBorder="1">
      <alignment/>
      <protection/>
    </xf>
    <xf numFmtId="0" fontId="2" fillId="0" borderId="31" xfId="48" applyFont="1" applyFill="1" applyBorder="1">
      <alignment/>
      <protection/>
    </xf>
    <xf numFmtId="0" fontId="2" fillId="0" borderId="44" xfId="48" applyFont="1" applyFill="1" applyBorder="1" applyAlignment="1">
      <alignment horizontal="right"/>
      <protection/>
    </xf>
    <xf numFmtId="4" fontId="2" fillId="0" borderId="45" xfId="48" applyNumberFormat="1" applyFont="1" applyBorder="1">
      <alignment/>
      <protection/>
    </xf>
    <xf numFmtId="4" fontId="2" fillId="0" borderId="15" xfId="48" applyNumberFormat="1" applyFont="1" applyBorder="1">
      <alignment/>
      <protection/>
    </xf>
    <xf numFmtId="4" fontId="6" fillId="0" borderId="21" xfId="48" applyNumberFormat="1" applyFont="1" applyFill="1" applyBorder="1">
      <alignment/>
      <protection/>
    </xf>
    <xf numFmtId="0" fontId="5" fillId="43" borderId="26" xfId="48" applyFont="1" applyFill="1" applyBorder="1">
      <alignment/>
      <protection/>
    </xf>
    <xf numFmtId="0" fontId="2" fillId="43" borderId="37" xfId="48" applyFont="1" applyFill="1" applyBorder="1">
      <alignment/>
      <protection/>
    </xf>
    <xf numFmtId="0" fontId="5" fillId="33" borderId="14" xfId="48" applyFont="1" applyFill="1" applyBorder="1">
      <alignment/>
      <protection/>
    </xf>
    <xf numFmtId="0" fontId="2" fillId="33" borderId="46" xfId="48" applyFont="1" applyFill="1" applyBorder="1">
      <alignment/>
      <protection/>
    </xf>
    <xf numFmtId="4" fontId="6" fillId="0" borderId="0" xfId="48" applyNumberFormat="1" applyFont="1" applyFill="1" applyBorder="1">
      <alignment/>
      <protection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2" fillId="44" borderId="0" xfId="0" applyNumberFormat="1" applyFont="1" applyFill="1" applyAlignment="1">
      <alignment/>
    </xf>
    <xf numFmtId="3" fontId="23" fillId="0" borderId="23" xfId="51" applyNumberFormat="1" applyFont="1" applyBorder="1" applyAlignment="1">
      <alignment horizontal="right" vertical="center" wrapText="1"/>
      <protection/>
    </xf>
    <xf numFmtId="3" fontId="23" fillId="0" borderId="23" xfId="51" applyNumberFormat="1" applyFont="1" applyBorder="1" applyAlignment="1">
      <alignment horizontal="left" vertical="center" wrapText="1"/>
      <protection/>
    </xf>
    <xf numFmtId="3" fontId="24" fillId="0" borderId="23" xfId="51" applyNumberFormat="1" applyFont="1" applyBorder="1" applyAlignment="1">
      <alignment horizontal="left" vertical="center" wrapText="1"/>
      <protection/>
    </xf>
    <xf numFmtId="3" fontId="19" fillId="34" borderId="30" xfId="51" applyNumberFormat="1" applyFont="1" applyFill="1" applyBorder="1" applyAlignment="1">
      <alignment horizontal="right" vertical="center" wrapText="1"/>
      <protection/>
    </xf>
    <xf numFmtId="4" fontId="16" fillId="34" borderId="10" xfId="49" applyNumberFormat="1" applyFont="1" applyFill="1" applyBorder="1">
      <alignment/>
      <protection/>
    </xf>
    <xf numFmtId="4" fontId="17" fillId="0" borderId="18" xfId="49" applyNumberFormat="1" applyFont="1" applyFill="1" applyBorder="1">
      <alignment/>
      <protection/>
    </xf>
    <xf numFmtId="4" fontId="17" fillId="33" borderId="27" xfId="49" applyNumberFormat="1" applyFont="1" applyFill="1" applyBorder="1">
      <alignment/>
      <protection/>
    </xf>
    <xf numFmtId="4" fontId="25" fillId="0" borderId="10" xfId="49" applyNumberFormat="1" applyFont="1" applyFill="1" applyBorder="1">
      <alignment/>
      <protection/>
    </xf>
    <xf numFmtId="4" fontId="11" fillId="42" borderId="16" xfId="49" applyNumberFormat="1" applyFont="1" applyFill="1" applyBorder="1" applyAlignment="1">
      <alignment horizontal="center"/>
      <protection/>
    </xf>
    <xf numFmtId="0" fontId="15" fillId="42" borderId="0" xfId="49" applyFont="1" applyFill="1">
      <alignment/>
      <protection/>
    </xf>
    <xf numFmtId="3" fontId="87" fillId="0" borderId="23" xfId="51" applyNumberFormat="1" applyFont="1" applyBorder="1" applyAlignment="1">
      <alignment horizontal="right" vertical="center" wrapText="1"/>
      <protection/>
    </xf>
    <xf numFmtId="3" fontId="23" fillId="0" borderId="29" xfId="51" applyNumberFormat="1" applyFont="1" applyBorder="1" applyAlignment="1">
      <alignment horizontal="right" vertical="center" wrapText="1"/>
      <protection/>
    </xf>
    <xf numFmtId="4" fontId="24" fillId="0" borderId="29" xfId="49" applyNumberFormat="1" applyFont="1" applyBorder="1" applyAlignment="1">
      <alignment horizontal="left" vertical="center" wrapText="1"/>
      <protection/>
    </xf>
    <xf numFmtId="4" fontId="6" fillId="16" borderId="16" xfId="49" applyNumberFormat="1" applyFont="1" applyFill="1" applyBorder="1" applyAlignment="1">
      <alignment horizontal="center"/>
      <protection/>
    </xf>
    <xf numFmtId="4" fontId="18" fillId="0" borderId="12" xfId="49" applyNumberFormat="1" applyFont="1" applyBorder="1" applyAlignment="1">
      <alignment horizontal="left" vertical="center" wrapText="1"/>
      <protection/>
    </xf>
    <xf numFmtId="0" fontId="37" fillId="0" borderId="0" xfId="49" applyFont="1">
      <alignment/>
      <protection/>
    </xf>
    <xf numFmtId="4" fontId="17" fillId="36" borderId="16" xfId="49" applyNumberFormat="1" applyFont="1" applyFill="1" applyBorder="1">
      <alignment/>
      <protection/>
    </xf>
    <xf numFmtId="4" fontId="17" fillId="36" borderId="16" xfId="49" applyNumberFormat="1" applyFont="1" applyFill="1" applyBorder="1">
      <alignment/>
      <protection/>
    </xf>
    <xf numFmtId="4" fontId="17" fillId="36" borderId="17" xfId="49" applyNumberFormat="1" applyFont="1" applyFill="1" applyBorder="1">
      <alignment/>
      <protection/>
    </xf>
    <xf numFmtId="4" fontId="6" fillId="0" borderId="0" xfId="49" applyNumberFormat="1" applyFont="1">
      <alignment/>
      <protection/>
    </xf>
    <xf numFmtId="0" fontId="2" fillId="0" borderId="23" xfId="48" applyFont="1" applyFill="1" applyBorder="1" applyAlignment="1">
      <alignment horizontal="right"/>
      <protection/>
    </xf>
    <xf numFmtId="3" fontId="23" fillId="42" borderId="23" xfId="51" applyNumberFormat="1" applyFont="1" applyFill="1" applyBorder="1" applyAlignment="1">
      <alignment horizontal="right" vertical="center" wrapText="1"/>
      <protection/>
    </xf>
    <xf numFmtId="4" fontId="6" fillId="42" borderId="19" xfId="48" applyNumberFormat="1" applyFont="1" applyFill="1" applyBorder="1">
      <alignment/>
      <protection/>
    </xf>
    <xf numFmtId="4" fontId="2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4" fontId="19" fillId="0" borderId="18" xfId="51" applyNumberFormat="1" applyFont="1" applyFill="1" applyBorder="1">
      <alignment/>
      <protection/>
    </xf>
    <xf numFmtId="4" fontId="88" fillId="0" borderId="18" xfId="51" applyNumberFormat="1" applyFont="1" applyFill="1" applyBorder="1">
      <alignment/>
      <protection/>
    </xf>
    <xf numFmtId="4" fontId="19" fillId="0" borderId="10" xfId="51" applyNumberFormat="1" applyFont="1" applyFill="1" applyBorder="1">
      <alignment/>
      <protection/>
    </xf>
    <xf numFmtId="4" fontId="42" fillId="40" borderId="16" xfId="51" applyNumberFormat="1" applyFont="1" applyFill="1" applyBorder="1">
      <alignment/>
      <protection/>
    </xf>
    <xf numFmtId="4" fontId="17" fillId="0" borderId="20" xfId="51" applyNumberFormat="1" applyFont="1" applyFill="1" applyBorder="1">
      <alignment/>
      <protection/>
    </xf>
    <xf numFmtId="4" fontId="5" fillId="0" borderId="11" xfId="51" applyNumberFormat="1" applyFont="1" applyBorder="1">
      <alignment/>
      <protection/>
    </xf>
    <xf numFmtId="4" fontId="26" fillId="0" borderId="11" xfId="51" applyNumberFormat="1" applyFont="1" applyBorder="1">
      <alignment/>
      <protection/>
    </xf>
    <xf numFmtId="4" fontId="19" fillId="0" borderId="20" xfId="51" applyNumberFormat="1" applyFont="1" applyFill="1" applyBorder="1">
      <alignment/>
      <protection/>
    </xf>
    <xf numFmtId="4" fontId="19" fillId="0" borderId="11" xfId="51" applyNumberFormat="1" applyFont="1" applyFill="1" applyBorder="1">
      <alignment/>
      <protection/>
    </xf>
    <xf numFmtId="4" fontId="19" fillId="0" borderId="11" xfId="51" applyNumberFormat="1" applyFont="1" applyFill="1" applyBorder="1">
      <alignment/>
      <protection/>
    </xf>
    <xf numFmtId="4" fontId="26" fillId="42" borderId="11" xfId="51" applyNumberFormat="1" applyFont="1" applyFill="1" applyBorder="1">
      <alignment/>
      <protection/>
    </xf>
    <xf numFmtId="4" fontId="42" fillId="42" borderId="18" xfId="49" applyNumberFormat="1" applyFont="1" applyFill="1" applyBorder="1">
      <alignment/>
      <protection/>
    </xf>
    <xf numFmtId="4" fontId="21" fillId="42" borderId="11" xfId="49" applyNumberFormat="1" applyFont="1" applyFill="1" applyBorder="1">
      <alignment/>
      <protection/>
    </xf>
    <xf numFmtId="4" fontId="6" fillId="34" borderId="16" xfId="49" applyNumberFormat="1" applyFont="1" applyFill="1" applyBorder="1">
      <alignment/>
      <protection/>
    </xf>
    <xf numFmtId="4" fontId="5" fillId="0" borderId="18" xfId="51" applyNumberFormat="1" applyFont="1" applyBorder="1">
      <alignment/>
      <protection/>
    </xf>
    <xf numFmtId="4" fontId="26" fillId="0" borderId="19" xfId="51" applyNumberFormat="1" applyFont="1" applyBorder="1">
      <alignment/>
      <protection/>
    </xf>
    <xf numFmtId="0" fontId="2" fillId="42" borderId="12" xfId="48" applyFont="1" applyFill="1" applyBorder="1" applyAlignment="1">
      <alignment wrapText="1"/>
      <protection/>
    </xf>
    <xf numFmtId="4" fontId="6" fillId="41" borderId="20" xfId="48" applyNumberFormat="1" applyFont="1" applyFill="1" applyBorder="1">
      <alignment/>
      <protection/>
    </xf>
    <xf numFmtId="0" fontId="2" fillId="0" borderId="29" xfId="48" applyFont="1" applyFill="1" applyBorder="1" applyAlignment="1">
      <alignment wrapText="1"/>
      <protection/>
    </xf>
    <xf numFmtId="4" fontId="6" fillId="36" borderId="41" xfId="48" applyNumberFormat="1" applyFont="1" applyFill="1" applyBorder="1">
      <alignment/>
      <protection/>
    </xf>
    <xf numFmtId="4" fontId="6" fillId="0" borderId="41" xfId="48" applyNumberFormat="1" applyFont="1" applyBorder="1">
      <alignment/>
      <protection/>
    </xf>
    <xf numFmtId="4" fontId="5" fillId="37" borderId="16" xfId="48" applyNumberFormat="1" applyFont="1" applyFill="1" applyBorder="1">
      <alignment/>
      <protection/>
    </xf>
    <xf numFmtId="4" fontId="5" fillId="33" borderId="17" xfId="48" applyNumberFormat="1" applyFont="1" applyFill="1" applyBorder="1">
      <alignment/>
      <protection/>
    </xf>
    <xf numFmtId="4" fontId="6" fillId="36" borderId="16" xfId="48" applyNumberFormat="1" applyFont="1" applyFill="1" applyBorder="1">
      <alignment/>
      <protection/>
    </xf>
    <xf numFmtId="4" fontId="6" fillId="0" borderId="16" xfId="48" applyNumberFormat="1" applyFont="1" applyBorder="1">
      <alignment/>
      <protection/>
    </xf>
    <xf numFmtId="4" fontId="6" fillId="0" borderId="0" xfId="48" applyNumberFormat="1" applyFont="1" applyBorder="1">
      <alignment/>
      <protection/>
    </xf>
    <xf numFmtId="0" fontId="2" fillId="37" borderId="26" xfId="48" applyFont="1" applyFill="1" applyBorder="1">
      <alignment/>
      <protection/>
    </xf>
    <xf numFmtId="4" fontId="42" fillId="0" borderId="11" xfId="49" applyNumberFormat="1" applyFont="1" applyFill="1" applyBorder="1">
      <alignment/>
      <protection/>
    </xf>
    <xf numFmtId="4" fontId="21" fillId="0" borderId="10" xfId="49" applyNumberFormat="1" applyFont="1" applyFill="1" applyBorder="1">
      <alignment/>
      <protection/>
    </xf>
    <xf numFmtId="4" fontId="19" fillId="0" borderId="47" xfId="49" applyNumberFormat="1" applyFont="1" applyBorder="1" applyAlignment="1">
      <alignment horizontal="left" vertical="center" wrapText="1"/>
      <protection/>
    </xf>
    <xf numFmtId="0" fontId="10" fillId="34" borderId="26" xfId="49" applyFont="1" applyFill="1" applyBorder="1" applyAlignment="1">
      <alignment horizontal="center"/>
      <protection/>
    </xf>
    <xf numFmtId="4" fontId="13" fillId="34" borderId="14" xfId="49" applyNumberFormat="1" applyFont="1" applyFill="1" applyBorder="1" applyAlignment="1">
      <alignment horizontal="center"/>
      <protection/>
    </xf>
    <xf numFmtId="4" fontId="13" fillId="34" borderId="26" xfId="49" applyNumberFormat="1" applyFont="1" applyFill="1" applyBorder="1" applyAlignment="1">
      <alignment horizontal="left"/>
      <protection/>
    </xf>
    <xf numFmtId="4" fontId="13" fillId="38" borderId="26" xfId="49" applyNumberFormat="1" applyFont="1" applyFill="1" applyBorder="1" applyAlignment="1">
      <alignment horizontal="left"/>
      <protection/>
    </xf>
    <xf numFmtId="4" fontId="18" fillId="33" borderId="26" xfId="49" applyNumberFormat="1" applyFont="1" applyFill="1" applyBorder="1" applyAlignment="1">
      <alignment horizontal="right" vertical="center" wrapText="1"/>
      <protection/>
    </xf>
    <xf numFmtId="4" fontId="18" fillId="33" borderId="26" xfId="49" applyNumberFormat="1" applyFont="1" applyFill="1" applyBorder="1" applyAlignment="1">
      <alignment horizontal="left"/>
      <protection/>
    </xf>
    <xf numFmtId="4" fontId="20" fillId="0" borderId="30" xfId="49" applyNumberFormat="1" applyFont="1" applyFill="1" applyBorder="1" applyAlignment="1">
      <alignment vertical="center" wrapText="1"/>
      <protection/>
    </xf>
    <xf numFmtId="4" fontId="20" fillId="0" borderId="12" xfId="49" applyNumberFormat="1" applyFont="1" applyFill="1" applyBorder="1" applyAlignment="1">
      <alignment vertical="center" wrapText="1"/>
      <protection/>
    </xf>
    <xf numFmtId="4" fontId="20" fillId="0" borderId="33" xfId="49" applyNumberFormat="1" applyFont="1" applyBorder="1" applyAlignment="1">
      <alignment vertical="center" wrapText="1"/>
      <protection/>
    </xf>
    <xf numFmtId="4" fontId="13" fillId="39" borderId="26" xfId="49" applyNumberFormat="1" applyFont="1" applyFill="1" applyBorder="1" applyAlignment="1">
      <alignment horizontal="left"/>
      <protection/>
    </xf>
    <xf numFmtId="4" fontId="13" fillId="39" borderId="48" xfId="49" applyNumberFormat="1" applyFont="1" applyFill="1" applyBorder="1" applyAlignment="1">
      <alignment horizontal="left"/>
      <protection/>
    </xf>
    <xf numFmtId="4" fontId="21" fillId="0" borderId="10" xfId="49" applyNumberFormat="1" applyFont="1" applyBorder="1" applyAlignment="1">
      <alignment horizontal="right" vertical="center" wrapText="1"/>
      <protection/>
    </xf>
    <xf numFmtId="4" fontId="46" fillId="0" borderId="0" xfId="49" applyNumberFormat="1" applyFont="1" applyBorder="1" applyAlignment="1">
      <alignment vertical="center" wrapText="1"/>
      <protection/>
    </xf>
    <xf numFmtId="4" fontId="21" fillId="0" borderId="17" xfId="51" applyNumberFormat="1" applyFont="1" applyFill="1" applyBorder="1">
      <alignment/>
      <protection/>
    </xf>
    <xf numFmtId="4" fontId="21" fillId="0" borderId="10" xfId="51" applyNumberFormat="1" applyFont="1" applyFill="1" applyBorder="1">
      <alignment/>
      <protection/>
    </xf>
    <xf numFmtId="0" fontId="47" fillId="0" borderId="0" xfId="49" applyFont="1">
      <alignment/>
      <protection/>
    </xf>
    <xf numFmtId="4" fontId="23" fillId="34" borderId="18" xfId="49" applyNumberFormat="1" applyFont="1" applyFill="1" applyBorder="1" applyAlignment="1">
      <alignment horizontal="right"/>
      <protection/>
    </xf>
    <xf numFmtId="4" fontId="25" fillId="35" borderId="18" xfId="49" applyNumberFormat="1" applyFont="1" applyFill="1" applyBorder="1" applyAlignment="1">
      <alignment horizontal="right"/>
      <protection/>
    </xf>
    <xf numFmtId="4" fontId="22" fillId="34" borderId="11" xfId="49" applyNumberFormat="1" applyFont="1" applyFill="1" applyBorder="1">
      <alignment/>
      <protection/>
    </xf>
    <xf numFmtId="4" fontId="22" fillId="0" borderId="11" xfId="49" applyNumberFormat="1" applyFont="1" applyFill="1" applyBorder="1">
      <alignment/>
      <protection/>
    </xf>
    <xf numFmtId="4" fontId="19" fillId="0" borderId="20" xfId="49" applyNumberFormat="1" applyFont="1" applyFill="1" applyBorder="1" applyAlignment="1">
      <alignment horizontal="right"/>
      <protection/>
    </xf>
    <xf numFmtId="4" fontId="19" fillId="0" borderId="11" xfId="49" applyNumberFormat="1" applyFont="1" applyFill="1" applyBorder="1" applyAlignment="1">
      <alignment horizontal="right"/>
      <protection/>
    </xf>
    <xf numFmtId="4" fontId="21" fillId="0" borderId="10" xfId="49" applyNumberFormat="1" applyFont="1" applyFill="1" applyBorder="1" applyAlignment="1">
      <alignment horizontal="right" vertical="center" wrapText="1"/>
      <protection/>
    </xf>
    <xf numFmtId="4" fontId="19" fillId="36" borderId="21" xfId="49" applyNumberFormat="1" applyFont="1" applyFill="1" applyBorder="1">
      <alignment/>
      <protection/>
    </xf>
    <xf numFmtId="3" fontId="23" fillId="45" borderId="23" xfId="51" applyNumberFormat="1" applyFont="1" applyFill="1" applyBorder="1" applyAlignment="1">
      <alignment horizontal="right" vertical="center" wrapText="1"/>
      <protection/>
    </xf>
    <xf numFmtId="4" fontId="19" fillId="46" borderId="18" xfId="51" applyNumberFormat="1" applyFont="1" applyFill="1" applyBorder="1">
      <alignment/>
      <protection/>
    </xf>
    <xf numFmtId="4" fontId="5" fillId="46" borderId="18" xfId="51" applyNumberFormat="1" applyFont="1" applyFill="1" applyBorder="1">
      <alignment/>
      <protection/>
    </xf>
    <xf numFmtId="0" fontId="5" fillId="0" borderId="0" xfId="49" applyFont="1">
      <alignment/>
      <protection/>
    </xf>
    <xf numFmtId="4" fontId="20" fillId="42" borderId="23" xfId="49" applyNumberFormat="1" applyFont="1" applyFill="1" applyBorder="1" applyAlignment="1">
      <alignment horizontal="left"/>
      <protection/>
    </xf>
    <xf numFmtId="4" fontId="19" fillId="42" borderId="18" xfId="51" applyNumberFormat="1" applyFont="1" applyFill="1" applyBorder="1">
      <alignment/>
      <protection/>
    </xf>
    <xf numFmtId="4" fontId="19" fillId="42" borderId="18" xfId="49" applyNumberFormat="1" applyFont="1" applyFill="1" applyBorder="1">
      <alignment/>
      <protection/>
    </xf>
    <xf numFmtId="3" fontId="19" fillId="45" borderId="23" xfId="51" applyNumberFormat="1" applyFont="1" applyFill="1" applyBorder="1" applyAlignment="1">
      <alignment horizontal="right" vertical="center" wrapText="1"/>
      <protection/>
    </xf>
    <xf numFmtId="4" fontId="19" fillId="0" borderId="18" xfId="50" applyNumberFormat="1" applyFont="1" applyFill="1" applyBorder="1">
      <alignment/>
      <protection/>
    </xf>
    <xf numFmtId="4" fontId="21" fillId="0" borderId="11" xfId="49" applyNumberFormat="1" applyFont="1" applyFill="1" applyBorder="1">
      <alignment/>
      <protection/>
    </xf>
    <xf numFmtId="4" fontId="21" fillId="34" borderId="11" xfId="49" applyNumberFormat="1" applyFont="1" applyFill="1" applyBorder="1">
      <alignment/>
      <protection/>
    </xf>
    <xf numFmtId="4" fontId="15" fillId="34" borderId="19" xfId="49" applyNumberFormat="1" applyFont="1" applyFill="1" applyBorder="1">
      <alignment/>
      <protection/>
    </xf>
    <xf numFmtId="3" fontId="19" fillId="0" borderId="20" xfId="51" applyNumberFormat="1" applyFont="1" applyFill="1" applyBorder="1" applyAlignment="1">
      <alignment horizontal="left" vertical="center" wrapText="1"/>
      <protection/>
    </xf>
    <xf numFmtId="3" fontId="19" fillId="0" borderId="11" xfId="51" applyNumberFormat="1" applyFont="1" applyFill="1" applyBorder="1" applyAlignment="1">
      <alignment horizontal="left" vertical="center" wrapText="1"/>
      <protection/>
    </xf>
    <xf numFmtId="49" fontId="2" fillId="0" borderId="22" xfId="48" applyNumberFormat="1" applyFont="1" applyFill="1" applyBorder="1" applyAlignment="1">
      <alignment horizontal="left"/>
      <protection/>
    </xf>
    <xf numFmtId="4" fontId="19" fillId="24" borderId="18" xfId="49" applyNumberFormat="1" applyFont="1" applyFill="1" applyBorder="1" applyAlignment="1">
      <alignment horizontal="left" vertical="center" wrapText="1"/>
      <protection/>
    </xf>
    <xf numFmtId="4" fontId="19" fillId="24" borderId="11" xfId="49" applyNumberFormat="1" applyFont="1" applyFill="1" applyBorder="1">
      <alignment/>
      <protection/>
    </xf>
    <xf numFmtId="4" fontId="19" fillId="24" borderId="11" xfId="51" applyNumberFormat="1" applyFont="1" applyFill="1" applyBorder="1">
      <alignment/>
      <protection/>
    </xf>
    <xf numFmtId="4" fontId="19" fillId="24" borderId="18" xfId="49" applyNumberFormat="1" applyFont="1" applyFill="1" applyBorder="1">
      <alignment/>
      <protection/>
    </xf>
    <xf numFmtId="4" fontId="21" fillId="24" borderId="11" xfId="49" applyNumberFormat="1" applyFont="1" applyFill="1" applyBorder="1">
      <alignment/>
      <protection/>
    </xf>
    <xf numFmtId="4" fontId="19" fillId="24" borderId="11" xfId="49" applyNumberFormat="1" applyFont="1" applyFill="1" applyBorder="1">
      <alignment/>
      <protection/>
    </xf>
    <xf numFmtId="4" fontId="18" fillId="36" borderId="26" xfId="49" applyNumberFormat="1" applyFont="1" applyFill="1" applyBorder="1" applyAlignment="1">
      <alignment horizontal="left" vertical="center" wrapText="1"/>
      <protection/>
    </xf>
    <xf numFmtId="4" fontId="17" fillId="36" borderId="16" xfId="51" applyNumberFormat="1" applyFont="1" applyFill="1" applyBorder="1">
      <alignment/>
      <protection/>
    </xf>
    <xf numFmtId="4" fontId="17" fillId="37" borderId="26" xfId="49" applyNumberFormat="1" applyFont="1" applyFill="1" applyBorder="1" applyAlignment="1">
      <alignment horizontal="left" vertical="center" wrapText="1"/>
      <protection/>
    </xf>
    <xf numFmtId="4" fontId="18" fillId="37" borderId="26" xfId="49" applyNumberFormat="1" applyFont="1" applyFill="1" applyBorder="1" applyAlignment="1">
      <alignment horizontal="left"/>
      <protection/>
    </xf>
    <xf numFmtId="4" fontId="17" fillId="37" borderId="16" xfId="51" applyNumberFormat="1" applyFont="1" applyFill="1" applyBorder="1">
      <alignment/>
      <protection/>
    </xf>
    <xf numFmtId="4" fontId="42" fillId="37" borderId="16" xfId="51" applyNumberFormat="1" applyFont="1" applyFill="1" applyBorder="1">
      <alignment/>
      <protection/>
    </xf>
    <xf numFmtId="4" fontId="18" fillId="40" borderId="26" xfId="49" applyNumberFormat="1" applyFont="1" applyFill="1" applyBorder="1" applyAlignment="1">
      <alignment horizontal="left" vertical="center" wrapText="1"/>
      <protection/>
    </xf>
    <xf numFmtId="4" fontId="17" fillId="40" borderId="16" xfId="51" applyNumberFormat="1" applyFont="1" applyFill="1" applyBorder="1">
      <alignment/>
      <protection/>
    </xf>
    <xf numFmtId="0" fontId="34" fillId="0" borderId="0" xfId="49" applyFont="1" applyFill="1">
      <alignment/>
      <protection/>
    </xf>
    <xf numFmtId="4" fontId="2" fillId="0" borderId="31" xfId="48" applyNumberFormat="1" applyFont="1" applyBorder="1">
      <alignment/>
      <protection/>
    </xf>
    <xf numFmtId="4" fontId="5" fillId="33" borderId="14" xfId="48" applyNumberFormat="1" applyFont="1" applyFill="1" applyBorder="1">
      <alignment/>
      <protection/>
    </xf>
    <xf numFmtId="4" fontId="6" fillId="36" borderId="26" xfId="48" applyNumberFormat="1" applyFont="1" applyFill="1" applyBorder="1">
      <alignment/>
      <protection/>
    </xf>
    <xf numFmtId="4" fontId="6" fillId="0" borderId="26" xfId="48" applyNumberFormat="1" applyFont="1" applyBorder="1">
      <alignment/>
      <protection/>
    </xf>
    <xf numFmtId="4" fontId="29" fillId="0" borderId="18" xfId="48" applyNumberFormat="1" applyFont="1" applyFill="1" applyBorder="1">
      <alignment/>
      <protection/>
    </xf>
    <xf numFmtId="4" fontId="2" fillId="34" borderId="18" xfId="48" applyNumberFormat="1" applyFont="1" applyFill="1" applyBorder="1">
      <alignment/>
      <protection/>
    </xf>
    <xf numFmtId="4" fontId="5" fillId="0" borderId="11" xfId="48" applyNumberFormat="1" applyFont="1" applyBorder="1">
      <alignment/>
      <protection/>
    </xf>
    <xf numFmtId="4" fontId="7" fillId="0" borderId="11" xfId="48" applyNumberFormat="1" applyFont="1" applyFill="1" applyBorder="1">
      <alignment/>
      <protection/>
    </xf>
    <xf numFmtId="4" fontId="6" fillId="42" borderId="11" xfId="48" applyNumberFormat="1" applyFont="1" applyFill="1" applyBorder="1">
      <alignment/>
      <protection/>
    </xf>
    <xf numFmtId="4" fontId="6" fillId="36" borderId="20" xfId="48" applyNumberFormat="1" applyFont="1" applyFill="1" applyBorder="1">
      <alignment/>
      <protection/>
    </xf>
    <xf numFmtId="4" fontId="2" fillId="0" borderId="11" xfId="48" applyNumberFormat="1" applyFont="1" applyFill="1" applyBorder="1" applyAlignment="1">
      <alignment wrapText="1"/>
      <protection/>
    </xf>
    <xf numFmtId="4" fontId="2" fillId="42" borderId="11" xfId="48" applyNumberFormat="1" applyFont="1" applyFill="1" applyBorder="1">
      <alignment/>
      <protection/>
    </xf>
    <xf numFmtId="4" fontId="5" fillId="0" borderId="11" xfId="48" applyNumberFormat="1" applyFont="1" applyFill="1" applyBorder="1">
      <alignment/>
      <protection/>
    </xf>
    <xf numFmtId="4" fontId="89" fillId="0" borderId="11" xfId="48" applyNumberFormat="1" applyFont="1" applyBorder="1">
      <alignment/>
      <protection/>
    </xf>
    <xf numFmtId="4" fontId="2" fillId="0" borderId="49" xfId="48" applyNumberFormat="1" applyFont="1" applyBorder="1">
      <alignment/>
      <protection/>
    </xf>
    <xf numFmtId="4" fontId="6" fillId="36" borderId="28" xfId="48" applyNumberFormat="1" applyFont="1" applyFill="1" applyBorder="1">
      <alignment/>
      <protection/>
    </xf>
    <xf numFmtId="4" fontId="6" fillId="0" borderId="28" xfId="48" applyNumberFormat="1" applyFont="1" applyBorder="1">
      <alignment/>
      <protection/>
    </xf>
    <xf numFmtId="4" fontId="14" fillId="41" borderId="16" xfId="49" applyNumberFormat="1" applyFont="1" applyFill="1" applyBorder="1">
      <alignment/>
      <protection/>
    </xf>
    <xf numFmtId="4" fontId="27" fillId="0" borderId="11" xfId="48" applyNumberFormat="1" applyFont="1" applyFill="1" applyBorder="1">
      <alignment/>
      <protection/>
    </xf>
    <xf numFmtId="4" fontId="29" fillId="0" borderId="11" xfId="48" applyNumberFormat="1" applyFont="1" applyFill="1" applyBorder="1">
      <alignment/>
      <protection/>
    </xf>
    <xf numFmtId="4" fontId="2" fillId="0" borderId="13" xfId="48" applyNumberFormat="1" applyFont="1" applyBorder="1">
      <alignment/>
      <protection/>
    </xf>
    <xf numFmtId="4" fontId="2" fillId="0" borderId="11" xfId="0" applyNumberFormat="1" applyFont="1" applyBorder="1" applyAlignment="1">
      <alignment/>
    </xf>
    <xf numFmtId="0" fontId="6" fillId="37" borderId="26" xfId="48" applyFont="1" applyFill="1" applyBorder="1">
      <alignment/>
      <protection/>
    </xf>
    <xf numFmtId="0" fontId="7" fillId="37" borderId="26" xfId="48" applyFont="1" applyFill="1" applyBorder="1">
      <alignment/>
      <protection/>
    </xf>
    <xf numFmtId="0" fontId="5" fillId="0" borderId="23" xfId="48" applyFont="1" applyFill="1" applyBorder="1">
      <alignment/>
      <protection/>
    </xf>
    <xf numFmtId="0" fontId="2" fillId="0" borderId="33" xfId="48" applyFont="1" applyFill="1" applyBorder="1">
      <alignment/>
      <protection/>
    </xf>
    <xf numFmtId="0" fontId="2" fillId="0" borderId="50" xfId="48" applyFont="1" applyFill="1" applyBorder="1">
      <alignment/>
      <protection/>
    </xf>
    <xf numFmtId="4" fontId="2" fillId="0" borderId="51" xfId="48" applyNumberFormat="1" applyFont="1" applyBorder="1">
      <alignment/>
      <protection/>
    </xf>
    <xf numFmtId="4" fontId="5" fillId="33" borderId="45" xfId="48" applyNumberFormat="1" applyFont="1" applyFill="1" applyBorder="1">
      <alignment/>
      <protection/>
    </xf>
    <xf numFmtId="0" fontId="6" fillId="0" borderId="16" xfId="48" applyFont="1" applyBorder="1">
      <alignment/>
      <protection/>
    </xf>
    <xf numFmtId="0" fontId="6" fillId="36" borderId="16" xfId="48" applyFont="1" applyFill="1" applyBorder="1">
      <alignment/>
      <protection/>
    </xf>
    <xf numFmtId="0" fontId="6" fillId="33" borderId="16" xfId="48" applyFont="1" applyFill="1" applyBorder="1" applyAlignment="1">
      <alignment wrapText="1"/>
      <protection/>
    </xf>
    <xf numFmtId="0" fontId="6" fillId="0" borderId="18" xfId="48" applyFont="1" applyFill="1" applyBorder="1">
      <alignment/>
      <protection/>
    </xf>
    <xf numFmtId="49" fontId="2" fillId="0" borderId="11" xfId="48" applyNumberFormat="1" applyFont="1" applyFill="1" applyBorder="1" applyAlignment="1">
      <alignment horizontal="right" wrapText="1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49" fontId="7" fillId="0" borderId="11" xfId="48" applyNumberFormat="1" applyFont="1" applyFill="1" applyBorder="1" applyAlignment="1">
      <alignment horizontal="right"/>
      <protection/>
    </xf>
    <xf numFmtId="49" fontId="5" fillId="37" borderId="16" xfId="48" applyNumberFormat="1" applyFont="1" applyFill="1" applyBorder="1">
      <alignment/>
      <protection/>
    </xf>
    <xf numFmtId="49" fontId="5" fillId="33" borderId="17" xfId="48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/>
    </xf>
    <xf numFmtId="4" fontId="2" fillId="0" borderId="52" xfId="48" applyNumberFormat="1" applyFont="1" applyFill="1" applyBorder="1">
      <alignment/>
      <protection/>
    </xf>
    <xf numFmtId="4" fontId="2" fillId="0" borderId="52" xfId="48" applyNumberFormat="1" applyFont="1" applyBorder="1">
      <alignment/>
      <protection/>
    </xf>
    <xf numFmtId="4" fontId="2" fillId="0" borderId="53" xfId="48" applyNumberFormat="1" applyFont="1" applyBorder="1">
      <alignment/>
      <protection/>
    </xf>
    <xf numFmtId="4" fontId="5" fillId="33" borderId="15" xfId="48" applyNumberFormat="1" applyFont="1" applyFill="1" applyBorder="1">
      <alignment/>
      <protection/>
    </xf>
    <xf numFmtId="4" fontId="2" fillId="42" borderId="11" xfId="49" applyNumberFormat="1" applyFont="1" applyFill="1" applyBorder="1">
      <alignment/>
      <protection/>
    </xf>
    <xf numFmtId="4" fontId="2" fillId="0" borderId="54" xfId="48" applyNumberFormat="1" applyFont="1" applyFill="1" applyBorder="1">
      <alignment/>
      <protection/>
    </xf>
    <xf numFmtId="4" fontId="2" fillId="0" borderId="55" xfId="48" applyNumberFormat="1" applyFont="1" applyFill="1" applyBorder="1">
      <alignment/>
      <protection/>
    </xf>
    <xf numFmtId="4" fontId="6" fillId="43" borderId="41" xfId="48" applyNumberFormat="1" applyFont="1" applyFill="1" applyBorder="1">
      <alignment/>
      <protection/>
    </xf>
    <xf numFmtId="4" fontId="6" fillId="33" borderId="27" xfId="48" applyNumberFormat="1" applyFont="1" applyFill="1" applyBorder="1">
      <alignment/>
      <protection/>
    </xf>
    <xf numFmtId="4" fontId="2" fillId="0" borderId="17" xfId="48" applyNumberFormat="1" applyFont="1" applyBorder="1">
      <alignment/>
      <protection/>
    </xf>
    <xf numFmtId="4" fontId="6" fillId="43" borderId="16" xfId="48" applyNumberFormat="1" applyFont="1" applyFill="1" applyBorder="1">
      <alignment/>
      <protection/>
    </xf>
    <xf numFmtId="4" fontId="6" fillId="0" borderId="26" xfId="48" applyNumberFormat="1" applyFont="1" applyBorder="1" applyAlignment="1">
      <alignment horizontal="center"/>
      <protection/>
    </xf>
    <xf numFmtId="4" fontId="6" fillId="40" borderId="26" xfId="48" applyNumberFormat="1" applyFont="1" applyFill="1" applyBorder="1">
      <alignment/>
      <protection/>
    </xf>
    <xf numFmtId="4" fontId="6" fillId="33" borderId="48" xfId="48" applyNumberFormat="1" applyFont="1" applyFill="1" applyBorder="1">
      <alignment/>
      <protection/>
    </xf>
    <xf numFmtId="4" fontId="2" fillId="0" borderId="30" xfId="48" applyNumberFormat="1" applyFont="1" applyFill="1" applyBorder="1">
      <alignment/>
      <protection/>
    </xf>
    <xf numFmtId="4" fontId="2" fillId="0" borderId="12" xfId="48" applyNumberFormat="1" applyFont="1" applyFill="1" applyBorder="1">
      <alignment/>
      <protection/>
    </xf>
    <xf numFmtId="4" fontId="2" fillId="0" borderId="29" xfId="48" applyNumberFormat="1" applyFont="1" applyFill="1" applyBorder="1">
      <alignment/>
      <protection/>
    </xf>
    <xf numFmtId="4" fontId="2" fillId="0" borderId="12" xfId="48" applyNumberFormat="1" applyFont="1" applyBorder="1">
      <alignment/>
      <protection/>
    </xf>
    <xf numFmtId="4" fontId="2" fillId="0" borderId="14" xfId="48" applyNumberFormat="1" applyFont="1" applyBorder="1">
      <alignment/>
      <protection/>
    </xf>
    <xf numFmtId="4" fontId="6" fillId="43" borderId="26" xfId="48" applyNumberFormat="1" applyFont="1" applyFill="1" applyBorder="1">
      <alignment/>
      <protection/>
    </xf>
    <xf numFmtId="4" fontId="6" fillId="0" borderId="41" xfId="48" applyNumberFormat="1" applyFont="1" applyBorder="1" applyAlignment="1">
      <alignment horizontal="center"/>
      <protection/>
    </xf>
    <xf numFmtId="4" fontId="6" fillId="0" borderId="16" xfId="48" applyNumberFormat="1" applyFont="1" applyBorder="1" applyAlignment="1">
      <alignment horizontal="center"/>
      <protection/>
    </xf>
    <xf numFmtId="4" fontId="2" fillId="0" borderId="17" xfId="48" applyNumberFormat="1" applyFont="1" applyFill="1" applyBorder="1">
      <alignment/>
      <protection/>
    </xf>
    <xf numFmtId="4" fontId="6" fillId="40" borderId="40" xfId="48" applyNumberFormat="1" applyFont="1" applyFill="1" applyBorder="1">
      <alignment/>
      <protection/>
    </xf>
    <xf numFmtId="4" fontId="6" fillId="33" borderId="56" xfId="48" applyNumberFormat="1" applyFont="1" applyFill="1" applyBorder="1">
      <alignment/>
      <protection/>
    </xf>
    <xf numFmtId="4" fontId="6" fillId="0" borderId="28" xfId="48" applyNumberFormat="1" applyFont="1" applyBorder="1" applyAlignment="1">
      <alignment horizontal="center"/>
      <protection/>
    </xf>
    <xf numFmtId="4" fontId="6" fillId="40" borderId="28" xfId="48" applyNumberFormat="1" applyFont="1" applyFill="1" applyBorder="1">
      <alignment/>
      <protection/>
    </xf>
    <xf numFmtId="4" fontId="2" fillId="0" borderId="57" xfId="48" applyNumberFormat="1" applyFont="1" applyFill="1" applyBorder="1">
      <alignment/>
      <protection/>
    </xf>
    <xf numFmtId="4" fontId="2" fillId="0" borderId="0" xfId="48" applyNumberFormat="1" applyFont="1" applyFill="1" applyBorder="1">
      <alignment/>
      <protection/>
    </xf>
    <xf numFmtId="4" fontId="6" fillId="43" borderId="28" xfId="48" applyNumberFormat="1" applyFont="1" applyFill="1" applyBorder="1">
      <alignment/>
      <protection/>
    </xf>
    <xf numFmtId="3" fontId="5" fillId="0" borderId="33" xfId="51" applyNumberFormat="1" applyFont="1" applyBorder="1">
      <alignment/>
      <protection/>
    </xf>
    <xf numFmtId="4" fontId="19" fillId="34" borderId="21" xfId="49" applyNumberFormat="1" applyFont="1" applyFill="1" applyBorder="1">
      <alignment/>
      <protection/>
    </xf>
    <xf numFmtId="4" fontId="17" fillId="37" borderId="16" xfId="49" applyNumberFormat="1" applyFont="1" applyFill="1" applyBorder="1">
      <alignment/>
      <protection/>
    </xf>
    <xf numFmtId="4" fontId="19" fillId="46" borderId="18" xfId="49" applyNumberFormat="1" applyFont="1" applyFill="1" applyBorder="1">
      <alignment/>
      <protection/>
    </xf>
    <xf numFmtId="4" fontId="17" fillId="40" borderId="16" xfId="49" applyNumberFormat="1" applyFont="1" applyFill="1" applyBorder="1">
      <alignment/>
      <protection/>
    </xf>
    <xf numFmtId="4" fontId="5" fillId="0" borderId="19" xfId="51" applyNumberFormat="1" applyFont="1" applyBorder="1">
      <alignment/>
      <protection/>
    </xf>
    <xf numFmtId="4" fontId="5" fillId="42" borderId="11" xfId="51" applyNumberFormat="1" applyFont="1" applyFill="1" applyBorder="1">
      <alignment/>
      <protection/>
    </xf>
    <xf numFmtId="4" fontId="42" fillId="0" borderId="20" xfId="51" applyNumberFormat="1" applyFont="1" applyFill="1" applyBorder="1">
      <alignment/>
      <protection/>
    </xf>
    <xf numFmtId="4" fontId="21" fillId="0" borderId="20" xfId="51" applyNumberFormat="1" applyFont="1" applyFill="1" applyBorder="1">
      <alignment/>
      <protection/>
    </xf>
    <xf numFmtId="4" fontId="26" fillId="0" borderId="18" xfId="51" applyNumberFormat="1" applyFont="1" applyBorder="1">
      <alignment/>
      <protection/>
    </xf>
    <xf numFmtId="4" fontId="14" fillId="34" borderId="16" xfId="49" applyNumberFormat="1" applyFont="1" applyFill="1" applyBorder="1" applyAlignment="1">
      <alignment horizontal="right"/>
      <protection/>
    </xf>
    <xf numFmtId="4" fontId="17" fillId="37" borderId="16" xfId="49" applyNumberFormat="1" applyFont="1" applyFill="1" applyBorder="1">
      <alignment/>
      <protection/>
    </xf>
    <xf numFmtId="4" fontId="16" fillId="0" borderId="10" xfId="49" applyNumberFormat="1" applyFont="1" applyFill="1" applyBorder="1">
      <alignment/>
      <protection/>
    </xf>
    <xf numFmtId="4" fontId="15" fillId="0" borderId="11" xfId="49" applyNumberFormat="1" applyFont="1" applyFill="1" applyBorder="1">
      <alignment/>
      <protection/>
    </xf>
    <xf numFmtId="4" fontId="37" fillId="33" borderId="16" xfId="49" applyNumberFormat="1" applyFont="1" applyFill="1" applyBorder="1">
      <alignment/>
      <protection/>
    </xf>
    <xf numFmtId="4" fontId="2" fillId="0" borderId="18" xfId="49" applyNumberFormat="1" applyFill="1" applyBorder="1">
      <alignment/>
      <protection/>
    </xf>
    <xf numFmtId="4" fontId="19" fillId="0" borderId="20" xfId="49" applyNumberFormat="1" applyFont="1" applyFill="1" applyBorder="1">
      <alignment/>
      <protection/>
    </xf>
    <xf numFmtId="4" fontId="90" fillId="0" borderId="18" xfId="49" applyNumberFormat="1" applyFont="1" applyFill="1" applyBorder="1">
      <alignment/>
      <protection/>
    </xf>
    <xf numFmtId="4" fontId="15" fillId="24" borderId="11" xfId="49" applyNumberFormat="1" applyFont="1" applyFill="1" applyBorder="1">
      <alignment/>
      <protection/>
    </xf>
    <xf numFmtId="4" fontId="47" fillId="0" borderId="10" xfId="49" applyNumberFormat="1" applyFont="1" applyFill="1" applyBorder="1">
      <alignment/>
      <protection/>
    </xf>
    <xf numFmtId="4" fontId="9" fillId="0" borderId="16" xfId="49" applyNumberFormat="1" applyFont="1" applyBorder="1">
      <alignment/>
      <protection/>
    </xf>
    <xf numFmtId="4" fontId="6" fillId="34" borderId="16" xfId="49" applyNumberFormat="1" applyFont="1" applyFill="1" applyBorder="1" applyAlignment="1">
      <alignment horizontal="center"/>
      <protection/>
    </xf>
    <xf numFmtId="4" fontId="38" fillId="37" borderId="16" xfId="49" applyNumberFormat="1" applyFont="1" applyFill="1" applyBorder="1">
      <alignment/>
      <protection/>
    </xf>
    <xf numFmtId="4" fontId="23" fillId="46" borderId="18" xfId="49" applyNumberFormat="1" applyFont="1" applyFill="1" applyBorder="1" applyAlignment="1">
      <alignment horizontal="right"/>
      <protection/>
    </xf>
    <xf numFmtId="4" fontId="23" fillId="34" borderId="10" xfId="49" applyNumberFormat="1" applyFont="1" applyFill="1" applyBorder="1" applyAlignment="1">
      <alignment horizontal="right"/>
      <protection/>
    </xf>
    <xf numFmtId="4" fontId="38" fillId="36" borderId="16" xfId="49" applyNumberFormat="1" applyFont="1" applyFill="1" applyBorder="1">
      <alignment/>
      <protection/>
    </xf>
    <xf numFmtId="4" fontId="91" fillId="34" borderId="18" xfId="49" applyNumberFormat="1" applyFont="1" applyFill="1" applyBorder="1" applyAlignment="1">
      <alignment horizontal="right"/>
      <protection/>
    </xf>
    <xf numFmtId="4" fontId="91" fillId="34" borderId="10" xfId="49" applyNumberFormat="1" applyFont="1" applyFill="1" applyBorder="1" applyAlignment="1">
      <alignment horizontal="right"/>
      <protection/>
    </xf>
    <xf numFmtId="4" fontId="38" fillId="40" borderId="16" xfId="49" applyNumberFormat="1" applyFont="1" applyFill="1" applyBorder="1">
      <alignment/>
      <protection/>
    </xf>
    <xf numFmtId="4" fontId="22" fillId="34" borderId="19" xfId="49" applyNumberFormat="1" applyFont="1" applyFill="1" applyBorder="1">
      <alignment/>
      <protection/>
    </xf>
    <xf numFmtId="4" fontId="17" fillId="0" borderId="10" xfId="49" applyNumberFormat="1" applyFont="1" applyFill="1" applyBorder="1">
      <alignment/>
      <protection/>
    </xf>
    <xf numFmtId="4" fontId="17" fillId="0" borderId="27" xfId="49" applyNumberFormat="1" applyFont="1" applyFill="1" applyBorder="1">
      <alignment/>
      <protection/>
    </xf>
    <xf numFmtId="4" fontId="17" fillId="42" borderId="11" xfId="49" applyNumberFormat="1" applyFont="1" applyFill="1" applyBorder="1">
      <alignment/>
      <protection/>
    </xf>
    <xf numFmtId="4" fontId="17" fillId="0" borderId="11" xfId="49" applyNumberFormat="1" applyFont="1" applyFill="1" applyBorder="1">
      <alignment/>
      <protection/>
    </xf>
    <xf numFmtId="4" fontId="38" fillId="0" borderId="11" xfId="49" applyNumberFormat="1" applyFont="1" applyFill="1" applyBorder="1">
      <alignment/>
      <protection/>
    </xf>
    <xf numFmtId="4" fontId="38" fillId="33" borderId="20" xfId="49" applyNumberFormat="1" applyFont="1" applyFill="1" applyBorder="1">
      <alignment/>
      <protection/>
    </xf>
    <xf numFmtId="4" fontId="15" fillId="0" borderId="0" xfId="49" applyNumberFormat="1" applyFont="1">
      <alignment/>
      <protection/>
    </xf>
    <xf numFmtId="4" fontId="21" fillId="0" borderId="18" xfId="51" applyNumberFormat="1" applyFont="1" applyFill="1" applyBorder="1">
      <alignment/>
      <protection/>
    </xf>
    <xf numFmtId="4" fontId="19" fillId="0" borderId="27" xfId="49" applyNumberFormat="1" applyFont="1" applyFill="1" applyBorder="1">
      <alignment/>
      <protection/>
    </xf>
    <xf numFmtId="0" fontId="15" fillId="0" borderId="0" xfId="49" applyFont="1">
      <alignment/>
      <protection/>
    </xf>
    <xf numFmtId="4" fontId="37" fillId="0" borderId="0" xfId="49" applyNumberFormat="1" applyFont="1">
      <alignment/>
      <protection/>
    </xf>
    <xf numFmtId="49" fontId="2" fillId="0" borderId="11" xfId="48" applyNumberFormat="1" applyFont="1" applyFill="1" applyBorder="1" applyAlignment="1">
      <alignment horizontal="left"/>
      <protection/>
    </xf>
    <xf numFmtId="49" fontId="2" fillId="0" borderId="11" xfId="48" applyNumberFormat="1" applyFont="1" applyFill="1" applyBorder="1" applyAlignment="1">
      <alignment horizontal="left" wrapText="1"/>
      <protection/>
    </xf>
    <xf numFmtId="4" fontId="92" fillId="0" borderId="11" xfId="48" applyNumberFormat="1" applyFont="1" applyFill="1" applyBorder="1">
      <alignment/>
      <protection/>
    </xf>
    <xf numFmtId="4" fontId="34" fillId="0" borderId="0" xfId="49" applyNumberFormat="1" applyFont="1" applyFill="1">
      <alignment/>
      <protection/>
    </xf>
    <xf numFmtId="4" fontId="34" fillId="0" borderId="0" xfId="49" applyNumberFormat="1" applyFont="1">
      <alignment/>
      <protection/>
    </xf>
    <xf numFmtId="0" fontId="5" fillId="45" borderId="26" xfId="51" applyFont="1" applyFill="1" applyBorder="1" applyAlignment="1">
      <alignment horizontal="right" wrapText="1"/>
      <protection/>
    </xf>
    <xf numFmtId="3" fontId="19" fillId="34" borderId="23" xfId="51" applyNumberFormat="1" applyFont="1" applyFill="1" applyBorder="1" applyAlignment="1">
      <alignment horizontal="right" vertical="center" wrapText="1"/>
      <protection/>
    </xf>
    <xf numFmtId="0" fontId="2" fillId="0" borderId="0" xfId="51">
      <alignment/>
      <protection/>
    </xf>
    <xf numFmtId="3" fontId="19" fillId="0" borderId="23" xfId="51" applyNumberFormat="1" applyFont="1" applyBorder="1" applyAlignment="1">
      <alignment horizontal="left" vertical="center" wrapText="1"/>
      <protection/>
    </xf>
    <xf numFmtId="4" fontId="17" fillId="47" borderId="11" xfId="49" applyNumberFormat="1" applyFont="1" applyFill="1" applyBorder="1">
      <alignment/>
      <protection/>
    </xf>
    <xf numFmtId="4" fontId="37" fillId="47" borderId="11" xfId="49" applyNumberFormat="1" applyFont="1" applyFill="1" applyBorder="1">
      <alignment/>
      <protection/>
    </xf>
    <xf numFmtId="4" fontId="38" fillId="47" borderId="11" xfId="49" applyNumberFormat="1" applyFont="1" applyFill="1" applyBorder="1">
      <alignment/>
      <protection/>
    </xf>
    <xf numFmtId="4" fontId="2" fillId="47" borderId="23" xfId="51" applyNumberFormat="1" applyFill="1" applyBorder="1" applyAlignment="1">
      <alignment wrapText="1"/>
      <protection/>
    </xf>
    <xf numFmtId="4" fontId="2" fillId="48" borderId="18" xfId="51" applyNumberFormat="1" applyFont="1" applyFill="1" applyBorder="1">
      <alignment/>
      <protection/>
    </xf>
    <xf numFmtId="4" fontId="18" fillId="34" borderId="23" xfId="49" applyNumberFormat="1" applyFont="1" applyFill="1" applyBorder="1" applyAlignment="1">
      <alignment horizontal="left"/>
      <protection/>
    </xf>
    <xf numFmtId="4" fontId="17" fillId="0" borderId="18" xfId="51" applyNumberFormat="1" applyFont="1" applyFill="1" applyBorder="1">
      <alignment/>
      <protection/>
    </xf>
    <xf numFmtId="4" fontId="17" fillId="47" borderId="18" xfId="51" applyNumberFormat="1" applyFont="1" applyFill="1" applyBorder="1">
      <alignment/>
      <protection/>
    </xf>
    <xf numFmtId="4" fontId="17" fillId="47" borderId="18" xfId="49" applyNumberFormat="1" applyFont="1" applyFill="1" applyBorder="1">
      <alignment/>
      <protection/>
    </xf>
    <xf numFmtId="4" fontId="7" fillId="47" borderId="11" xfId="50" applyNumberFormat="1" applyFont="1" applyFill="1" applyBorder="1">
      <alignment/>
      <protection/>
    </xf>
    <xf numFmtId="4" fontId="17" fillId="47" borderId="11" xfId="49" applyNumberFormat="1" applyFont="1" applyFill="1" applyBorder="1">
      <alignment/>
      <protection/>
    </xf>
    <xf numFmtId="3" fontId="17" fillId="47" borderId="30" xfId="51" applyNumberFormat="1" applyFont="1" applyFill="1" applyBorder="1" applyAlignment="1">
      <alignment horizontal="left" vertical="center" wrapText="1"/>
      <protection/>
    </xf>
    <xf numFmtId="4" fontId="15" fillId="47" borderId="11" xfId="49" applyNumberFormat="1" applyFont="1" applyFill="1" applyBorder="1">
      <alignment/>
      <protection/>
    </xf>
    <xf numFmtId="4" fontId="17" fillId="0" borderId="58" xfId="51" applyNumberFormat="1" applyFont="1" applyFill="1" applyBorder="1">
      <alignment/>
      <protection/>
    </xf>
    <xf numFmtId="4" fontId="11" fillId="34" borderId="37" xfId="49" applyNumberFormat="1" applyFont="1" applyFill="1" applyBorder="1" applyAlignment="1">
      <alignment horizontal="center"/>
      <protection/>
    </xf>
    <xf numFmtId="4" fontId="14" fillId="34" borderId="46" xfId="49" applyNumberFormat="1" applyFont="1" applyFill="1" applyBorder="1" applyAlignment="1">
      <alignment horizontal="right"/>
      <protection/>
    </xf>
    <xf numFmtId="4" fontId="14" fillId="34" borderId="37" xfId="49" applyNumberFormat="1" applyFont="1" applyFill="1" applyBorder="1">
      <alignment/>
      <protection/>
    </xf>
    <xf numFmtId="4" fontId="14" fillId="38" borderId="37" xfId="49" applyNumberFormat="1" applyFont="1" applyFill="1" applyBorder="1">
      <alignment/>
      <protection/>
    </xf>
    <xf numFmtId="4" fontId="17" fillId="33" borderId="37" xfId="49" applyNumberFormat="1" applyFont="1" applyFill="1" applyBorder="1" applyAlignment="1">
      <alignment horizontal="right" vertical="center" wrapText="1"/>
      <protection/>
    </xf>
    <xf numFmtId="4" fontId="17" fillId="33" borderId="37" xfId="49" applyNumberFormat="1" applyFont="1" applyFill="1" applyBorder="1">
      <alignment/>
      <protection/>
    </xf>
    <xf numFmtId="4" fontId="14" fillId="39" borderId="37" xfId="49" applyNumberFormat="1" applyFont="1" applyFill="1" applyBorder="1">
      <alignment/>
      <protection/>
    </xf>
    <xf numFmtId="0" fontId="5" fillId="0" borderId="11" xfId="51" applyFont="1" applyBorder="1" applyAlignment="1">
      <alignment horizontal="right"/>
      <protection/>
    </xf>
    <xf numFmtId="4" fontId="14" fillId="12" borderId="18" xfId="49" applyNumberFormat="1" applyFont="1" applyFill="1" applyBorder="1" applyAlignment="1">
      <alignment horizontal="left" vertical="center" wrapText="1"/>
      <protection/>
    </xf>
    <xf numFmtId="4" fontId="14" fillId="12" borderId="12" xfId="49" applyNumberFormat="1" applyFont="1" applyFill="1" applyBorder="1" applyAlignment="1">
      <alignment horizontal="right" vertical="center" wrapText="1"/>
      <protection/>
    </xf>
    <xf numFmtId="4" fontId="14" fillId="12" borderId="11" xfId="49" applyNumberFormat="1" applyFont="1" applyFill="1" applyBorder="1" applyAlignment="1">
      <alignment horizontal="right" vertical="center" wrapText="1"/>
      <protection/>
    </xf>
    <xf numFmtId="4" fontId="14" fillId="12" borderId="25" xfId="49" applyNumberFormat="1" applyFont="1" applyFill="1" applyBorder="1" applyAlignment="1">
      <alignment horizontal="right" vertical="center" wrapText="1"/>
      <protection/>
    </xf>
    <xf numFmtId="4" fontId="14" fillId="12" borderId="18" xfId="49" applyNumberFormat="1" applyFont="1" applyFill="1" applyBorder="1" applyAlignment="1">
      <alignment horizontal="right" vertical="center" wrapText="1"/>
      <protection/>
    </xf>
    <xf numFmtId="4" fontId="20" fillId="24" borderId="23" xfId="49" applyNumberFormat="1" applyFont="1" applyFill="1" applyBorder="1" applyAlignment="1">
      <alignment vertical="center" wrapText="1"/>
      <protection/>
    </xf>
    <xf numFmtId="4" fontId="17" fillId="41" borderId="26" xfId="49" applyNumberFormat="1" applyFont="1" applyFill="1" applyBorder="1" applyAlignment="1">
      <alignment horizontal="left" vertical="center" wrapText="1"/>
      <protection/>
    </xf>
    <xf numFmtId="4" fontId="19" fillId="41" borderId="11" xfId="49" applyNumberFormat="1" applyFont="1" applyFill="1" applyBorder="1" applyAlignment="1">
      <alignment horizontal="left" vertical="center" wrapText="1"/>
      <protection/>
    </xf>
    <xf numFmtId="4" fontId="20" fillId="41" borderId="12" xfId="49" applyNumberFormat="1" applyFont="1" applyFill="1" applyBorder="1" applyAlignment="1">
      <alignment vertical="center" wrapText="1"/>
      <protection/>
    </xf>
    <xf numFmtId="4" fontId="19" fillId="41" borderId="11" xfId="49" applyNumberFormat="1" applyFont="1" applyFill="1" applyBorder="1">
      <alignment/>
      <protection/>
    </xf>
    <xf numFmtId="4" fontId="19" fillId="41" borderId="11" xfId="51" applyNumberFormat="1" applyFont="1" applyFill="1" applyBorder="1">
      <alignment/>
      <protection/>
    </xf>
    <xf numFmtId="4" fontId="19" fillId="41" borderId="18" xfId="49" applyNumberFormat="1" applyFont="1" applyFill="1" applyBorder="1">
      <alignment/>
      <protection/>
    </xf>
    <xf numFmtId="4" fontId="21" fillId="41" borderId="11" xfId="49" applyNumberFormat="1" applyFont="1" applyFill="1" applyBorder="1">
      <alignment/>
      <protection/>
    </xf>
    <xf numFmtId="4" fontId="15" fillId="41" borderId="11" xfId="49" applyNumberFormat="1" applyFont="1" applyFill="1" applyBorder="1">
      <alignment/>
      <protection/>
    </xf>
    <xf numFmtId="4" fontId="17" fillId="34" borderId="18" xfId="49" applyNumberFormat="1" applyFont="1" applyFill="1" applyBorder="1" applyAlignment="1">
      <alignment horizontal="left" vertical="center" wrapText="1"/>
      <protection/>
    </xf>
    <xf numFmtId="4" fontId="18" fillId="34" borderId="23" xfId="49" applyNumberFormat="1" applyFont="1" applyFill="1" applyBorder="1" applyAlignment="1">
      <alignment vertical="center" wrapText="1"/>
      <protection/>
    </xf>
    <xf numFmtId="4" fontId="17" fillId="0" borderId="11" xfId="51" applyNumberFormat="1" applyFont="1" applyFill="1" applyBorder="1">
      <alignment/>
      <protection/>
    </xf>
    <xf numFmtId="4" fontId="17" fillId="0" borderId="18" xfId="49" applyNumberFormat="1" applyFont="1" applyFill="1" applyBorder="1" applyAlignment="1">
      <alignment horizontal="right" vertical="center" wrapText="1"/>
      <protection/>
    </xf>
    <xf numFmtId="4" fontId="17" fillId="49" borderId="26" xfId="49" applyNumberFormat="1" applyFont="1" applyFill="1" applyBorder="1" applyAlignment="1">
      <alignment horizontal="left" vertical="center" wrapText="1"/>
      <protection/>
    </xf>
    <xf numFmtId="4" fontId="19" fillId="49" borderId="11" xfId="49" applyNumberFormat="1" applyFont="1" applyFill="1" applyBorder="1" applyAlignment="1">
      <alignment horizontal="left" vertical="center" wrapText="1"/>
      <protection/>
    </xf>
    <xf numFmtId="4" fontId="20" fillId="49" borderId="12" xfId="49" applyNumberFormat="1" applyFont="1" applyFill="1" applyBorder="1" applyAlignment="1">
      <alignment vertical="center" wrapText="1"/>
      <protection/>
    </xf>
    <xf numFmtId="4" fontId="19" fillId="49" borderId="11" xfId="49" applyNumberFormat="1" applyFont="1" applyFill="1" applyBorder="1">
      <alignment/>
      <protection/>
    </xf>
    <xf numFmtId="4" fontId="19" fillId="49" borderId="11" xfId="49" applyNumberFormat="1" applyFont="1" applyFill="1" applyBorder="1">
      <alignment/>
      <protection/>
    </xf>
    <xf numFmtId="4" fontId="19" fillId="49" borderId="11" xfId="51" applyNumberFormat="1" applyFont="1" applyFill="1" applyBorder="1">
      <alignment/>
      <protection/>
    </xf>
    <xf numFmtId="4" fontId="21" fillId="49" borderId="11" xfId="49" applyNumberFormat="1" applyFont="1" applyFill="1" applyBorder="1">
      <alignment/>
      <protection/>
    </xf>
    <xf numFmtId="4" fontId="15" fillId="49" borderId="11" xfId="49" applyNumberFormat="1" applyFont="1" applyFill="1" applyBorder="1">
      <alignment/>
      <protection/>
    </xf>
    <xf numFmtId="4" fontId="20" fillId="49" borderId="23" xfId="49" applyNumberFormat="1" applyFont="1" applyFill="1" applyBorder="1" applyAlignment="1">
      <alignment vertical="center" wrapText="1"/>
      <protection/>
    </xf>
    <xf numFmtId="4" fontId="17" fillId="10" borderId="16" xfId="49" applyNumberFormat="1" applyFont="1" applyFill="1" applyBorder="1">
      <alignment/>
      <protection/>
    </xf>
    <xf numFmtId="4" fontId="19" fillId="10" borderId="28" xfId="49" applyNumberFormat="1" applyFont="1" applyFill="1" applyBorder="1" applyAlignment="1">
      <alignment horizontal="left" vertical="center" wrapText="1"/>
      <protection/>
    </xf>
    <xf numFmtId="4" fontId="19" fillId="10" borderId="16" xfId="49" applyNumberFormat="1" applyFont="1" applyFill="1" applyBorder="1">
      <alignment/>
      <protection/>
    </xf>
    <xf numFmtId="4" fontId="19" fillId="10" borderId="16" xfId="49" applyNumberFormat="1" applyFont="1" applyFill="1" applyBorder="1">
      <alignment/>
      <protection/>
    </xf>
    <xf numFmtId="4" fontId="17" fillId="10" borderId="10" xfId="49" applyNumberFormat="1" applyFont="1" applyFill="1" applyBorder="1" applyAlignment="1">
      <alignment horizontal="left" vertical="center" wrapText="1"/>
      <protection/>
    </xf>
    <xf numFmtId="4" fontId="19" fillId="10" borderId="0" xfId="49" applyNumberFormat="1" applyFont="1" applyFill="1" applyBorder="1" applyAlignment="1">
      <alignment horizontal="left" vertical="center" wrapText="1"/>
      <protection/>
    </xf>
    <xf numFmtId="4" fontId="19" fillId="10" borderId="10" xfId="49" applyNumberFormat="1" applyFont="1" applyFill="1" applyBorder="1">
      <alignment/>
      <protection/>
    </xf>
    <xf numFmtId="4" fontId="19" fillId="10" borderId="10" xfId="49" applyNumberFormat="1" applyFont="1" applyFill="1" applyBorder="1">
      <alignment/>
      <protection/>
    </xf>
    <xf numFmtId="4" fontId="17" fillId="10" borderId="16" xfId="49" applyNumberFormat="1" applyFont="1" applyFill="1" applyBorder="1" applyAlignment="1">
      <alignment horizontal="left" vertical="center" wrapText="1"/>
      <protection/>
    </xf>
    <xf numFmtId="4" fontId="6" fillId="10" borderId="11" xfId="48" applyNumberFormat="1" applyFont="1" applyFill="1" applyBorder="1">
      <alignment/>
      <protection/>
    </xf>
    <xf numFmtId="4" fontId="15" fillId="10" borderId="16" xfId="49" applyNumberFormat="1" applyFont="1" applyFill="1" applyBorder="1">
      <alignment/>
      <protection/>
    </xf>
    <xf numFmtId="4" fontId="15" fillId="10" borderId="16" xfId="49" applyNumberFormat="1" applyFont="1" applyFill="1" applyBorder="1">
      <alignment/>
      <protection/>
    </xf>
    <xf numFmtId="3" fontId="19" fillId="47" borderId="11" xfId="51" applyNumberFormat="1" applyFont="1" applyFill="1" applyBorder="1" applyAlignment="1">
      <alignment horizontal="left" vertical="center" wrapText="1"/>
      <protection/>
    </xf>
    <xf numFmtId="3" fontId="20" fillId="47" borderId="12" xfId="51" applyNumberFormat="1" applyFont="1" applyFill="1" applyBorder="1" applyAlignment="1">
      <alignment horizontal="left" vertical="center" wrapText="1"/>
      <protection/>
    </xf>
    <xf numFmtId="4" fontId="19" fillId="47" borderId="18" xfId="49" applyNumberFormat="1" applyFont="1" applyFill="1" applyBorder="1" applyAlignment="1">
      <alignment horizontal="left" vertical="center" wrapText="1"/>
      <protection/>
    </xf>
    <xf numFmtId="4" fontId="20" fillId="47" borderId="12" xfId="49" applyNumberFormat="1" applyFont="1" applyFill="1" applyBorder="1" applyAlignment="1">
      <alignment vertical="center" wrapText="1"/>
      <protection/>
    </xf>
    <xf numFmtId="4" fontId="19" fillId="47" borderId="11" xfId="49" applyNumberFormat="1" applyFont="1" applyFill="1" applyBorder="1">
      <alignment/>
      <protection/>
    </xf>
    <xf numFmtId="4" fontId="19" fillId="47" borderId="11" xfId="49" applyNumberFormat="1" applyFont="1" applyFill="1" applyBorder="1">
      <alignment/>
      <protection/>
    </xf>
    <xf numFmtId="4" fontId="19" fillId="47" borderId="11" xfId="51" applyNumberFormat="1" applyFont="1" applyFill="1" applyBorder="1">
      <alignment/>
      <protection/>
    </xf>
    <xf numFmtId="4" fontId="19" fillId="47" borderId="18" xfId="49" applyNumberFormat="1" applyFont="1" applyFill="1" applyBorder="1">
      <alignment/>
      <protection/>
    </xf>
    <xf numFmtId="4" fontId="21" fillId="47" borderId="11" xfId="49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4" fontId="6" fillId="0" borderId="0" xfId="48" applyNumberFormat="1" applyFont="1">
      <alignment/>
      <protection/>
    </xf>
    <xf numFmtId="4" fontId="6" fillId="34" borderId="18" xfId="48" applyNumberFormat="1" applyFont="1" applyFill="1" applyBorder="1">
      <alignment/>
      <protection/>
    </xf>
    <xf numFmtId="4" fontId="6" fillId="0" borderId="18" xfId="48" applyNumberFormat="1" applyFont="1" applyFill="1" applyBorder="1" applyAlignment="1">
      <alignment wrapText="1"/>
      <protection/>
    </xf>
    <xf numFmtId="4" fontId="7" fillId="0" borderId="10" xfId="48" applyNumberFormat="1" applyFont="1" applyFill="1" applyBorder="1">
      <alignment/>
      <protection/>
    </xf>
    <xf numFmtId="4" fontId="7" fillId="0" borderId="19" xfId="48" applyNumberFormat="1" applyFont="1" applyFill="1" applyBorder="1">
      <alignment/>
      <protection/>
    </xf>
    <xf numFmtId="4" fontId="7" fillId="0" borderId="21" xfId="48" applyNumberFormat="1" applyFont="1" applyFill="1" applyBorder="1">
      <alignment/>
      <protection/>
    </xf>
    <xf numFmtId="4" fontId="5" fillId="43" borderId="16" xfId="48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4" fontId="2" fillId="0" borderId="0" xfId="48" applyNumberFormat="1" applyFont="1">
      <alignment/>
      <protection/>
    </xf>
    <xf numFmtId="4" fontId="6" fillId="0" borderId="0" xfId="48" applyNumberFormat="1" applyFont="1">
      <alignment/>
      <protection/>
    </xf>
    <xf numFmtId="4" fontId="28" fillId="0" borderId="0" xfId="48" applyNumberFormat="1" applyFont="1">
      <alignment/>
      <protection/>
    </xf>
    <xf numFmtId="4" fontId="6" fillId="34" borderId="16" xfId="49" applyNumberFormat="1" applyFont="1" applyFill="1" applyBorder="1" applyAlignment="1">
      <alignment horizontal="center"/>
      <protection/>
    </xf>
    <xf numFmtId="4" fontId="7" fillId="34" borderId="16" xfId="51" applyNumberFormat="1" applyFont="1" applyFill="1" applyBorder="1" applyAlignment="1">
      <alignment wrapText="1"/>
      <protection/>
    </xf>
    <xf numFmtId="4" fontId="29" fillId="0" borderId="18" xfId="48" applyNumberFormat="1" applyFont="1" applyFill="1" applyBorder="1" applyAlignment="1">
      <alignment wrapText="1"/>
      <protection/>
    </xf>
    <xf numFmtId="4" fontId="2" fillId="0" borderId="18" xfId="48" applyNumberFormat="1" applyFont="1" applyFill="1" applyBorder="1" applyAlignment="1">
      <alignment wrapText="1"/>
      <protection/>
    </xf>
    <xf numFmtId="4" fontId="2" fillId="0" borderId="12" xfId="48" applyNumberFormat="1" applyFont="1" applyFill="1" applyBorder="1" applyAlignment="1">
      <alignment wrapText="1"/>
      <protection/>
    </xf>
    <xf numFmtId="4" fontId="2" fillId="0" borderId="0" xfId="49" applyNumberFormat="1" applyFont="1" applyBorder="1" applyAlignment="1">
      <alignment horizontal="right"/>
      <protection/>
    </xf>
    <xf numFmtId="4" fontId="8" fillId="0" borderId="15" xfId="49" applyNumberFormat="1" applyFont="1" applyBorder="1">
      <alignment/>
      <protection/>
    </xf>
    <xf numFmtId="4" fontId="8" fillId="0" borderId="15" xfId="49" applyNumberFormat="1" applyFont="1" applyBorder="1">
      <alignment/>
      <protection/>
    </xf>
    <xf numFmtId="4" fontId="2" fillId="0" borderId="15" xfId="49" applyNumberFormat="1" applyFont="1" applyBorder="1" applyAlignment="1">
      <alignment horizontal="center"/>
      <protection/>
    </xf>
    <xf numFmtId="4" fontId="8" fillId="0" borderId="0" xfId="49" applyNumberFormat="1" applyFont="1">
      <alignment/>
      <protection/>
    </xf>
    <xf numFmtId="4" fontId="12" fillId="34" borderId="16" xfId="51" applyNumberFormat="1" applyFont="1" applyFill="1" applyBorder="1" applyAlignment="1">
      <alignment horizontal="center" wrapText="1"/>
      <protection/>
    </xf>
    <xf numFmtId="4" fontId="6" fillId="34" borderId="16" xfId="51" applyNumberFormat="1" applyFont="1" applyFill="1" applyBorder="1" applyAlignment="1">
      <alignment wrapText="1"/>
      <protection/>
    </xf>
    <xf numFmtId="4" fontId="17" fillId="37" borderId="18" xfId="51" applyNumberFormat="1" applyFont="1" applyFill="1" applyBorder="1">
      <alignment/>
      <protection/>
    </xf>
    <xf numFmtId="4" fontId="17" fillId="24" borderId="18" xfId="51" applyNumberFormat="1" applyFont="1" applyFill="1" applyBorder="1">
      <alignment/>
      <protection/>
    </xf>
    <xf numFmtId="4" fontId="5" fillId="0" borderId="0" xfId="49" applyNumberFormat="1" applyFont="1">
      <alignment/>
      <protection/>
    </xf>
    <xf numFmtId="4" fontId="19" fillId="45" borderId="18" xfId="51" applyNumberFormat="1" applyFont="1" applyFill="1" applyBorder="1">
      <alignment/>
      <protection/>
    </xf>
    <xf numFmtId="4" fontId="19" fillId="45" borderId="58" xfId="51" applyNumberFormat="1" applyFont="1" applyFill="1" applyBorder="1">
      <alignment/>
      <protection/>
    </xf>
    <xf numFmtId="4" fontId="5" fillId="0" borderId="12" xfId="51" applyNumberFormat="1" applyFont="1" applyBorder="1">
      <alignment/>
      <protection/>
    </xf>
    <xf numFmtId="4" fontId="35" fillId="0" borderId="0" xfId="49" applyNumberFormat="1" applyFont="1">
      <alignment/>
      <protection/>
    </xf>
    <xf numFmtId="4" fontId="5" fillId="0" borderId="0" xfId="49" applyNumberFormat="1" applyFont="1">
      <alignment/>
      <protection/>
    </xf>
    <xf numFmtId="4" fontId="15" fillId="42" borderId="0" xfId="49" applyNumberFormat="1" applyFont="1" applyFill="1">
      <alignment/>
      <protection/>
    </xf>
    <xf numFmtId="4" fontId="5" fillId="42" borderId="12" xfId="51" applyNumberFormat="1" applyFont="1" applyFill="1" applyBorder="1">
      <alignment/>
      <protection/>
    </xf>
    <xf numFmtId="4" fontId="5" fillId="0" borderId="23" xfId="51" applyNumberFormat="1" applyFont="1" applyBorder="1">
      <alignment/>
      <protection/>
    </xf>
    <xf numFmtId="4" fontId="36" fillId="0" borderId="0" xfId="49" applyNumberFormat="1" applyFont="1">
      <alignment/>
      <protection/>
    </xf>
    <xf numFmtId="4" fontId="15" fillId="0" borderId="0" xfId="49" applyNumberFormat="1" applyFont="1">
      <alignment/>
      <protection/>
    </xf>
    <xf numFmtId="4" fontId="7" fillId="47" borderId="11" xfId="51" applyNumberFormat="1" applyFont="1" applyFill="1" applyBorder="1">
      <alignment/>
      <protection/>
    </xf>
    <xf numFmtId="4" fontId="93" fillId="0" borderId="0" xfId="49" applyNumberFormat="1" applyFont="1">
      <alignment/>
      <protection/>
    </xf>
    <xf numFmtId="4" fontId="2" fillId="0" borderId="0" xfId="51" applyNumberFormat="1" applyFont="1">
      <alignment/>
      <protection/>
    </xf>
    <xf numFmtId="4" fontId="2" fillId="0" borderId="11" xfId="51" applyNumberFormat="1" applyFont="1" applyBorder="1">
      <alignment/>
      <protection/>
    </xf>
    <xf numFmtId="4" fontId="2" fillId="0" borderId="0" xfId="49" applyNumberFormat="1" applyFill="1">
      <alignment/>
      <protection/>
    </xf>
    <xf numFmtId="4" fontId="94" fillId="0" borderId="0" xfId="49" applyNumberFormat="1" applyFont="1" applyFill="1">
      <alignment/>
      <protection/>
    </xf>
    <xf numFmtId="4" fontId="2" fillId="0" borderId="0" xfId="49" applyNumberFormat="1" applyFont="1" applyFill="1">
      <alignment/>
      <protection/>
    </xf>
    <xf numFmtId="4" fontId="19" fillId="47" borderId="11" xfId="51" applyNumberFormat="1" applyFont="1" applyFill="1" applyBorder="1">
      <alignment/>
      <protection/>
    </xf>
    <xf numFmtId="4" fontId="47" fillId="0" borderId="0" xfId="49" applyNumberFormat="1" applyFont="1">
      <alignment/>
      <protection/>
    </xf>
    <xf numFmtId="4" fontId="9" fillId="0" borderId="0" xfId="49" applyNumberFormat="1" applyFont="1">
      <alignment/>
      <protection/>
    </xf>
    <xf numFmtId="4" fontId="2" fillId="34" borderId="0" xfId="49" applyNumberFormat="1" applyFill="1">
      <alignment/>
      <protection/>
    </xf>
    <xf numFmtId="4" fontId="6" fillId="34" borderId="0" xfId="49" applyNumberFormat="1" applyFont="1" applyFill="1">
      <alignment/>
      <protection/>
    </xf>
    <xf numFmtId="4" fontId="19" fillId="0" borderId="59" xfId="51" applyNumberFormat="1" applyFont="1" applyFill="1" applyBorder="1">
      <alignment/>
      <protection/>
    </xf>
    <xf numFmtId="4" fontId="11" fillId="34" borderId="28" xfId="49" applyNumberFormat="1" applyFont="1" applyFill="1" applyBorder="1" applyAlignment="1">
      <alignment horizontal="center"/>
      <protection/>
    </xf>
    <xf numFmtId="4" fontId="14" fillId="34" borderId="15" xfId="49" applyNumberFormat="1" applyFont="1" applyFill="1" applyBorder="1" applyAlignment="1">
      <alignment horizontal="right"/>
      <protection/>
    </xf>
    <xf numFmtId="4" fontId="14" fillId="34" borderId="28" xfId="49" applyNumberFormat="1" applyFont="1" applyFill="1" applyBorder="1">
      <alignment/>
      <protection/>
    </xf>
    <xf numFmtId="4" fontId="19" fillId="36" borderId="28" xfId="49" applyNumberFormat="1" applyFont="1" applyFill="1" applyBorder="1">
      <alignment/>
      <protection/>
    </xf>
    <xf numFmtId="4" fontId="14" fillId="38" borderId="28" xfId="49" applyNumberFormat="1" applyFont="1" applyFill="1" applyBorder="1">
      <alignment/>
      <protection/>
    </xf>
    <xf numFmtId="4" fontId="17" fillId="33" borderId="28" xfId="49" applyNumberFormat="1" applyFont="1" applyFill="1" applyBorder="1" applyAlignment="1">
      <alignment horizontal="right" vertical="center" wrapText="1"/>
      <protection/>
    </xf>
    <xf numFmtId="4" fontId="17" fillId="37" borderId="59" xfId="51" applyNumberFormat="1" applyFont="1" applyFill="1" applyBorder="1">
      <alignment/>
      <protection/>
    </xf>
    <xf numFmtId="4" fontId="19" fillId="45" borderId="59" xfId="51" applyNumberFormat="1" applyFont="1" applyFill="1" applyBorder="1">
      <alignment/>
      <protection/>
    </xf>
    <xf numFmtId="4" fontId="17" fillId="36" borderId="28" xfId="51" applyNumberFormat="1" applyFont="1" applyFill="1" applyBorder="1">
      <alignment/>
      <protection/>
    </xf>
    <xf numFmtId="4" fontId="88" fillId="0" borderId="59" xfId="51" applyNumberFormat="1" applyFont="1" applyFill="1" applyBorder="1">
      <alignment/>
      <protection/>
    </xf>
    <xf numFmtId="4" fontId="19" fillId="46" borderId="59" xfId="51" applyNumberFormat="1" applyFont="1" applyFill="1" applyBorder="1">
      <alignment/>
      <protection/>
    </xf>
    <xf numFmtId="4" fontId="19" fillId="0" borderId="0" xfId="51" applyNumberFormat="1" applyFont="1" applyFill="1" applyBorder="1">
      <alignment/>
      <protection/>
    </xf>
    <xf numFmtId="4" fontId="17" fillId="40" borderId="28" xfId="51" applyNumberFormat="1" applyFont="1" applyFill="1" applyBorder="1">
      <alignment/>
      <protection/>
    </xf>
    <xf numFmtId="4" fontId="19" fillId="0" borderId="59" xfId="49" applyNumberFormat="1" applyFont="1" applyFill="1" applyBorder="1">
      <alignment/>
      <protection/>
    </xf>
    <xf numFmtId="4" fontId="19" fillId="35" borderId="59" xfId="49" applyNumberFormat="1" applyFont="1" applyFill="1" applyBorder="1">
      <alignment/>
      <protection/>
    </xf>
    <xf numFmtId="4" fontId="19" fillId="34" borderId="52" xfId="49" applyNumberFormat="1" applyFont="1" applyFill="1" applyBorder="1">
      <alignment/>
      <protection/>
    </xf>
    <xf numFmtId="4" fontId="19" fillId="0" borderId="53" xfId="49" applyNumberFormat="1" applyFont="1" applyFill="1" applyBorder="1">
      <alignment/>
      <protection/>
    </xf>
    <xf numFmtId="4" fontId="19" fillId="34" borderId="53" xfId="49" applyNumberFormat="1" applyFont="1" applyFill="1" applyBorder="1">
      <alignment/>
      <protection/>
    </xf>
    <xf numFmtId="4" fontId="17" fillId="33" borderId="28" xfId="49" applyNumberFormat="1" applyFont="1" applyFill="1" applyBorder="1">
      <alignment/>
      <protection/>
    </xf>
    <xf numFmtId="4" fontId="17" fillId="0" borderId="57" xfId="51" applyNumberFormat="1" applyFont="1" applyFill="1" applyBorder="1">
      <alignment/>
      <protection/>
    </xf>
    <xf numFmtId="4" fontId="19" fillId="42" borderId="59" xfId="51" applyNumberFormat="1" applyFont="1" applyFill="1" applyBorder="1">
      <alignment/>
      <protection/>
    </xf>
    <xf numFmtId="4" fontId="17" fillId="47" borderId="59" xfId="51" applyNumberFormat="1" applyFont="1" applyFill="1" applyBorder="1">
      <alignment/>
      <protection/>
    </xf>
    <xf numFmtId="4" fontId="19" fillId="0" borderId="52" xfId="49" applyNumberFormat="1" applyFont="1" applyFill="1" applyBorder="1">
      <alignment/>
      <protection/>
    </xf>
    <xf numFmtId="4" fontId="2" fillId="48" borderId="59" xfId="51" applyNumberFormat="1" applyFont="1" applyFill="1" applyBorder="1">
      <alignment/>
      <protection/>
    </xf>
    <xf numFmtId="4" fontId="17" fillId="0" borderId="52" xfId="49" applyNumberFormat="1" applyFont="1" applyFill="1" applyBorder="1">
      <alignment/>
      <protection/>
    </xf>
    <xf numFmtId="4" fontId="17" fillId="33" borderId="57" xfId="49" applyNumberFormat="1" applyFont="1" applyFill="1" applyBorder="1">
      <alignment/>
      <protection/>
    </xf>
    <xf numFmtId="4" fontId="25" fillId="0" borderId="52" xfId="49" applyNumberFormat="1" applyFont="1" applyFill="1" applyBorder="1">
      <alignment/>
      <protection/>
    </xf>
    <xf numFmtId="4" fontId="19" fillId="0" borderId="57" xfId="51" applyNumberFormat="1" applyFont="1" applyFill="1" applyBorder="1">
      <alignment/>
      <protection/>
    </xf>
    <xf numFmtId="4" fontId="19" fillId="0" borderId="52" xfId="51" applyNumberFormat="1" applyFont="1" applyFill="1" applyBorder="1">
      <alignment/>
      <protection/>
    </xf>
    <xf numFmtId="4" fontId="14" fillId="12" borderId="52" xfId="49" applyNumberFormat="1" applyFont="1" applyFill="1" applyBorder="1" applyAlignment="1">
      <alignment horizontal="right" vertical="center" wrapText="1"/>
      <protection/>
    </xf>
    <xf numFmtId="4" fontId="19" fillId="24" borderId="52" xfId="49" applyNumberFormat="1" applyFont="1" applyFill="1" applyBorder="1">
      <alignment/>
      <protection/>
    </xf>
    <xf numFmtId="4" fontId="19" fillId="47" borderId="52" xfId="51" applyNumberFormat="1" applyFont="1" applyFill="1" applyBorder="1">
      <alignment/>
      <protection/>
    </xf>
    <xf numFmtId="4" fontId="19" fillId="47" borderId="52" xfId="49" applyNumberFormat="1" applyFont="1" applyFill="1" applyBorder="1">
      <alignment/>
      <protection/>
    </xf>
    <xf numFmtId="4" fontId="19" fillId="41" borderId="52" xfId="49" applyNumberFormat="1" applyFont="1" applyFill="1" applyBorder="1">
      <alignment/>
      <protection/>
    </xf>
    <xf numFmtId="4" fontId="19" fillId="49" borderId="52" xfId="49" applyNumberFormat="1" applyFont="1" applyFill="1" applyBorder="1">
      <alignment/>
      <protection/>
    </xf>
    <xf numFmtId="4" fontId="19" fillId="0" borderId="52" xfId="51" applyNumberFormat="1" applyFont="1" applyFill="1" applyBorder="1">
      <alignment/>
      <protection/>
    </xf>
    <xf numFmtId="4" fontId="21" fillId="0" borderId="15" xfId="51" applyNumberFormat="1" applyFont="1" applyFill="1" applyBorder="1">
      <alignment/>
      <protection/>
    </xf>
    <xf numFmtId="4" fontId="19" fillId="10" borderId="28" xfId="49" applyNumberFormat="1" applyFont="1" applyFill="1" applyBorder="1">
      <alignment/>
      <protection/>
    </xf>
    <xf numFmtId="4" fontId="19" fillId="10" borderId="0" xfId="49" applyNumberFormat="1" applyFont="1" applyFill="1" applyBorder="1">
      <alignment/>
      <protection/>
    </xf>
    <xf numFmtId="4" fontId="19" fillId="34" borderId="0" xfId="49" applyNumberFormat="1" applyFont="1" applyFill="1" applyBorder="1">
      <alignment/>
      <protection/>
    </xf>
    <xf numFmtId="4" fontId="14" fillId="39" borderId="28" xfId="49" applyNumberFormat="1" applyFont="1" applyFill="1" applyBorder="1">
      <alignment/>
      <protection/>
    </xf>
    <xf numFmtId="4" fontId="14" fillId="39" borderId="56" xfId="49" applyNumberFormat="1" applyFont="1" applyFill="1" applyBorder="1">
      <alignment/>
      <protection/>
    </xf>
    <xf numFmtId="4" fontId="19" fillId="0" borderId="57" xfId="49" applyNumberFormat="1" applyFont="1" applyFill="1" applyBorder="1">
      <alignment/>
      <protection/>
    </xf>
    <xf numFmtId="4" fontId="2" fillId="0" borderId="0" xfId="48" applyNumberFormat="1" applyFont="1" applyFill="1" applyBorder="1">
      <alignment/>
      <protection/>
    </xf>
    <xf numFmtId="4" fontId="2" fillId="36" borderId="49" xfId="49" applyNumberFormat="1" applyFill="1" applyBorder="1">
      <alignment/>
      <protection/>
    </xf>
    <xf numFmtId="4" fontId="21" fillId="0" borderId="0" xfId="49" applyNumberFormat="1" applyFont="1" applyFill="1" applyBorder="1">
      <alignment/>
      <protection/>
    </xf>
    <xf numFmtId="4" fontId="16" fillId="34" borderId="53" xfId="49" applyNumberFormat="1" applyFont="1" applyFill="1" applyBorder="1">
      <alignment/>
      <protection/>
    </xf>
    <xf numFmtId="4" fontId="19" fillId="34" borderId="0" xfId="49" applyNumberFormat="1" applyFont="1" applyFill="1" applyBorder="1">
      <alignment/>
      <protection/>
    </xf>
    <xf numFmtId="4" fontId="11" fillId="10" borderId="37" xfId="49" applyNumberFormat="1" applyFont="1" applyFill="1" applyBorder="1" applyAlignment="1">
      <alignment horizontal="center"/>
      <protection/>
    </xf>
    <xf numFmtId="4" fontId="17" fillId="36" borderId="37" xfId="49" applyNumberFormat="1" applyFont="1" applyFill="1" applyBorder="1">
      <alignment/>
      <protection/>
    </xf>
    <xf numFmtId="4" fontId="42" fillId="37" borderId="37" xfId="51" applyNumberFormat="1" applyFont="1" applyFill="1" applyBorder="1">
      <alignment/>
      <protection/>
    </xf>
    <xf numFmtId="4" fontId="12" fillId="34" borderId="58" xfId="51" applyNumberFormat="1" applyFont="1" applyFill="1" applyBorder="1" applyAlignment="1">
      <alignment horizontal="right"/>
      <protection/>
    </xf>
    <xf numFmtId="4" fontId="12" fillId="34" borderId="55" xfId="51" applyNumberFormat="1" applyFont="1" applyFill="1" applyBorder="1" applyAlignment="1">
      <alignment horizontal="right"/>
      <protection/>
    </xf>
    <xf numFmtId="4" fontId="42" fillId="36" borderId="37" xfId="51" applyNumberFormat="1" applyFont="1" applyFill="1" applyBorder="1">
      <alignment/>
      <protection/>
    </xf>
    <xf numFmtId="4" fontId="12" fillId="46" borderId="58" xfId="51" applyNumberFormat="1" applyFont="1" applyFill="1" applyBorder="1" applyAlignment="1">
      <alignment horizontal="right"/>
      <protection/>
    </xf>
    <xf numFmtId="4" fontId="42" fillId="40" borderId="37" xfId="51" applyNumberFormat="1" applyFont="1" applyFill="1" applyBorder="1">
      <alignment/>
      <protection/>
    </xf>
    <xf numFmtId="4" fontId="12" fillId="0" borderId="58" xfId="51" applyNumberFormat="1" applyFont="1" applyFill="1" applyBorder="1" applyAlignment="1">
      <alignment horizontal="right"/>
      <protection/>
    </xf>
    <xf numFmtId="4" fontId="12" fillId="0" borderId="58" xfId="49" applyNumberFormat="1" applyFont="1" applyFill="1" applyBorder="1" applyAlignment="1">
      <alignment horizontal="right"/>
      <protection/>
    </xf>
    <xf numFmtId="4" fontId="12" fillId="35" borderId="58" xfId="49" applyNumberFormat="1" applyFont="1" applyFill="1" applyBorder="1" applyAlignment="1">
      <alignment horizontal="right"/>
      <protection/>
    </xf>
    <xf numFmtId="4" fontId="12" fillId="0" borderId="55" xfId="49" applyNumberFormat="1" applyFont="1" applyFill="1" applyBorder="1" applyAlignment="1">
      <alignment horizontal="right"/>
      <protection/>
    </xf>
    <xf numFmtId="4" fontId="17" fillId="0" borderId="54" xfId="51" applyNumberFormat="1" applyFont="1" applyFill="1" applyBorder="1">
      <alignment/>
      <protection/>
    </xf>
    <xf numFmtId="4" fontId="19" fillId="0" borderId="60" xfId="51" applyNumberFormat="1" applyFont="1" applyFill="1" applyBorder="1">
      <alignment/>
      <protection/>
    </xf>
    <xf numFmtId="4" fontId="17" fillId="0" borderId="25" xfId="51" applyNumberFormat="1" applyFont="1" applyFill="1" applyBorder="1">
      <alignment/>
      <protection/>
    </xf>
    <xf numFmtId="4" fontId="17" fillId="42" borderId="25" xfId="51" applyNumberFormat="1" applyFont="1" applyFill="1" applyBorder="1">
      <alignment/>
      <protection/>
    </xf>
    <xf numFmtId="4" fontId="17" fillId="47" borderId="25" xfId="51" applyNumberFormat="1" applyFont="1" applyFill="1" applyBorder="1">
      <alignment/>
      <protection/>
    </xf>
    <xf numFmtId="4" fontId="17" fillId="47" borderId="58" xfId="51" applyNumberFormat="1" applyFont="1" applyFill="1" applyBorder="1">
      <alignment/>
      <protection/>
    </xf>
    <xf numFmtId="4" fontId="17" fillId="33" borderId="37" xfId="49" applyNumberFormat="1" applyFont="1" applyFill="1" applyBorder="1">
      <alignment/>
      <protection/>
    </xf>
    <xf numFmtId="4" fontId="17" fillId="0" borderId="55" xfId="49" applyNumberFormat="1" applyFont="1" applyFill="1" applyBorder="1">
      <alignment/>
      <protection/>
    </xf>
    <xf numFmtId="4" fontId="17" fillId="33" borderId="37" xfId="49" applyNumberFormat="1" applyFont="1" applyFill="1" applyBorder="1" applyAlignment="1">
      <alignment vertical="center"/>
      <protection/>
    </xf>
    <xf numFmtId="4" fontId="42" fillId="0" borderId="54" xfId="51" applyNumberFormat="1" applyFont="1" applyFill="1" applyBorder="1">
      <alignment/>
      <protection/>
    </xf>
    <xf numFmtId="4" fontId="42" fillId="0" borderId="25" xfId="51" applyNumberFormat="1" applyFont="1" applyFill="1" applyBorder="1">
      <alignment/>
      <protection/>
    </xf>
    <xf numFmtId="4" fontId="42" fillId="24" borderId="58" xfId="49" applyNumberFormat="1" applyFont="1" applyFill="1" applyBorder="1">
      <alignment/>
      <protection/>
    </xf>
    <xf numFmtId="4" fontId="21" fillId="47" borderId="58" xfId="51" applyNumberFormat="1" applyFont="1" applyFill="1" applyBorder="1">
      <alignment/>
      <protection/>
    </xf>
    <xf numFmtId="4" fontId="42" fillId="47" borderId="58" xfId="49" applyNumberFormat="1" applyFont="1" applyFill="1" applyBorder="1">
      <alignment/>
      <protection/>
    </xf>
    <xf numFmtId="4" fontId="42" fillId="41" borderId="58" xfId="49" applyNumberFormat="1" applyFont="1" applyFill="1" applyBorder="1">
      <alignment/>
      <protection/>
    </xf>
    <xf numFmtId="4" fontId="42" fillId="49" borderId="25" xfId="49" applyNumberFormat="1" applyFont="1" applyFill="1" applyBorder="1">
      <alignment/>
      <protection/>
    </xf>
    <xf numFmtId="4" fontId="42" fillId="0" borderId="25" xfId="49" applyNumberFormat="1" applyFont="1" applyFill="1" applyBorder="1">
      <alignment/>
      <protection/>
    </xf>
    <xf numFmtId="4" fontId="42" fillId="0" borderId="25" xfId="49" applyNumberFormat="1" applyFont="1" applyFill="1" applyBorder="1">
      <alignment/>
      <protection/>
    </xf>
    <xf numFmtId="4" fontId="17" fillId="10" borderId="37" xfId="49" applyNumberFormat="1" applyFont="1" applyFill="1" applyBorder="1">
      <alignment/>
      <protection/>
    </xf>
    <xf numFmtId="4" fontId="17" fillId="34" borderId="55" xfId="49" applyNumberFormat="1" applyFont="1" applyFill="1" applyBorder="1">
      <alignment/>
      <protection/>
    </xf>
    <xf numFmtId="4" fontId="17" fillId="34" borderId="25" xfId="49" applyNumberFormat="1" applyFont="1" applyFill="1" applyBorder="1">
      <alignment/>
      <protection/>
    </xf>
    <xf numFmtId="4" fontId="17" fillId="36" borderId="46" xfId="49" applyNumberFormat="1" applyFont="1" applyFill="1" applyBorder="1">
      <alignment/>
      <protection/>
    </xf>
    <xf numFmtId="4" fontId="17" fillId="0" borderId="11" xfId="49" applyNumberFormat="1" applyFont="1" applyFill="1" applyBorder="1" applyAlignment="1">
      <alignment horizontal="right" vertical="center" wrapText="1"/>
      <protection/>
    </xf>
    <xf numFmtId="4" fontId="17" fillId="10" borderId="10" xfId="49" applyNumberFormat="1" applyFont="1" applyFill="1" applyBorder="1">
      <alignment/>
      <protection/>
    </xf>
    <xf numFmtId="4" fontId="95" fillId="0" borderId="0" xfId="49" applyNumberFormat="1" applyFont="1">
      <alignment/>
      <protection/>
    </xf>
    <xf numFmtId="0" fontId="2" fillId="0" borderId="12" xfId="48" applyFont="1" applyFill="1" applyBorder="1" applyAlignment="1">
      <alignment vertical="top" wrapText="1"/>
      <protection/>
    </xf>
    <xf numFmtId="4" fontId="96" fillId="0" borderId="0" xfId="0" applyNumberFormat="1" applyFont="1" applyAlignment="1">
      <alignment/>
    </xf>
    <xf numFmtId="4" fontId="43" fillId="34" borderId="0" xfId="0" applyNumberFormat="1" applyFont="1" applyFill="1" applyAlignment="1">
      <alignment wrapText="1"/>
    </xf>
    <xf numFmtId="4" fontId="6" fillId="34" borderId="18" xfId="48" applyNumberFormat="1" applyFont="1" applyFill="1" applyBorder="1" applyAlignment="1">
      <alignment wrapText="1"/>
      <protection/>
    </xf>
    <xf numFmtId="4" fontId="5" fillId="0" borderId="0" xfId="0" applyNumberFormat="1" applyFont="1" applyAlignment="1">
      <alignment wrapText="1"/>
    </xf>
    <xf numFmtId="4" fontId="37" fillId="42" borderId="0" xfId="49" applyNumberFormat="1" applyFont="1" applyFill="1">
      <alignment/>
      <protection/>
    </xf>
    <xf numFmtId="4" fontId="90" fillId="0" borderId="18" xfId="51" applyNumberFormat="1" applyFont="1" applyFill="1" applyBorder="1">
      <alignment/>
      <protection/>
    </xf>
    <xf numFmtId="4" fontId="90" fillId="0" borderId="11" xfId="51" applyNumberFormat="1" applyFont="1" applyFill="1" applyBorder="1">
      <alignment/>
      <protection/>
    </xf>
    <xf numFmtId="4" fontId="27" fillId="42" borderId="0" xfId="48" applyNumberFormat="1" applyFont="1" applyFill="1">
      <alignment/>
      <protection/>
    </xf>
    <xf numFmtId="49" fontId="2" fillId="42" borderId="11" xfId="48" applyNumberFormat="1" applyFont="1" applyFill="1" applyBorder="1" applyAlignment="1">
      <alignment horizontal="left"/>
      <protection/>
    </xf>
    <xf numFmtId="0" fontId="2" fillId="0" borderId="12" xfId="48" applyFont="1" applyFill="1" applyBorder="1" applyAlignment="1">
      <alignment horizontal="left" wrapText="1"/>
      <protection/>
    </xf>
    <xf numFmtId="49" fontId="5" fillId="0" borderId="11" xfId="48" applyNumberFormat="1" applyFont="1" applyFill="1" applyBorder="1" applyAlignment="1">
      <alignment horizontal="left"/>
      <protection/>
    </xf>
    <xf numFmtId="49" fontId="2" fillId="42" borderId="11" xfId="48" applyNumberFormat="1" applyFont="1" applyFill="1" applyBorder="1" applyAlignment="1">
      <alignment horizontal="left" wrapText="1"/>
      <protection/>
    </xf>
    <xf numFmtId="49" fontId="2" fillId="42" borderId="19" xfId="48" applyNumberFormat="1" applyFont="1" applyFill="1" applyBorder="1" applyAlignment="1">
      <alignment horizontal="left"/>
      <protection/>
    </xf>
    <xf numFmtId="0" fontId="6" fillId="0" borderId="26" xfId="48" applyFont="1" applyFill="1" applyBorder="1" applyAlignment="1">
      <alignment horizontal="left" wrapText="1"/>
      <protection/>
    </xf>
    <xf numFmtId="0" fontId="6" fillId="0" borderId="37" xfId="48" applyFont="1" applyFill="1" applyBorder="1" applyAlignment="1">
      <alignment horizontal="left" wrapText="1"/>
      <protection/>
    </xf>
    <xf numFmtId="0" fontId="6" fillId="33" borderId="48" xfId="48" applyFont="1" applyFill="1" applyBorder="1" applyAlignment="1">
      <alignment horizontal="left" wrapText="1"/>
      <protection/>
    </xf>
    <xf numFmtId="0" fontId="6" fillId="33" borderId="60" xfId="48" applyFont="1" applyFill="1" applyBorder="1" applyAlignment="1">
      <alignment horizontal="left" wrapText="1"/>
      <protection/>
    </xf>
    <xf numFmtId="0" fontId="3" fillId="0" borderId="0" xfId="49" applyFont="1" applyBorder="1" applyAlignment="1">
      <alignment horizontal="center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50496_headcount" xfId="44"/>
    <cellStyle name="Normálna 2" xfId="45"/>
    <cellStyle name="normálne 2" xfId="46"/>
    <cellStyle name="normálne 3" xfId="47"/>
    <cellStyle name="normálne_Príloha è. 1 - AS STU r.2007" xfId="48"/>
    <cellStyle name="normálne_Suhrn DOT 2005 dofinanc v maji + korekcia v dec05 2" xfId="49"/>
    <cellStyle name="normálne_Suhrn DOT 2005 dofinanc v maji + korekcia v dec05 3" xfId="50"/>
    <cellStyle name="normálne_Suhrn DOT 2005 dofinanc v maji + korekcia v dec05 3 2" xfId="51"/>
    <cellStyle name="Percent" xfId="52"/>
    <cellStyle name="percentá 2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akova\Documents\dot&#225;cia\dot&#225;cia_2015\poslan&#225;%20dot&#225;cia%2012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vF"/>
      <sheetName val="SjF"/>
      <sheetName val="FEI"/>
      <sheetName val="FCHPT"/>
      <sheetName val="FA"/>
      <sheetName val="MTF"/>
      <sheetName val="FIIT"/>
      <sheetName val="ÚŠDaJ"/>
      <sheetName val="ÚM"/>
      <sheetName val="Rektorát"/>
      <sheetName val="Gabčíkovo"/>
      <sheetName val="Rezerva"/>
      <sheetName val="sumár"/>
      <sheetName val="rekapitulácia"/>
      <sheetName val="poslané z MŠ"/>
      <sheetName val="príjem-mesačne (2)"/>
      <sheetName val="príjem-mesačne"/>
      <sheetName val="vládni-príjem"/>
      <sheetName val="APVV-príjem"/>
      <sheetName val="vratky"/>
      <sheetName val="vratky-príjem"/>
      <sheetName val="príjmová (3)"/>
      <sheetName val="príjmová (2)"/>
      <sheetName val="príjmová"/>
      <sheetName val="vratky-príjem (2)"/>
      <sheetName val="zostatkový (2)"/>
      <sheetName val="zostatkový"/>
      <sheetName val="výskumníci"/>
      <sheetName val="Hárok2"/>
    </sheetNames>
    <sheetDataSet>
      <sheetData sheetId="14">
        <row r="31">
          <cell r="T31">
            <v>9131.28</v>
          </cell>
          <cell r="U31">
            <v>294349.45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205"/>
  <sheetViews>
    <sheetView zoomScale="70" zoomScaleNormal="70" zoomScaleSheetLayoutView="75" zoomScalePageLayoutView="0" workbookViewId="0" topLeftCell="A1">
      <pane xSplit="1" ySplit="6" topLeftCell="B144" activePane="bottomRight" state="frozen"/>
      <selection pane="topLeft" activeCell="A2" sqref="A2"/>
      <selection pane="topRight" activeCell="B2" sqref="B2"/>
      <selection pane="bottomLeft" activeCell="A7" sqref="A7"/>
      <selection pane="bottomRight" activeCell="I124" sqref="I124"/>
    </sheetView>
  </sheetViews>
  <sheetFormatPr defaultColWidth="9.140625" defaultRowHeight="12.75"/>
  <cols>
    <col min="1" max="1" width="37.140625" style="0" customWidth="1"/>
    <col min="2" max="2" width="15.57421875" style="0" customWidth="1"/>
    <col min="3" max="3" width="16.140625" style="515" bestFit="1" customWidth="1"/>
    <col min="4" max="5" width="14.57421875" style="515" bestFit="1" customWidth="1"/>
    <col min="6" max="6" width="15.140625" style="515" customWidth="1"/>
    <col min="7" max="7" width="13.140625" style="515" bestFit="1" customWidth="1"/>
    <col min="8" max="8" width="14.140625" style="515" bestFit="1" customWidth="1"/>
    <col min="9" max="10" width="13.140625" style="515" bestFit="1" customWidth="1"/>
    <col min="11" max="11" width="14.140625" style="515" bestFit="1" customWidth="1"/>
    <col min="12" max="12" width="13.140625" style="515" customWidth="1"/>
    <col min="13" max="13" width="14.421875" style="515" bestFit="1" customWidth="1"/>
    <col min="14" max="14" width="14.421875" style="515" customWidth="1"/>
    <col min="15" max="15" width="13.00390625" style="515" bestFit="1" customWidth="1"/>
    <col min="16" max="16" width="13.57421875" style="515" bestFit="1" customWidth="1"/>
    <col min="17" max="17" width="21.140625" style="0" customWidth="1"/>
    <col min="18" max="18" width="29.57421875" style="0" customWidth="1"/>
  </cols>
  <sheetData>
    <row r="1" spans="1:15" ht="12.75">
      <c r="A1" t="s">
        <v>129</v>
      </c>
      <c r="B1" s="1"/>
      <c r="C1" s="524"/>
      <c r="D1" s="524"/>
      <c r="E1" s="525"/>
      <c r="F1" s="525"/>
      <c r="G1" s="525"/>
      <c r="H1" s="525"/>
      <c r="I1" s="525"/>
      <c r="J1" s="524"/>
      <c r="K1" s="524"/>
      <c r="L1" s="526"/>
      <c r="M1" s="524"/>
      <c r="N1" s="524"/>
      <c r="O1" s="524"/>
    </row>
    <row r="2" spans="1:19" ht="19.5" customHeight="1" thickBot="1">
      <c r="A2" s="86" t="s">
        <v>28</v>
      </c>
      <c r="B2" s="8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86"/>
      <c r="R2" s="158"/>
      <c r="S2" s="158"/>
    </row>
    <row r="3" spans="1:19" ht="36" customHeight="1" thickBot="1">
      <c r="A3" s="159"/>
      <c r="B3" s="354"/>
      <c r="C3" s="386" t="s">
        <v>1</v>
      </c>
      <c r="D3" s="386" t="s">
        <v>2</v>
      </c>
      <c r="E3" s="386" t="s">
        <v>3</v>
      </c>
      <c r="F3" s="386" t="s">
        <v>4</v>
      </c>
      <c r="G3" s="386" t="s">
        <v>5</v>
      </c>
      <c r="H3" s="386" t="s">
        <v>6</v>
      </c>
      <c r="I3" s="386" t="s">
        <v>7</v>
      </c>
      <c r="J3" s="386" t="s">
        <v>29</v>
      </c>
      <c r="K3" s="527" t="s">
        <v>90</v>
      </c>
      <c r="L3" s="386" t="s">
        <v>9</v>
      </c>
      <c r="M3" s="386" t="s">
        <v>30</v>
      </c>
      <c r="N3" s="160" t="s">
        <v>11</v>
      </c>
      <c r="O3" s="528" t="s">
        <v>133</v>
      </c>
      <c r="P3" s="386" t="s">
        <v>32</v>
      </c>
      <c r="Q3" s="158"/>
      <c r="R3" s="158"/>
      <c r="S3" s="158"/>
    </row>
    <row r="4" spans="1:19" ht="23.25" customHeight="1" thickBot="1">
      <c r="A4" s="82" t="s">
        <v>186</v>
      </c>
      <c r="B4" s="355"/>
      <c r="C4" s="334">
        <v>9854041</v>
      </c>
      <c r="D4" s="334">
        <v>4755260</v>
      </c>
      <c r="E4" s="334">
        <v>8764355</v>
      </c>
      <c r="F4" s="334">
        <v>9309355</v>
      </c>
      <c r="G4" s="334">
        <v>3662446</v>
      </c>
      <c r="H4" s="334">
        <v>8244556</v>
      </c>
      <c r="I4" s="334">
        <v>2374348</v>
      </c>
      <c r="J4" s="258">
        <v>2427560</v>
      </c>
      <c r="K4" s="342">
        <v>31505</v>
      </c>
      <c r="L4" s="334">
        <v>974762</v>
      </c>
      <c r="M4" s="334">
        <v>2713710</v>
      </c>
      <c r="N4" s="334">
        <v>2036201</v>
      </c>
      <c r="O4" s="258">
        <f>1359548+462991</f>
        <v>1822539</v>
      </c>
      <c r="P4" s="258">
        <f>SUM(C4:O4)</f>
        <v>56970638</v>
      </c>
      <c r="Q4" s="163"/>
      <c r="R4" s="163"/>
      <c r="S4" s="163"/>
    </row>
    <row r="5" spans="1:19" ht="21.75" customHeight="1" thickBot="1">
      <c r="A5" s="164" t="s">
        <v>48</v>
      </c>
      <c r="B5" s="35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>
        <f>SUM(C5:O5)</f>
        <v>0</v>
      </c>
      <c r="Q5" s="163"/>
      <c r="R5" s="163"/>
      <c r="S5" s="163"/>
    </row>
    <row r="6" spans="1:19" ht="20.25" customHeight="1" thickBot="1">
      <c r="A6" s="347" t="s">
        <v>84</v>
      </c>
      <c r="B6" s="357" t="s">
        <v>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63"/>
      <c r="R6" s="163"/>
      <c r="S6" s="163"/>
    </row>
    <row r="7" spans="1:19" ht="12.75">
      <c r="A7" s="65" t="s">
        <v>94</v>
      </c>
      <c r="B7" s="70" t="s">
        <v>134</v>
      </c>
      <c r="C7" s="70">
        <f>16380+16380+15670+1820+23310-640+280</f>
        <v>73200</v>
      </c>
      <c r="D7" s="70">
        <f>4320+4320+4320+560+6640</f>
        <v>20160</v>
      </c>
      <c r="E7" s="70">
        <f>19950+20050-130.72+17880+910+280+630+24600-100+200</f>
        <v>84269.28</v>
      </c>
      <c r="F7" s="70">
        <f>15120-560-160+12960-58.67-205.33+11900+58.67+1505+280+16880-1504.5</f>
        <v>56215.17</v>
      </c>
      <c r="G7" s="70">
        <f>3870+3870+3870+1575+9670-570</f>
        <v>22285</v>
      </c>
      <c r="H7" s="70">
        <v>0</v>
      </c>
      <c r="I7" s="70">
        <f>11040-480+10060+8460-100+280+8960</f>
        <v>38220</v>
      </c>
      <c r="J7" s="70"/>
      <c r="K7" s="70"/>
      <c r="L7" s="70"/>
      <c r="M7" s="70"/>
      <c r="N7" s="438"/>
      <c r="O7" s="73">
        <f>1200-1200+205.33+58.67+130.72+100-436.05-58.67</f>
        <v>0</v>
      </c>
      <c r="P7" s="162">
        <f aca="true" t="shared" si="0" ref="P7:P38">SUM(C7:O7)</f>
        <v>294349.45</v>
      </c>
      <c r="Q7" s="163"/>
      <c r="R7" s="163"/>
      <c r="S7" s="163"/>
    </row>
    <row r="8" spans="1:19" ht="12.75">
      <c r="A8" s="65" t="s">
        <v>95</v>
      </c>
      <c r="B8" s="70" t="s">
        <v>135</v>
      </c>
      <c r="C8" s="70">
        <f>280+840-280</f>
        <v>840</v>
      </c>
      <c r="D8" s="70"/>
      <c r="E8" s="70">
        <f>7200+223.44-6097.16</f>
        <v>1326.2799999999997</v>
      </c>
      <c r="F8" s="70">
        <v>3555</v>
      </c>
      <c r="G8" s="70">
        <f>990+990</f>
        <v>1980</v>
      </c>
      <c r="H8" s="70">
        <f>330+1100+550-550</f>
        <v>1430</v>
      </c>
      <c r="I8" s="70">
        <v>0</v>
      </c>
      <c r="J8" s="70"/>
      <c r="K8" s="70"/>
      <c r="L8" s="70"/>
      <c r="M8" s="70"/>
      <c r="N8" s="70"/>
      <c r="O8" s="73">
        <f>6097.16-6097.16</f>
        <v>0</v>
      </c>
      <c r="P8" s="162">
        <f t="shared" si="0"/>
        <v>9131.279999999999</v>
      </c>
      <c r="Q8" s="163"/>
      <c r="R8" s="163"/>
      <c r="S8" s="163"/>
    </row>
    <row r="9" spans="1:19" ht="12.75">
      <c r="A9" s="65" t="s">
        <v>86</v>
      </c>
      <c r="B9" s="70" t="s">
        <v>96</v>
      </c>
      <c r="C9" s="70">
        <f>13578+29608.5+58929.5+105915.5+30972+23616+58929.5+105915.5</f>
        <v>427464.5</v>
      </c>
      <c r="D9" s="70">
        <f>24859.5+97492+9835+55073+107327</f>
        <v>294586.5</v>
      </c>
      <c r="E9" s="70">
        <f>13074+25638+57932.5+7214+16000+147207.5+226911.5+103662.5+226911.5+70061</f>
        <v>894612.5</v>
      </c>
      <c r="F9" s="70">
        <f>57898+31026.5+8981.5+14980+228299.5+132228+12367+20296+67732+176439.5+132228+83164+33831+36240</f>
        <v>1035711</v>
      </c>
      <c r="G9" s="70">
        <f>8783.5+7552.5+39505+34829.5+34829.5</f>
        <v>125500</v>
      </c>
      <c r="H9" s="70">
        <f>7035+17078.5+2390+32726+79304+2640+32726+79304+3976</f>
        <v>257179.5</v>
      </c>
      <c r="I9" s="70">
        <f>3900</f>
        <v>3900</v>
      </c>
      <c r="J9" s="70"/>
      <c r="K9" s="70"/>
      <c r="L9" s="70"/>
      <c r="M9" s="70"/>
      <c r="N9" s="70"/>
      <c r="O9" s="329"/>
      <c r="P9" s="162">
        <f t="shared" si="0"/>
        <v>3038954</v>
      </c>
      <c r="Q9" s="163"/>
      <c r="R9" s="163"/>
      <c r="S9" s="163"/>
    </row>
    <row r="10" spans="1:19" ht="12.75">
      <c r="A10" s="155" t="s">
        <v>99</v>
      </c>
      <c r="B10" s="70" t="s">
        <v>136</v>
      </c>
      <c r="C10" s="70"/>
      <c r="D10" s="70"/>
      <c r="E10" s="70">
        <f>27300+82000+90500+97000+29000+30000</f>
        <v>355800</v>
      </c>
      <c r="F10" s="70"/>
      <c r="G10" s="70"/>
      <c r="H10" s="70"/>
      <c r="I10" s="70"/>
      <c r="J10" s="70"/>
      <c r="K10" s="70"/>
      <c r="L10" s="70"/>
      <c r="M10" s="70"/>
      <c r="N10" s="70"/>
      <c r="O10" s="330"/>
      <c r="P10" s="162">
        <f t="shared" si="0"/>
        <v>355800</v>
      </c>
      <c r="Q10" s="163"/>
      <c r="R10" s="163"/>
      <c r="S10" s="163"/>
    </row>
    <row r="11" spans="1:19" ht="12.75">
      <c r="A11" s="65" t="s">
        <v>137</v>
      </c>
      <c r="B11" s="70" t="s">
        <v>93</v>
      </c>
      <c r="C11" s="70">
        <v>374621</v>
      </c>
      <c r="D11" s="70">
        <v>112886</v>
      </c>
      <c r="E11" s="70">
        <v>494885</v>
      </c>
      <c r="F11" s="70">
        <v>531741</v>
      </c>
      <c r="G11" s="70">
        <v>12880</v>
      </c>
      <c r="H11" s="70">
        <v>194481</v>
      </c>
      <c r="I11" s="70">
        <v>63567</v>
      </c>
      <c r="J11" s="70"/>
      <c r="K11" s="70"/>
      <c r="L11" s="70">
        <v>5322</v>
      </c>
      <c r="M11" s="70">
        <v>8968</v>
      </c>
      <c r="N11" s="70"/>
      <c r="O11" s="330"/>
      <c r="P11" s="162">
        <f t="shared" si="0"/>
        <v>1799351</v>
      </c>
      <c r="Q11" s="168"/>
      <c r="R11" s="163"/>
      <c r="S11" s="163"/>
    </row>
    <row r="12" spans="1:19" ht="12.75">
      <c r="A12" s="65" t="s">
        <v>139</v>
      </c>
      <c r="B12" s="70" t="s">
        <v>138</v>
      </c>
      <c r="C12" s="70">
        <v>0</v>
      </c>
      <c r="D12" s="70">
        <v>32343</v>
      </c>
      <c r="E12" s="70">
        <v>111086</v>
      </c>
      <c r="F12" s="70">
        <v>3224</v>
      </c>
      <c r="G12" s="70">
        <v>23759</v>
      </c>
      <c r="H12" s="70">
        <v>37554</v>
      </c>
      <c r="I12" s="70">
        <v>16844</v>
      </c>
      <c r="J12" s="70"/>
      <c r="K12" s="70"/>
      <c r="L12" s="70">
        <v>0</v>
      </c>
      <c r="M12" s="70"/>
      <c r="N12" s="70"/>
      <c r="O12" s="73"/>
      <c r="P12" s="162">
        <f t="shared" si="0"/>
        <v>224810</v>
      </c>
      <c r="Q12" s="169"/>
      <c r="R12" s="163"/>
      <c r="S12" s="163"/>
    </row>
    <row r="13" spans="1:19" ht="12.75">
      <c r="A13" s="65" t="s">
        <v>194</v>
      </c>
      <c r="B13" s="436" t="s">
        <v>146</v>
      </c>
      <c r="C13" s="70"/>
      <c r="D13" s="70"/>
      <c r="E13" s="70">
        <v>80000</v>
      </c>
      <c r="F13" s="70"/>
      <c r="G13" s="70"/>
      <c r="H13" s="70"/>
      <c r="I13" s="70"/>
      <c r="J13" s="70"/>
      <c r="K13" s="70"/>
      <c r="L13" s="70"/>
      <c r="M13" s="70"/>
      <c r="N13" s="70"/>
      <c r="O13" s="330"/>
      <c r="P13" s="162">
        <f t="shared" si="0"/>
        <v>80000</v>
      </c>
      <c r="Q13" s="170"/>
      <c r="R13" s="163"/>
      <c r="S13" s="163"/>
    </row>
    <row r="14" spans="1:19" s="5" customFormat="1" ht="25.5">
      <c r="A14" s="74" t="s">
        <v>191</v>
      </c>
      <c r="B14" s="437" t="s">
        <v>140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>
        <v>-442914</v>
      </c>
      <c r="P14" s="518">
        <f t="shared" si="0"/>
        <v>-442914</v>
      </c>
      <c r="Q14" s="652">
        <v>508829</v>
      </c>
      <c r="R14" s="171" t="s">
        <v>214</v>
      </c>
      <c r="S14" s="171"/>
    </row>
    <row r="15" spans="1:19" s="5" customFormat="1" ht="25.5">
      <c r="A15" s="74" t="s">
        <v>192</v>
      </c>
      <c r="B15" s="437" t="s">
        <v>140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>
        <v>427332</v>
      </c>
      <c r="P15" s="653">
        <f t="shared" si="0"/>
        <v>427332</v>
      </c>
      <c r="Q15" s="654"/>
      <c r="R15" s="171">
        <f>Q14+O14</f>
        <v>65915</v>
      </c>
      <c r="S15" s="171"/>
    </row>
    <row r="16" spans="1:19" s="5" customFormat="1" ht="25.5">
      <c r="A16" s="74" t="s">
        <v>193</v>
      </c>
      <c r="B16" s="437" t="s">
        <v>140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>
        <v>283037</v>
      </c>
      <c r="N16" s="335"/>
      <c r="O16" s="530"/>
      <c r="P16" s="653">
        <f t="shared" si="0"/>
        <v>283037</v>
      </c>
      <c r="Q16" s="654"/>
      <c r="R16" s="171"/>
      <c r="S16" s="171"/>
    </row>
    <row r="17" spans="1:19" ht="12.75">
      <c r="A17" s="74" t="s">
        <v>223</v>
      </c>
      <c r="B17" s="436" t="s">
        <v>198</v>
      </c>
      <c r="C17" s="70"/>
      <c r="D17" s="70"/>
      <c r="E17" s="70"/>
      <c r="F17" s="70"/>
      <c r="G17" s="70"/>
      <c r="H17" s="70"/>
      <c r="I17" s="70"/>
      <c r="J17" s="70"/>
      <c r="K17" s="70">
        <v>3200</v>
      </c>
      <c r="L17" s="70"/>
      <c r="M17" s="70"/>
      <c r="N17" s="70"/>
      <c r="O17" s="73"/>
      <c r="P17" s="517">
        <f t="shared" si="0"/>
        <v>3200</v>
      </c>
      <c r="Q17" s="163"/>
      <c r="R17" s="163"/>
      <c r="S17" s="163"/>
    </row>
    <row r="18" spans="1:19" ht="51">
      <c r="A18" s="74" t="s">
        <v>200</v>
      </c>
      <c r="B18" s="437" t="s">
        <v>198</v>
      </c>
      <c r="C18" s="70"/>
      <c r="D18" s="70"/>
      <c r="E18" s="70"/>
      <c r="F18" s="70"/>
      <c r="G18" s="70"/>
      <c r="H18" s="70"/>
      <c r="I18" s="70"/>
      <c r="J18" s="70">
        <v>5000</v>
      </c>
      <c r="K18" s="70"/>
      <c r="L18" s="70"/>
      <c r="M18" s="70"/>
      <c r="N18" s="70"/>
      <c r="O18" s="73"/>
      <c r="P18" s="517">
        <f t="shared" si="0"/>
        <v>5000</v>
      </c>
      <c r="Q18" s="163"/>
      <c r="R18" s="163"/>
      <c r="S18" s="163"/>
    </row>
    <row r="19" spans="1:19" ht="25.5" customHeight="1">
      <c r="A19" s="74" t="s">
        <v>204</v>
      </c>
      <c r="B19" s="437" t="s">
        <v>141</v>
      </c>
      <c r="C19" s="70"/>
      <c r="D19" s="70">
        <v>60000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3"/>
      <c r="P19" s="162">
        <f t="shared" si="0"/>
        <v>60000</v>
      </c>
      <c r="Q19" s="163"/>
      <c r="R19" s="163"/>
      <c r="S19" s="163"/>
    </row>
    <row r="20" spans="1:19" s="5" customFormat="1" ht="25.5">
      <c r="A20" s="74" t="s">
        <v>205</v>
      </c>
      <c r="B20" s="436" t="s">
        <v>198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>
        <v>100000</v>
      </c>
      <c r="N20" s="70"/>
      <c r="O20" s="73"/>
      <c r="P20" s="162">
        <f t="shared" si="0"/>
        <v>100000</v>
      </c>
      <c r="Q20" s="171"/>
      <c r="R20" s="171"/>
      <c r="S20" s="171"/>
    </row>
    <row r="21" spans="1:19" s="6" customFormat="1" ht="51">
      <c r="A21" s="74" t="s">
        <v>207</v>
      </c>
      <c r="B21" s="437" t="s">
        <v>206</v>
      </c>
      <c r="C21" s="335">
        <f>-9579-419</f>
        <v>-9998</v>
      </c>
      <c r="D21" s="70">
        <f>-7093-72</f>
        <v>-7165</v>
      </c>
      <c r="E21" s="335">
        <f>-2250-79</f>
        <v>-2329</v>
      </c>
      <c r="F21" s="335">
        <f>-8206-10</f>
        <v>-8216</v>
      </c>
      <c r="G21" s="335"/>
      <c r="H21" s="335">
        <f>-10040-203</f>
        <v>-10243</v>
      </c>
      <c r="I21" s="335"/>
      <c r="J21" s="335"/>
      <c r="K21" s="335"/>
      <c r="L21" s="335"/>
      <c r="M21" s="335"/>
      <c r="N21" s="335"/>
      <c r="O21" s="529"/>
      <c r="P21" s="518">
        <f t="shared" si="0"/>
        <v>-37951</v>
      </c>
      <c r="Q21" s="171"/>
      <c r="R21" s="171"/>
      <c r="S21" s="171"/>
    </row>
    <row r="22" spans="1:19" s="6" customFormat="1" ht="25.5">
      <c r="A22" s="74" t="s">
        <v>209</v>
      </c>
      <c r="B22" s="437" t="s">
        <v>140</v>
      </c>
      <c r="C22" s="335"/>
      <c r="D22" s="335"/>
      <c r="E22" s="335"/>
      <c r="F22" s="335">
        <v>90000</v>
      </c>
      <c r="G22" s="335"/>
      <c r="H22" s="335"/>
      <c r="I22" s="335"/>
      <c r="J22" s="335"/>
      <c r="K22" s="335"/>
      <c r="L22" s="335"/>
      <c r="M22" s="335"/>
      <c r="N22" s="335"/>
      <c r="O22" s="529"/>
      <c r="P22" s="518">
        <f t="shared" si="0"/>
        <v>90000</v>
      </c>
      <c r="Q22" s="171"/>
      <c r="R22" s="171"/>
      <c r="S22" s="171"/>
    </row>
    <row r="23" spans="1:19" s="6" customFormat="1" ht="25.5">
      <c r="A23" s="74" t="s">
        <v>210</v>
      </c>
      <c r="B23" s="437" t="s">
        <v>140</v>
      </c>
      <c r="C23" s="335"/>
      <c r="D23" s="335"/>
      <c r="E23" s="335">
        <v>30000</v>
      </c>
      <c r="F23" s="335"/>
      <c r="G23" s="335"/>
      <c r="H23" s="335"/>
      <c r="I23" s="335"/>
      <c r="J23" s="335"/>
      <c r="K23" s="335"/>
      <c r="L23" s="335"/>
      <c r="M23" s="335"/>
      <c r="N23" s="335"/>
      <c r="O23" s="530"/>
      <c r="P23" s="518">
        <f t="shared" si="0"/>
        <v>30000</v>
      </c>
      <c r="Q23" s="171"/>
      <c r="R23" s="171"/>
      <c r="S23" s="171"/>
    </row>
    <row r="24" spans="1:19" s="6" customFormat="1" ht="25.5">
      <c r="A24" s="74" t="s">
        <v>211</v>
      </c>
      <c r="B24" s="437" t="s">
        <v>138</v>
      </c>
      <c r="C24" s="335"/>
      <c r="D24" s="335"/>
      <c r="E24" s="335"/>
      <c r="F24" s="335"/>
      <c r="G24" s="335"/>
      <c r="H24" s="335">
        <v>1787</v>
      </c>
      <c r="I24" s="335"/>
      <c r="J24" s="335"/>
      <c r="K24" s="335"/>
      <c r="L24" s="335"/>
      <c r="M24" s="335"/>
      <c r="N24" s="335"/>
      <c r="O24" s="530"/>
      <c r="P24" s="518">
        <f t="shared" si="0"/>
        <v>1787</v>
      </c>
      <c r="Q24" s="171"/>
      <c r="R24" s="171"/>
      <c r="S24" s="171"/>
    </row>
    <row r="25" spans="1:19" s="5" customFormat="1" ht="25.5">
      <c r="A25" s="74" t="s">
        <v>215</v>
      </c>
      <c r="B25" s="437" t="s">
        <v>224</v>
      </c>
      <c r="C25" s="335"/>
      <c r="D25" s="335"/>
      <c r="E25" s="335"/>
      <c r="F25" s="335"/>
      <c r="G25" s="335"/>
      <c r="H25" s="335">
        <v>5000</v>
      </c>
      <c r="I25" s="335"/>
      <c r="J25" s="335">
        <v>29000</v>
      </c>
      <c r="K25" s="335"/>
      <c r="L25" s="335"/>
      <c r="M25" s="335"/>
      <c r="N25" s="335"/>
      <c r="O25" s="530"/>
      <c r="P25" s="518">
        <f t="shared" si="0"/>
        <v>34000</v>
      </c>
      <c r="Q25" s="171"/>
      <c r="R25" s="171"/>
      <c r="S25" s="171"/>
    </row>
    <row r="26" spans="1:19" s="4" customFormat="1" ht="25.5">
      <c r="A26" s="74" t="s">
        <v>222</v>
      </c>
      <c r="B26" s="437" t="s">
        <v>141</v>
      </c>
      <c r="C26" s="70"/>
      <c r="D26" s="70">
        <v>3227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3"/>
      <c r="P26" s="518">
        <f t="shared" si="0"/>
        <v>3227</v>
      </c>
      <c r="Q26" s="172"/>
      <c r="R26" s="172"/>
      <c r="S26" s="172"/>
    </row>
    <row r="27" spans="1:19" s="4" customFormat="1" ht="38.25">
      <c r="A27" s="74" t="s">
        <v>216</v>
      </c>
      <c r="B27" s="437" t="s">
        <v>141</v>
      </c>
      <c r="C27" s="70"/>
      <c r="D27" s="70">
        <v>2088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3"/>
      <c r="P27" s="518">
        <f t="shared" si="0"/>
        <v>2088</v>
      </c>
      <c r="Q27" s="172"/>
      <c r="R27" s="172"/>
      <c r="S27" s="172"/>
    </row>
    <row r="28" spans="1:19" ht="25.5">
      <c r="A28" s="74" t="s">
        <v>217</v>
      </c>
      <c r="B28" s="437" t="s">
        <v>141</v>
      </c>
      <c r="C28" s="70"/>
      <c r="D28" s="70"/>
      <c r="E28" s="70">
        <v>100000</v>
      </c>
      <c r="F28" s="70"/>
      <c r="G28" s="70"/>
      <c r="H28" s="70"/>
      <c r="I28" s="70"/>
      <c r="J28" s="70"/>
      <c r="K28" s="70"/>
      <c r="L28" s="70"/>
      <c r="M28" s="70"/>
      <c r="N28" s="70"/>
      <c r="O28" s="73"/>
      <c r="P28" s="518">
        <f t="shared" si="0"/>
        <v>100000</v>
      </c>
      <c r="Q28" s="163"/>
      <c r="R28" s="163"/>
      <c r="S28" s="163"/>
    </row>
    <row r="29" spans="1:19" ht="25.5">
      <c r="A29" s="74" t="s">
        <v>218</v>
      </c>
      <c r="B29" s="437" t="s">
        <v>141</v>
      </c>
      <c r="C29" s="70">
        <v>200000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3"/>
      <c r="P29" s="518">
        <f t="shared" si="0"/>
        <v>200000</v>
      </c>
      <c r="Q29" s="163"/>
      <c r="R29" s="163"/>
      <c r="S29" s="163"/>
    </row>
    <row r="30" spans="1:19" ht="25.5">
      <c r="A30" s="74" t="s">
        <v>219</v>
      </c>
      <c r="B30" s="437" t="s">
        <v>140</v>
      </c>
      <c r="C30" s="70"/>
      <c r="D30" s="70"/>
      <c r="E30" s="70"/>
      <c r="F30" s="70">
        <v>3250</v>
      </c>
      <c r="G30" s="70"/>
      <c r="H30" s="70"/>
      <c r="I30" s="70"/>
      <c r="J30" s="70"/>
      <c r="K30" s="70"/>
      <c r="L30" s="70"/>
      <c r="M30" s="70"/>
      <c r="N30" s="70"/>
      <c r="O30" s="73"/>
      <c r="P30" s="518">
        <f t="shared" si="0"/>
        <v>3250</v>
      </c>
      <c r="Q30" s="163"/>
      <c r="R30" s="163"/>
      <c r="S30" s="163"/>
    </row>
    <row r="31" spans="1:19" ht="25.5">
      <c r="A31" s="74" t="s">
        <v>220</v>
      </c>
      <c r="B31" s="437" t="s">
        <v>153</v>
      </c>
      <c r="C31" s="70">
        <v>8439</v>
      </c>
      <c r="D31" s="70">
        <v>595</v>
      </c>
      <c r="E31" s="70">
        <v>5917</v>
      </c>
      <c r="F31" s="70">
        <v>8572</v>
      </c>
      <c r="G31" s="70">
        <v>4723</v>
      </c>
      <c r="H31" s="70">
        <v>3246</v>
      </c>
      <c r="I31" s="70">
        <v>3158</v>
      </c>
      <c r="J31" s="70"/>
      <c r="K31" s="70"/>
      <c r="L31" s="70">
        <v>350</v>
      </c>
      <c r="M31" s="70"/>
      <c r="N31" s="70"/>
      <c r="O31" s="73"/>
      <c r="P31" s="518">
        <f t="shared" si="0"/>
        <v>35000</v>
      </c>
      <c r="Q31" s="163"/>
      <c r="R31" s="163"/>
      <c r="S31" s="163"/>
    </row>
    <row r="32" spans="1:19" ht="25.5">
      <c r="A32" s="74" t="s">
        <v>221</v>
      </c>
      <c r="B32" s="437" t="s">
        <v>224</v>
      </c>
      <c r="C32" s="70"/>
      <c r="D32" s="70"/>
      <c r="E32" s="70"/>
      <c r="F32" s="70"/>
      <c r="G32" s="70"/>
      <c r="H32" s="70">
        <v>5000</v>
      </c>
      <c r="I32" s="70"/>
      <c r="J32" s="70">
        <v>25000</v>
      </c>
      <c r="K32" s="70"/>
      <c r="L32" s="70"/>
      <c r="M32" s="70"/>
      <c r="N32" s="70"/>
      <c r="O32" s="73"/>
      <c r="P32" s="518">
        <f t="shared" si="0"/>
        <v>30000</v>
      </c>
      <c r="Q32" s="163"/>
      <c r="R32" s="163"/>
      <c r="S32" s="163"/>
    </row>
    <row r="33" spans="1:19" ht="25.5">
      <c r="A33" s="74" t="s">
        <v>226</v>
      </c>
      <c r="B33" s="437" t="s">
        <v>146</v>
      </c>
      <c r="C33" s="70"/>
      <c r="D33" s="70"/>
      <c r="E33" s="70"/>
      <c r="F33" s="70"/>
      <c r="G33" s="70">
        <v>98199</v>
      </c>
      <c r="H33" s="70"/>
      <c r="I33" s="70"/>
      <c r="J33" s="70"/>
      <c r="K33" s="70"/>
      <c r="L33" s="70"/>
      <c r="M33" s="70"/>
      <c r="N33" s="70"/>
      <c r="O33" s="73"/>
      <c r="P33" s="518">
        <f t="shared" si="0"/>
        <v>98199</v>
      </c>
      <c r="Q33" s="163"/>
      <c r="R33" s="163"/>
      <c r="S33" s="163"/>
    </row>
    <row r="34" spans="1:19" ht="25.5">
      <c r="A34" s="74" t="s">
        <v>225</v>
      </c>
      <c r="B34" s="436" t="s">
        <v>146</v>
      </c>
      <c r="C34" s="70"/>
      <c r="D34" s="70"/>
      <c r="E34" s="70"/>
      <c r="F34" s="70"/>
      <c r="G34" s="70">
        <v>14730</v>
      </c>
      <c r="H34" s="70"/>
      <c r="I34" s="70"/>
      <c r="J34" s="70"/>
      <c r="K34" s="70"/>
      <c r="L34" s="70"/>
      <c r="M34" s="70"/>
      <c r="N34" s="70"/>
      <c r="O34" s="73"/>
      <c r="P34" s="518">
        <f t="shared" si="0"/>
        <v>14730</v>
      </c>
      <c r="Q34" s="163"/>
      <c r="R34" s="163"/>
      <c r="S34" s="163"/>
    </row>
    <row r="35" spans="1:19" ht="12" customHeight="1">
      <c r="A35" s="74"/>
      <c r="B35" s="198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3"/>
      <c r="P35" s="518">
        <f t="shared" si="0"/>
        <v>0</v>
      </c>
      <c r="Q35" s="163"/>
      <c r="R35" s="163"/>
      <c r="S35" s="163"/>
    </row>
    <row r="36" spans="1:19" ht="12.75">
      <c r="A36" s="65"/>
      <c r="B36" s="198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3"/>
      <c r="P36" s="162">
        <f t="shared" si="0"/>
        <v>0</v>
      </c>
      <c r="Q36" s="163"/>
      <c r="R36" s="163"/>
      <c r="S36" s="163"/>
    </row>
    <row r="37" spans="1:19" ht="12.75">
      <c r="A37" s="65"/>
      <c r="B37" s="198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3"/>
      <c r="P37" s="162">
        <f t="shared" si="0"/>
        <v>0</v>
      </c>
      <c r="Q37" s="163"/>
      <c r="R37" s="163" t="s">
        <v>185</v>
      </c>
      <c r="S37" s="163"/>
    </row>
    <row r="38" spans="1:19" ht="12.75" hidden="1">
      <c r="A38" s="65"/>
      <c r="B38" s="198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162">
        <f t="shared" si="0"/>
        <v>0</v>
      </c>
      <c r="Q38" s="163"/>
      <c r="R38" s="163"/>
      <c r="S38" s="163"/>
    </row>
    <row r="39" spans="1:19" ht="12.75" hidden="1">
      <c r="A39" s="65"/>
      <c r="B39" s="198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162"/>
      <c r="P39" s="162">
        <f aca="true" t="shared" si="1" ref="P39:P63">SUM(C39:O39)</f>
        <v>0</v>
      </c>
      <c r="Q39" s="163"/>
      <c r="R39" s="163"/>
      <c r="S39" s="163"/>
    </row>
    <row r="40" spans="1:19" ht="12.75" hidden="1">
      <c r="A40" s="65"/>
      <c r="B40" s="35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62"/>
      <c r="P40" s="162">
        <f t="shared" si="1"/>
        <v>0</v>
      </c>
      <c r="Q40" s="163"/>
      <c r="R40" s="163"/>
      <c r="S40" s="163"/>
    </row>
    <row r="41" spans="1:19" ht="12.75" hidden="1">
      <c r="A41" s="65"/>
      <c r="B41" s="198"/>
      <c r="C41" s="15"/>
      <c r="D41" s="15"/>
      <c r="E41" s="15"/>
      <c r="F41" s="15"/>
      <c r="G41" s="70"/>
      <c r="H41" s="15"/>
      <c r="I41" s="15"/>
      <c r="J41" s="70"/>
      <c r="K41" s="70"/>
      <c r="L41" s="70"/>
      <c r="M41" s="70"/>
      <c r="N41" s="70"/>
      <c r="O41" s="73"/>
      <c r="P41" s="162">
        <f t="shared" si="1"/>
        <v>0</v>
      </c>
      <c r="Q41" s="163"/>
      <c r="R41" s="163"/>
      <c r="S41" s="163"/>
    </row>
    <row r="42" spans="1:19" ht="14.25" customHeight="1" hidden="1">
      <c r="A42" s="65"/>
      <c r="B42" s="198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3"/>
      <c r="P42" s="162">
        <f t="shared" si="1"/>
        <v>0</v>
      </c>
      <c r="Q42" s="163"/>
      <c r="R42" s="163"/>
      <c r="S42" s="163"/>
    </row>
    <row r="43" spans="1:19" ht="12.75" hidden="1">
      <c r="A43" s="65"/>
      <c r="B43" s="198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3"/>
      <c r="P43" s="162">
        <f t="shared" si="1"/>
        <v>0</v>
      </c>
      <c r="Q43" s="163"/>
      <c r="R43" s="163"/>
      <c r="S43" s="163"/>
    </row>
    <row r="44" spans="1:19" ht="12.75" hidden="1">
      <c r="A44" s="155"/>
      <c r="B44" s="198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3"/>
      <c r="P44" s="162">
        <f t="shared" si="1"/>
        <v>0</v>
      </c>
      <c r="Q44" s="163"/>
      <c r="R44" s="163"/>
      <c r="S44" s="163"/>
    </row>
    <row r="45" spans="1:19" ht="12.75" hidden="1">
      <c r="A45" s="74"/>
      <c r="B45" s="198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3"/>
      <c r="P45" s="162">
        <f t="shared" si="1"/>
        <v>0</v>
      </c>
      <c r="Q45" s="163"/>
      <c r="R45" s="163"/>
      <c r="S45" s="163"/>
    </row>
    <row r="46" spans="1:19" s="2" customFormat="1" ht="12.75" hidden="1">
      <c r="A46" s="155"/>
      <c r="B46" s="19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162">
        <f t="shared" si="1"/>
        <v>0</v>
      </c>
      <c r="Q46" s="163"/>
      <c r="R46" s="163"/>
      <c r="S46" s="163"/>
    </row>
    <row r="47" spans="1:19" s="2" customFormat="1" ht="12.75" hidden="1">
      <c r="A47" s="155"/>
      <c r="B47" s="198"/>
      <c r="C47" s="70"/>
      <c r="D47" s="70"/>
      <c r="E47" s="69"/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162">
        <f t="shared" si="1"/>
        <v>0</v>
      </c>
      <c r="Q47" s="163"/>
      <c r="R47" s="163"/>
      <c r="S47" s="163"/>
    </row>
    <row r="48" spans="1:19" ht="12.75" hidden="1">
      <c r="A48" s="257"/>
      <c r="B48" s="198"/>
      <c r="C48" s="70"/>
      <c r="D48" s="70"/>
      <c r="E48" s="70"/>
      <c r="F48" s="369"/>
      <c r="G48" s="70"/>
      <c r="H48" s="70"/>
      <c r="I48" s="70"/>
      <c r="J48" s="70"/>
      <c r="K48" s="70"/>
      <c r="L48" s="15"/>
      <c r="M48" s="15"/>
      <c r="N48" s="15"/>
      <c r="O48" s="15"/>
      <c r="P48" s="162">
        <f t="shared" si="1"/>
        <v>0</v>
      </c>
      <c r="Q48" s="163"/>
      <c r="R48" s="163"/>
      <c r="S48" s="163"/>
    </row>
    <row r="49" spans="1:19" ht="12.75" hidden="1">
      <c r="A49" s="155"/>
      <c r="B49" s="198"/>
      <c r="C49" s="70"/>
      <c r="D49" s="70"/>
      <c r="E49" s="70"/>
      <c r="F49" s="369"/>
      <c r="G49" s="70"/>
      <c r="H49" s="70"/>
      <c r="I49" s="70"/>
      <c r="J49" s="70"/>
      <c r="K49" s="70"/>
      <c r="L49" s="15"/>
      <c r="M49" s="15"/>
      <c r="N49" s="15"/>
      <c r="O49" s="15"/>
      <c r="P49" s="162">
        <f t="shared" si="1"/>
        <v>0</v>
      </c>
      <c r="Q49" s="163"/>
      <c r="R49" s="163"/>
      <c r="S49" s="163"/>
    </row>
    <row r="50" spans="1:19" ht="12.75" hidden="1">
      <c r="A50" s="155"/>
      <c r="B50" s="198"/>
      <c r="C50" s="69"/>
      <c r="D50" s="69"/>
      <c r="E50" s="70"/>
      <c r="F50" s="70"/>
      <c r="G50" s="70"/>
      <c r="H50" s="69"/>
      <c r="I50" s="70"/>
      <c r="J50" s="15"/>
      <c r="K50" s="15"/>
      <c r="L50" s="15"/>
      <c r="M50" s="15"/>
      <c r="N50" s="15"/>
      <c r="O50" s="15"/>
      <c r="P50" s="162">
        <f t="shared" si="1"/>
        <v>0</v>
      </c>
      <c r="Q50" s="163"/>
      <c r="R50" s="163"/>
      <c r="S50" s="163"/>
    </row>
    <row r="51" spans="1:19" ht="12.75" hidden="1">
      <c r="A51" s="155"/>
      <c r="B51" s="198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162">
        <f t="shared" si="1"/>
        <v>0</v>
      </c>
      <c r="Q51" s="163"/>
      <c r="R51" s="163"/>
      <c r="S51" s="163"/>
    </row>
    <row r="52" spans="1:19" ht="12.75" hidden="1">
      <c r="A52" s="74"/>
      <c r="B52" s="198"/>
      <c r="C52" s="70"/>
      <c r="D52" s="70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162">
        <f t="shared" si="1"/>
        <v>0</v>
      </c>
      <c r="Q52" s="163"/>
      <c r="R52" s="163"/>
      <c r="S52" s="163"/>
    </row>
    <row r="53" spans="1:19" ht="12.75" hidden="1">
      <c r="A53" s="11"/>
      <c r="B53" s="198"/>
      <c r="C53" s="70"/>
      <c r="D53" s="70"/>
      <c r="E53" s="70"/>
      <c r="F53" s="369"/>
      <c r="G53" s="70"/>
      <c r="H53" s="70"/>
      <c r="I53" s="70"/>
      <c r="J53" s="70"/>
      <c r="K53" s="70"/>
      <c r="L53" s="15"/>
      <c r="M53" s="15"/>
      <c r="N53" s="15"/>
      <c r="O53" s="15"/>
      <c r="P53" s="162">
        <f t="shared" si="1"/>
        <v>0</v>
      </c>
      <c r="Q53" s="163"/>
      <c r="R53" s="163"/>
      <c r="S53" s="163"/>
    </row>
    <row r="54" spans="1:19" ht="12.75" hidden="1">
      <c r="A54" s="74"/>
      <c r="B54" s="198"/>
      <c r="C54" s="70"/>
      <c r="D54" s="70"/>
      <c r="E54" s="70"/>
      <c r="F54" s="369"/>
      <c r="G54" s="70"/>
      <c r="H54" s="70"/>
      <c r="I54" s="70"/>
      <c r="J54" s="70"/>
      <c r="K54" s="70"/>
      <c r="L54" s="15"/>
      <c r="M54" s="15"/>
      <c r="N54" s="15"/>
      <c r="O54" s="15"/>
      <c r="P54" s="162">
        <f t="shared" si="1"/>
        <v>0</v>
      </c>
      <c r="Q54" s="163"/>
      <c r="R54" s="163"/>
      <c r="S54" s="163"/>
    </row>
    <row r="55" spans="1:19" ht="12.75" hidden="1">
      <c r="A55" s="74"/>
      <c r="B55" s="198"/>
      <c r="C55" s="70"/>
      <c r="D55" s="70"/>
      <c r="E55" s="70"/>
      <c r="F55" s="369"/>
      <c r="G55" s="70"/>
      <c r="H55" s="70"/>
      <c r="I55" s="70"/>
      <c r="J55" s="70"/>
      <c r="K55" s="70"/>
      <c r="L55" s="15"/>
      <c r="M55" s="15"/>
      <c r="N55" s="15"/>
      <c r="O55" s="15"/>
      <c r="P55" s="162">
        <f t="shared" si="1"/>
        <v>0</v>
      </c>
      <c r="Q55" s="163"/>
      <c r="R55" s="163"/>
      <c r="S55" s="163"/>
    </row>
    <row r="56" spans="1:19" ht="12.75" hidden="1">
      <c r="A56" s="74"/>
      <c r="B56" s="198"/>
      <c r="C56" s="70"/>
      <c r="D56" s="70"/>
      <c r="E56" s="70"/>
      <c r="F56" s="369"/>
      <c r="G56" s="70"/>
      <c r="H56" s="70"/>
      <c r="I56" s="70"/>
      <c r="J56" s="70"/>
      <c r="K56" s="70"/>
      <c r="L56" s="15"/>
      <c r="M56" s="15"/>
      <c r="N56" s="15"/>
      <c r="O56" s="15"/>
      <c r="P56" s="162">
        <f t="shared" si="1"/>
        <v>0</v>
      </c>
      <c r="Q56" s="163"/>
      <c r="R56" s="163"/>
      <c r="S56" s="163"/>
    </row>
    <row r="57" spans="1:19" ht="12.75" hidden="1">
      <c r="A57" s="74"/>
      <c r="B57" s="198"/>
      <c r="C57" s="70"/>
      <c r="D57" s="70"/>
      <c r="E57" s="70"/>
      <c r="F57" s="70"/>
      <c r="G57" s="70"/>
      <c r="H57" s="70"/>
      <c r="I57" s="70"/>
      <c r="J57" s="70"/>
      <c r="K57" s="70"/>
      <c r="L57" s="15"/>
      <c r="M57" s="15"/>
      <c r="N57" s="15"/>
      <c r="O57" s="15"/>
      <c r="P57" s="162">
        <f t="shared" si="1"/>
        <v>0</v>
      </c>
      <c r="Q57" s="163"/>
      <c r="R57" s="163"/>
      <c r="S57" s="163"/>
    </row>
    <row r="58" spans="1:19" ht="12.75" hidden="1">
      <c r="A58" s="74"/>
      <c r="B58" s="198"/>
      <c r="C58" s="70"/>
      <c r="D58" s="70"/>
      <c r="E58" s="70"/>
      <c r="F58" s="70"/>
      <c r="G58" s="70"/>
      <c r="H58" s="70"/>
      <c r="I58" s="70"/>
      <c r="J58" s="70"/>
      <c r="K58" s="70"/>
      <c r="L58" s="15"/>
      <c r="M58" s="15"/>
      <c r="N58" s="15"/>
      <c r="O58" s="15"/>
      <c r="P58" s="162">
        <f t="shared" si="1"/>
        <v>0</v>
      </c>
      <c r="Q58" s="163"/>
      <c r="R58" s="163"/>
      <c r="S58" s="163"/>
    </row>
    <row r="59" spans="1:19" ht="12.75" hidden="1">
      <c r="A59" s="74"/>
      <c r="B59" s="198"/>
      <c r="C59" s="70"/>
      <c r="D59" s="70"/>
      <c r="E59" s="70"/>
      <c r="F59" s="369"/>
      <c r="G59" s="70"/>
      <c r="H59" s="70"/>
      <c r="I59" s="70"/>
      <c r="J59" s="70"/>
      <c r="K59" s="70"/>
      <c r="L59" s="15"/>
      <c r="M59" s="15"/>
      <c r="N59" s="15"/>
      <c r="O59" s="15"/>
      <c r="P59" s="162">
        <f t="shared" si="1"/>
        <v>0</v>
      </c>
      <c r="Q59" s="163"/>
      <c r="R59" s="163"/>
      <c r="S59" s="163"/>
    </row>
    <row r="60" spans="1:19" ht="12.75" hidden="1">
      <c r="A60" s="74"/>
      <c r="B60" s="198"/>
      <c r="C60" s="70"/>
      <c r="D60" s="70"/>
      <c r="E60" s="70"/>
      <c r="F60" s="369"/>
      <c r="G60" s="70"/>
      <c r="H60" s="70"/>
      <c r="I60" s="70"/>
      <c r="J60" s="70"/>
      <c r="K60" s="70"/>
      <c r="L60" s="15"/>
      <c r="M60" s="15"/>
      <c r="N60" s="15"/>
      <c r="O60" s="15"/>
      <c r="P60" s="162">
        <f t="shared" si="1"/>
        <v>0</v>
      </c>
      <c r="Q60" s="163"/>
      <c r="R60" s="163"/>
      <c r="S60" s="163"/>
    </row>
    <row r="61" spans="1:19" ht="12.75" hidden="1">
      <c r="A61" s="74"/>
      <c r="B61" s="198"/>
      <c r="C61" s="70"/>
      <c r="D61" s="70"/>
      <c r="E61" s="70"/>
      <c r="F61" s="369"/>
      <c r="G61" s="70"/>
      <c r="H61" s="70"/>
      <c r="I61" s="70"/>
      <c r="J61" s="70"/>
      <c r="K61" s="70"/>
      <c r="L61" s="15"/>
      <c r="M61" s="15"/>
      <c r="N61" s="15"/>
      <c r="O61" s="15"/>
      <c r="P61" s="162">
        <f t="shared" si="1"/>
        <v>0</v>
      </c>
      <c r="Q61" s="163"/>
      <c r="R61" s="163"/>
      <c r="S61" s="163"/>
    </row>
    <row r="62" spans="1:19" ht="12.75" hidden="1">
      <c r="A62" s="74"/>
      <c r="B62" s="198"/>
      <c r="C62" s="70"/>
      <c r="D62" s="70"/>
      <c r="E62" s="70"/>
      <c r="F62" s="369"/>
      <c r="G62" s="70"/>
      <c r="H62" s="70"/>
      <c r="I62" s="70"/>
      <c r="J62" s="70"/>
      <c r="K62" s="70"/>
      <c r="L62" s="15"/>
      <c r="M62" s="15"/>
      <c r="N62" s="15"/>
      <c r="O62" s="15"/>
      <c r="P62" s="162">
        <f t="shared" si="1"/>
        <v>0</v>
      </c>
      <c r="Q62" s="163"/>
      <c r="R62" s="163"/>
      <c r="S62" s="163"/>
    </row>
    <row r="63" spans="1:19" ht="13.5" thickBot="1">
      <c r="A63" s="259"/>
      <c r="B63" s="198"/>
      <c r="C63" s="69"/>
      <c r="D63" s="69"/>
      <c r="E63" s="70"/>
      <c r="F63" s="70"/>
      <c r="G63" s="70"/>
      <c r="H63" s="69"/>
      <c r="I63" s="70"/>
      <c r="J63" s="15"/>
      <c r="K63" s="15"/>
      <c r="L63" s="15"/>
      <c r="M63" s="15"/>
      <c r="N63" s="15"/>
      <c r="O63" s="15"/>
      <c r="P63" s="162">
        <f t="shared" si="1"/>
        <v>0</v>
      </c>
      <c r="Q63" s="163"/>
      <c r="R63" s="163"/>
      <c r="S63" s="163"/>
    </row>
    <row r="64" spans="1:19" ht="15" customHeight="1" thickBot="1">
      <c r="A64" s="348" t="s">
        <v>36</v>
      </c>
      <c r="B64" s="359"/>
      <c r="C64" s="70"/>
      <c r="D64" s="70"/>
      <c r="E64" s="70"/>
      <c r="F64" s="70"/>
      <c r="G64" s="70"/>
      <c r="H64" s="70"/>
      <c r="I64" s="70"/>
      <c r="J64" s="173"/>
      <c r="K64" s="173"/>
      <c r="L64" s="70"/>
      <c r="M64" s="173"/>
      <c r="N64" s="173"/>
      <c r="O64" s="173"/>
      <c r="P64" s="162"/>
      <c r="Q64" s="163"/>
      <c r="R64" s="163"/>
      <c r="S64" s="163"/>
    </row>
    <row r="65" spans="1:19" ht="15" customHeight="1">
      <c r="A65" s="349" t="s">
        <v>149</v>
      </c>
      <c r="B65" s="360" t="s">
        <v>96</v>
      </c>
      <c r="C65" s="70">
        <f>1012.5+3467+3467</f>
        <v>7946.5</v>
      </c>
      <c r="D65" s="70">
        <f>-1012.5-3467-3467</f>
        <v>-7946.5</v>
      </c>
      <c r="E65" s="70"/>
      <c r="F65" s="70"/>
      <c r="G65" s="70"/>
      <c r="H65" s="70"/>
      <c r="I65" s="70"/>
      <c r="J65" s="173"/>
      <c r="K65" s="173"/>
      <c r="L65" s="70"/>
      <c r="M65" s="173"/>
      <c r="N65" s="173"/>
      <c r="O65" s="173"/>
      <c r="P65" s="162">
        <f>SUM(C65:O65)</f>
        <v>0</v>
      </c>
      <c r="Q65" s="163"/>
      <c r="R65" s="163"/>
      <c r="S65" s="163"/>
    </row>
    <row r="66" spans="1:19" ht="15" customHeight="1">
      <c r="A66" s="175"/>
      <c r="B66" s="360"/>
      <c r="C66" s="70"/>
      <c r="D66" s="70"/>
      <c r="E66" s="70"/>
      <c r="F66" s="70"/>
      <c r="G66" s="70"/>
      <c r="H66" s="70"/>
      <c r="I66" s="70"/>
      <c r="J66" s="173"/>
      <c r="K66" s="173"/>
      <c r="L66" s="70"/>
      <c r="M66" s="173"/>
      <c r="N66" s="173"/>
      <c r="O66" s="173"/>
      <c r="P66" s="162">
        <f>SUM(C66:O66)</f>
        <v>0</v>
      </c>
      <c r="Q66" s="163"/>
      <c r="R66" s="163"/>
      <c r="S66" s="163"/>
    </row>
    <row r="67" spans="1:19" ht="15" customHeight="1">
      <c r="A67" s="175"/>
      <c r="B67" s="360"/>
      <c r="C67" s="70"/>
      <c r="D67" s="70"/>
      <c r="E67" s="70"/>
      <c r="F67" s="70"/>
      <c r="G67" s="70"/>
      <c r="H67" s="70"/>
      <c r="I67" s="70"/>
      <c r="J67" s="173"/>
      <c r="K67" s="173"/>
      <c r="L67" s="70"/>
      <c r="M67" s="173"/>
      <c r="N67" s="173"/>
      <c r="O67" s="173"/>
      <c r="P67" s="162">
        <f>SUM(C67:O67)</f>
        <v>0</v>
      </c>
      <c r="Q67" s="163"/>
      <c r="R67" s="163"/>
      <c r="S67" s="163"/>
    </row>
    <row r="68" spans="1:19" ht="12.75">
      <c r="A68" s="175"/>
      <c r="B68" s="360"/>
      <c r="C68" s="70"/>
      <c r="D68" s="70"/>
      <c r="E68" s="70"/>
      <c r="F68" s="70"/>
      <c r="G68" s="70"/>
      <c r="H68" s="70"/>
      <c r="I68" s="70"/>
      <c r="J68" s="173"/>
      <c r="K68" s="173"/>
      <c r="L68" s="70"/>
      <c r="M68" s="173"/>
      <c r="N68" s="173"/>
      <c r="O68" s="173"/>
      <c r="P68" s="162">
        <f>SUM(C68:O68)</f>
        <v>0</v>
      </c>
      <c r="Q68" s="163"/>
      <c r="R68" s="163"/>
      <c r="S68" s="163"/>
    </row>
    <row r="69" spans="1:19" ht="13.5" thickBot="1">
      <c r="A69" s="194"/>
      <c r="B69" s="198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162">
        <f>SUM(C69:O69)</f>
        <v>0</v>
      </c>
      <c r="Q69" s="163"/>
      <c r="R69" s="163"/>
      <c r="S69" s="163"/>
    </row>
    <row r="70" spans="1:19" ht="15" customHeight="1" thickBot="1">
      <c r="A70" s="348" t="s">
        <v>37</v>
      </c>
      <c r="B70" s="361"/>
      <c r="C70" s="337"/>
      <c r="D70" s="337"/>
      <c r="E70" s="337"/>
      <c r="F70" s="337"/>
      <c r="G70" s="337"/>
      <c r="H70" s="337"/>
      <c r="I70" s="337"/>
      <c r="J70" s="332"/>
      <c r="K70" s="332"/>
      <c r="L70" s="337"/>
      <c r="M70" s="332"/>
      <c r="N70" s="332"/>
      <c r="O70" s="332"/>
      <c r="P70" s="176"/>
      <c r="Q70" s="163"/>
      <c r="R70" s="163"/>
      <c r="S70" s="163"/>
    </row>
    <row r="71" spans="1:19" ht="0.75" customHeight="1">
      <c r="A71" s="65" t="s">
        <v>38</v>
      </c>
      <c r="B71" s="361"/>
      <c r="C71" s="337"/>
      <c r="D71" s="337"/>
      <c r="E71" s="337"/>
      <c r="F71" s="337"/>
      <c r="G71" s="337"/>
      <c r="H71" s="337"/>
      <c r="I71" s="337"/>
      <c r="J71" s="332"/>
      <c r="K71" s="332"/>
      <c r="L71" s="337"/>
      <c r="M71" s="332"/>
      <c r="N71" s="332"/>
      <c r="O71" s="332"/>
      <c r="P71" s="176"/>
      <c r="Q71" s="163"/>
      <c r="R71" s="163"/>
      <c r="S71" s="163"/>
    </row>
    <row r="72" spans="1:19" s="240" customFormat="1" ht="15.75" customHeight="1">
      <c r="A72" s="237" t="s">
        <v>91</v>
      </c>
      <c r="B72" s="659" t="s">
        <v>140</v>
      </c>
      <c r="C72" s="336">
        <f>26673+2000+2000</f>
        <v>30673</v>
      </c>
      <c r="D72" s="336">
        <f>8998+6000+4000</f>
        <v>18998</v>
      </c>
      <c r="E72" s="336">
        <f>16892+2000+3000+1056</f>
        <v>22948</v>
      </c>
      <c r="F72" s="336">
        <f>25990+12000+5920+1000+352</f>
        <v>45262</v>
      </c>
      <c r="G72" s="336">
        <f>6830+0</f>
        <v>6830</v>
      </c>
      <c r="H72" s="336">
        <f>13000+6000</f>
        <v>19000</v>
      </c>
      <c r="I72" s="336">
        <f>9679+2000+2000</f>
        <v>13679</v>
      </c>
      <c r="J72" s="333"/>
      <c r="K72" s="333"/>
      <c r="L72" s="336">
        <v>2000</v>
      </c>
      <c r="M72" s="336"/>
      <c r="N72" s="336">
        <f>-110062-30000-13920-4000-1408</f>
        <v>-159390</v>
      </c>
      <c r="O72" s="333"/>
      <c r="P72" s="238">
        <f aca="true" t="shared" si="2" ref="P72:P97">SUM(C72:O72)</f>
        <v>0</v>
      </c>
      <c r="Q72" s="239"/>
      <c r="R72" s="239"/>
      <c r="S72" s="239"/>
    </row>
    <row r="73" spans="1:19" s="9" customFormat="1" ht="15.75" customHeight="1">
      <c r="A73" s="236" t="s">
        <v>97</v>
      </c>
      <c r="B73" s="436" t="s">
        <v>93</v>
      </c>
      <c r="C73" s="70">
        <v>-2000</v>
      </c>
      <c r="D73" s="70"/>
      <c r="E73" s="70">
        <v>5100</v>
      </c>
      <c r="F73" s="70">
        <v>-5100</v>
      </c>
      <c r="G73" s="70">
        <v>2000</v>
      </c>
      <c r="H73" s="70"/>
      <c r="I73" s="70"/>
      <c r="J73" s="173"/>
      <c r="K73" s="173"/>
      <c r="L73" s="70"/>
      <c r="M73" s="70"/>
      <c r="N73" s="70"/>
      <c r="O73" s="173"/>
      <c r="P73" s="176">
        <f t="shared" si="2"/>
        <v>0</v>
      </c>
      <c r="Q73" s="163"/>
      <c r="R73" s="177"/>
      <c r="S73" s="177"/>
    </row>
    <row r="74" spans="1:20" ht="12.75">
      <c r="A74" s="236" t="s">
        <v>97</v>
      </c>
      <c r="B74" s="436"/>
      <c r="C74" s="70"/>
      <c r="D74" s="70"/>
      <c r="E74" s="70"/>
      <c r="F74" s="70"/>
      <c r="G74" s="70"/>
      <c r="H74" s="70"/>
      <c r="I74" s="70"/>
      <c r="J74" s="173"/>
      <c r="K74" s="173"/>
      <c r="L74" s="70"/>
      <c r="M74" s="70"/>
      <c r="N74" s="70"/>
      <c r="O74" s="173"/>
      <c r="P74" s="176">
        <f t="shared" si="2"/>
        <v>0</v>
      </c>
      <c r="Q74" s="163"/>
      <c r="R74" s="163"/>
      <c r="S74" s="163"/>
      <c r="T74" s="10"/>
    </row>
    <row r="75" spans="1:19" ht="15" customHeight="1">
      <c r="A75" s="13" t="s">
        <v>190</v>
      </c>
      <c r="B75" s="659" t="s">
        <v>140</v>
      </c>
      <c r="C75" s="70"/>
      <c r="D75" s="70">
        <v>8000</v>
      </c>
      <c r="E75" s="70"/>
      <c r="F75" s="70"/>
      <c r="G75" s="70"/>
      <c r="H75" s="70"/>
      <c r="I75" s="70"/>
      <c r="J75" s="173"/>
      <c r="K75" s="173"/>
      <c r="L75" s="70"/>
      <c r="M75" s="70">
        <v>1843</v>
      </c>
      <c r="N75" s="70">
        <f>-8000-1843</f>
        <v>-9843</v>
      </c>
      <c r="O75" s="173"/>
      <c r="P75" s="173">
        <f t="shared" si="2"/>
        <v>0</v>
      </c>
      <c r="Q75" s="163"/>
      <c r="R75" s="163"/>
      <c r="S75" s="163"/>
    </row>
    <row r="76" spans="1:19" ht="14.25" customHeight="1">
      <c r="A76" s="13" t="s">
        <v>142</v>
      </c>
      <c r="B76" s="659" t="s">
        <v>140</v>
      </c>
      <c r="C76" s="70"/>
      <c r="D76" s="70"/>
      <c r="E76" s="70"/>
      <c r="F76" s="70"/>
      <c r="G76" s="337"/>
      <c r="H76" s="337"/>
      <c r="I76" s="337"/>
      <c r="J76" s="332"/>
      <c r="K76" s="332"/>
      <c r="L76" s="337"/>
      <c r="M76" s="337"/>
      <c r="N76" s="337"/>
      <c r="O76" s="332"/>
      <c r="P76" s="173">
        <f t="shared" si="2"/>
        <v>0</v>
      </c>
      <c r="Q76" s="163"/>
      <c r="R76" s="163"/>
      <c r="S76" s="163"/>
    </row>
    <row r="77" spans="1:19" ht="12.75">
      <c r="A77" s="13" t="s">
        <v>143</v>
      </c>
      <c r="B77" s="659" t="s">
        <v>140</v>
      </c>
      <c r="C77" s="70"/>
      <c r="D77" s="70"/>
      <c r="E77" s="70"/>
      <c r="F77" s="70"/>
      <c r="G77" s="70"/>
      <c r="H77" s="70"/>
      <c r="I77" s="346"/>
      <c r="J77" s="70"/>
      <c r="K77" s="70"/>
      <c r="L77" s="70"/>
      <c r="M77" s="70"/>
      <c r="N77" s="173"/>
      <c r="O77" s="70"/>
      <c r="P77" s="173">
        <f t="shared" si="2"/>
        <v>0</v>
      </c>
      <c r="Q77" s="163"/>
      <c r="R77" s="163"/>
      <c r="S77" s="163"/>
    </row>
    <row r="78" spans="1:19" ht="12.75" customHeight="1">
      <c r="A78" s="11" t="s">
        <v>144</v>
      </c>
      <c r="B78" s="659" t="s">
        <v>145</v>
      </c>
      <c r="C78" s="70"/>
      <c r="D78" s="70">
        <f>225+4640</f>
        <v>4865</v>
      </c>
      <c r="E78" s="70">
        <v>3860</v>
      </c>
      <c r="F78" s="70"/>
      <c r="G78" s="70"/>
      <c r="H78" s="70">
        <v>6794</v>
      </c>
      <c r="I78" s="346"/>
      <c r="J78" s="70"/>
      <c r="K78" s="70"/>
      <c r="L78" s="70"/>
      <c r="M78" s="70">
        <f>11600+21085</f>
        <v>32685</v>
      </c>
      <c r="N78" s="70">
        <v>-48204</v>
      </c>
      <c r="O78" s="70"/>
      <c r="P78" s="173">
        <f t="shared" si="2"/>
        <v>0</v>
      </c>
      <c r="Q78" s="163"/>
      <c r="R78" s="163"/>
      <c r="S78" s="163"/>
    </row>
    <row r="79" spans="1:19" ht="12.75" customHeight="1">
      <c r="A79" s="11" t="s">
        <v>208</v>
      </c>
      <c r="B79" s="659" t="s">
        <v>153</v>
      </c>
      <c r="C79" s="70">
        <v>-26041</v>
      </c>
      <c r="D79" s="70">
        <v>-27490</v>
      </c>
      <c r="E79" s="70">
        <v>1841</v>
      </c>
      <c r="F79" s="70">
        <v>21149</v>
      </c>
      <c r="G79" s="70">
        <v>41940</v>
      </c>
      <c r="H79" s="70">
        <v>-13612</v>
      </c>
      <c r="I79" s="346">
        <v>667</v>
      </c>
      <c r="J79" s="173"/>
      <c r="K79" s="70"/>
      <c r="L79" s="70">
        <v>1546</v>
      </c>
      <c r="M79" s="70"/>
      <c r="N79" s="173"/>
      <c r="O79" s="332"/>
      <c r="P79" s="173">
        <f t="shared" si="2"/>
        <v>0</v>
      </c>
      <c r="Q79" s="163"/>
      <c r="R79" s="163"/>
      <c r="S79" s="163"/>
    </row>
    <row r="80" spans="1:19" ht="13.5" customHeight="1">
      <c r="A80" s="11" t="s">
        <v>40</v>
      </c>
      <c r="B80" s="659" t="s">
        <v>141</v>
      </c>
      <c r="C80" s="70"/>
      <c r="D80" s="70"/>
      <c r="E80" s="70">
        <v>-39805</v>
      </c>
      <c r="F80" s="70"/>
      <c r="G80" s="70"/>
      <c r="H80" s="70"/>
      <c r="I80" s="346"/>
      <c r="J80" s="173"/>
      <c r="K80" s="173"/>
      <c r="L80" s="70">
        <v>39805</v>
      </c>
      <c r="M80" s="173"/>
      <c r="N80" s="173"/>
      <c r="O80" s="332"/>
      <c r="P80" s="173">
        <f t="shared" si="2"/>
        <v>0</v>
      </c>
      <c r="Q80" s="163"/>
      <c r="R80" s="163"/>
      <c r="S80" s="163"/>
    </row>
    <row r="81" spans="1:19" ht="15.75" customHeight="1">
      <c r="A81" s="11" t="s">
        <v>41</v>
      </c>
      <c r="B81" s="659" t="s">
        <v>141</v>
      </c>
      <c r="C81" s="70"/>
      <c r="D81" s="70"/>
      <c r="E81" s="70">
        <v>-14011</v>
      </c>
      <c r="F81" s="70"/>
      <c r="G81" s="70"/>
      <c r="H81" s="346"/>
      <c r="I81" s="70"/>
      <c r="J81" s="344"/>
      <c r="K81" s="70"/>
      <c r="L81" s="70">
        <v>14011</v>
      </c>
      <c r="M81" s="70"/>
      <c r="N81" s="70"/>
      <c r="O81" s="70"/>
      <c r="P81" s="173">
        <f t="shared" si="2"/>
        <v>0</v>
      </c>
      <c r="Q81" s="163"/>
      <c r="R81" s="163"/>
      <c r="S81" s="163"/>
    </row>
    <row r="82" spans="1:19" ht="15.75" customHeight="1">
      <c r="A82" s="11" t="s">
        <v>40</v>
      </c>
      <c r="B82" s="659" t="s">
        <v>141</v>
      </c>
      <c r="C82" s="70"/>
      <c r="D82" s="70"/>
      <c r="E82" s="70"/>
      <c r="F82" s="70">
        <v>-19895</v>
      </c>
      <c r="G82" s="70"/>
      <c r="H82" s="346"/>
      <c r="I82" s="70"/>
      <c r="J82" s="344"/>
      <c r="K82" s="70"/>
      <c r="L82" s="70">
        <v>19895</v>
      </c>
      <c r="M82" s="70"/>
      <c r="N82" s="70"/>
      <c r="O82" s="70"/>
      <c r="P82" s="173">
        <f t="shared" si="2"/>
        <v>0</v>
      </c>
      <c r="Q82" s="163"/>
      <c r="R82" s="163"/>
      <c r="S82" s="163"/>
    </row>
    <row r="83" spans="1:19" ht="15.75" customHeight="1">
      <c r="A83" s="11" t="s">
        <v>41</v>
      </c>
      <c r="B83" s="659" t="s">
        <v>141</v>
      </c>
      <c r="C83" s="70"/>
      <c r="D83" s="70"/>
      <c r="E83" s="70"/>
      <c r="F83" s="70">
        <v>-7003</v>
      </c>
      <c r="G83" s="70"/>
      <c r="H83" s="346"/>
      <c r="I83" s="70"/>
      <c r="J83" s="344"/>
      <c r="K83" s="70"/>
      <c r="L83" s="70">
        <v>7003</v>
      </c>
      <c r="M83" s="70"/>
      <c r="N83" s="70"/>
      <c r="O83" s="70"/>
      <c r="P83" s="173">
        <f t="shared" si="2"/>
        <v>0</v>
      </c>
      <c r="Q83" s="163"/>
      <c r="R83" s="163"/>
      <c r="S83" s="163"/>
    </row>
    <row r="84" spans="1:19" ht="15.75" customHeight="1">
      <c r="A84" s="11" t="s">
        <v>40</v>
      </c>
      <c r="B84" s="659" t="s">
        <v>141</v>
      </c>
      <c r="C84" s="70">
        <v>-14290</v>
      </c>
      <c r="D84" s="70"/>
      <c r="E84" s="70"/>
      <c r="F84" s="70"/>
      <c r="G84" s="70"/>
      <c r="H84" s="346"/>
      <c r="I84" s="70"/>
      <c r="J84" s="344"/>
      <c r="K84" s="70"/>
      <c r="L84" s="70">
        <v>14290</v>
      </c>
      <c r="M84" s="70"/>
      <c r="N84" s="70"/>
      <c r="O84" s="70"/>
      <c r="P84" s="173">
        <f t="shared" si="2"/>
        <v>0</v>
      </c>
      <c r="Q84" s="163"/>
      <c r="R84" s="163"/>
      <c r="S84" s="163"/>
    </row>
    <row r="85" spans="1:19" ht="15.75" customHeight="1">
      <c r="A85" s="11" t="s">
        <v>41</v>
      </c>
      <c r="B85" s="659" t="s">
        <v>141</v>
      </c>
      <c r="C85" s="70">
        <v>-5030</v>
      </c>
      <c r="D85" s="70"/>
      <c r="E85" s="70"/>
      <c r="F85" s="70"/>
      <c r="G85" s="70"/>
      <c r="H85" s="346"/>
      <c r="I85" s="70"/>
      <c r="J85" s="344"/>
      <c r="K85" s="70"/>
      <c r="L85" s="70">
        <v>5030</v>
      </c>
      <c r="M85" s="70"/>
      <c r="N85" s="70"/>
      <c r="O85" s="70"/>
      <c r="P85" s="173">
        <f t="shared" si="2"/>
        <v>0</v>
      </c>
      <c r="Q85" s="163"/>
      <c r="R85" s="163"/>
      <c r="S85" s="163"/>
    </row>
    <row r="86" spans="1:19" ht="16.5" customHeight="1">
      <c r="A86" s="11" t="s">
        <v>40</v>
      </c>
      <c r="B86" s="659" t="s">
        <v>141</v>
      </c>
      <c r="C86" s="70"/>
      <c r="D86" s="70"/>
      <c r="E86" s="70"/>
      <c r="F86" s="70">
        <v>-26408</v>
      </c>
      <c r="G86" s="70"/>
      <c r="H86" s="346"/>
      <c r="I86" s="70"/>
      <c r="J86" s="344"/>
      <c r="K86" s="70"/>
      <c r="L86" s="70">
        <v>26408</v>
      </c>
      <c r="M86" s="70"/>
      <c r="N86" s="70"/>
      <c r="O86" s="70"/>
      <c r="P86" s="173">
        <f t="shared" si="2"/>
        <v>0</v>
      </c>
      <c r="Q86" s="163"/>
      <c r="R86" s="163"/>
      <c r="S86" s="163"/>
    </row>
    <row r="87" spans="1:19" ht="15.75" customHeight="1">
      <c r="A87" s="11" t="s">
        <v>41</v>
      </c>
      <c r="B87" s="659" t="s">
        <v>141</v>
      </c>
      <c r="C87" s="70"/>
      <c r="D87" s="70"/>
      <c r="E87" s="70"/>
      <c r="F87" s="70">
        <v>-9295</v>
      </c>
      <c r="G87" s="70"/>
      <c r="H87" s="346"/>
      <c r="I87" s="70"/>
      <c r="J87" s="344"/>
      <c r="K87" s="70"/>
      <c r="L87" s="70">
        <v>9295</v>
      </c>
      <c r="M87" s="70"/>
      <c r="N87" s="70"/>
      <c r="O87" s="70"/>
      <c r="P87" s="173">
        <f t="shared" si="2"/>
        <v>0</v>
      </c>
      <c r="Q87" s="163"/>
      <c r="R87" s="163"/>
      <c r="S87" s="163"/>
    </row>
    <row r="88" spans="1:19" ht="15.75" customHeight="1">
      <c r="A88" s="11" t="s">
        <v>40</v>
      </c>
      <c r="B88" s="659" t="s">
        <v>141</v>
      </c>
      <c r="C88" s="70">
        <v>-5314</v>
      </c>
      <c r="D88" s="70"/>
      <c r="E88" s="70">
        <v>5314</v>
      </c>
      <c r="F88" s="70"/>
      <c r="G88" s="70"/>
      <c r="H88" s="346"/>
      <c r="I88" s="70"/>
      <c r="J88" s="344"/>
      <c r="K88" s="70"/>
      <c r="L88" s="70"/>
      <c r="M88" s="70"/>
      <c r="N88" s="70"/>
      <c r="O88" s="70"/>
      <c r="P88" s="173">
        <f t="shared" si="2"/>
        <v>0</v>
      </c>
      <c r="Q88" s="163"/>
      <c r="R88" s="163"/>
      <c r="S88" s="163"/>
    </row>
    <row r="89" spans="1:19" ht="15.75" customHeight="1">
      <c r="A89" s="11" t="s">
        <v>41</v>
      </c>
      <c r="B89" s="659" t="s">
        <v>141</v>
      </c>
      <c r="C89" s="70">
        <v>-1870</v>
      </c>
      <c r="D89" s="70"/>
      <c r="E89" s="70">
        <v>1870</v>
      </c>
      <c r="F89" s="70"/>
      <c r="G89" s="70"/>
      <c r="H89" s="346"/>
      <c r="I89" s="70"/>
      <c r="J89" s="344"/>
      <c r="K89" s="70"/>
      <c r="L89" s="70"/>
      <c r="M89" s="70"/>
      <c r="N89" s="70"/>
      <c r="O89" s="70"/>
      <c r="P89" s="173">
        <f t="shared" si="2"/>
        <v>0</v>
      </c>
      <c r="Q89" s="163"/>
      <c r="R89" s="163"/>
      <c r="S89" s="163"/>
    </row>
    <row r="90" spans="1:19" ht="15.75" customHeight="1">
      <c r="A90" s="11" t="s">
        <v>40</v>
      </c>
      <c r="B90" s="659" t="s">
        <v>141</v>
      </c>
      <c r="C90" s="70">
        <v>4700</v>
      </c>
      <c r="D90" s="70">
        <v>-4700</v>
      </c>
      <c r="E90" s="70"/>
      <c r="F90" s="70"/>
      <c r="G90" s="70"/>
      <c r="H90" s="346"/>
      <c r="I90" s="70"/>
      <c r="J90" s="344"/>
      <c r="K90" s="70"/>
      <c r="L90" s="70"/>
      <c r="M90" s="70"/>
      <c r="N90" s="70"/>
      <c r="O90" s="70"/>
      <c r="P90" s="173">
        <f t="shared" si="2"/>
        <v>0</v>
      </c>
      <c r="Q90" s="163"/>
      <c r="R90" s="163"/>
      <c r="S90" s="163"/>
    </row>
    <row r="91" spans="1:19" ht="15.75" customHeight="1">
      <c r="A91" s="11" t="s">
        <v>41</v>
      </c>
      <c r="B91" s="659" t="s">
        <v>141</v>
      </c>
      <c r="C91" s="70">
        <v>1655</v>
      </c>
      <c r="D91" s="70">
        <v>-1655</v>
      </c>
      <c r="E91" s="70"/>
      <c r="F91" s="70"/>
      <c r="G91" s="70"/>
      <c r="H91" s="346"/>
      <c r="I91" s="70"/>
      <c r="J91" s="344"/>
      <c r="K91" s="70"/>
      <c r="L91" s="70"/>
      <c r="M91" s="70"/>
      <c r="N91" s="70"/>
      <c r="O91" s="70"/>
      <c r="P91" s="173">
        <f t="shared" si="2"/>
        <v>0</v>
      </c>
      <c r="Q91" s="163"/>
      <c r="R91" s="163"/>
      <c r="S91" s="163"/>
    </row>
    <row r="92" spans="1:19" s="2" customFormat="1" ht="15.75" customHeight="1">
      <c r="A92" s="11" t="s">
        <v>40</v>
      </c>
      <c r="B92" s="659" t="s">
        <v>141</v>
      </c>
      <c r="C92" s="70">
        <v>-17969</v>
      </c>
      <c r="D92" s="70"/>
      <c r="E92" s="70"/>
      <c r="F92" s="336"/>
      <c r="G92" s="336">
        <v>17969</v>
      </c>
      <c r="H92" s="346"/>
      <c r="I92" s="70"/>
      <c r="J92" s="70"/>
      <c r="K92" s="70"/>
      <c r="L92" s="70"/>
      <c r="M92" s="70"/>
      <c r="N92" s="70"/>
      <c r="O92" s="70"/>
      <c r="P92" s="173">
        <f t="shared" si="2"/>
        <v>0</v>
      </c>
      <c r="Q92" s="163"/>
      <c r="R92" s="163"/>
      <c r="S92" s="163"/>
    </row>
    <row r="93" spans="1:19" s="2" customFormat="1" ht="15.75" customHeight="1">
      <c r="A93" s="11" t="s">
        <v>41</v>
      </c>
      <c r="B93" s="659" t="s">
        <v>141</v>
      </c>
      <c r="C93" s="70">
        <v>-6325</v>
      </c>
      <c r="D93" s="70"/>
      <c r="E93" s="70"/>
      <c r="F93" s="336"/>
      <c r="G93" s="336">
        <v>6325</v>
      </c>
      <c r="H93" s="346"/>
      <c r="I93" s="70"/>
      <c r="J93" s="70"/>
      <c r="K93" s="70"/>
      <c r="L93" s="70"/>
      <c r="M93" s="70"/>
      <c r="N93" s="70"/>
      <c r="O93" s="70"/>
      <c r="P93" s="173">
        <f t="shared" si="2"/>
        <v>0</v>
      </c>
      <c r="Q93" s="163"/>
      <c r="R93" s="163"/>
      <c r="S93" s="163"/>
    </row>
    <row r="94" spans="1:19" ht="15.75" customHeight="1">
      <c r="A94" s="11" t="s">
        <v>40</v>
      </c>
      <c r="B94" s="659" t="s">
        <v>141</v>
      </c>
      <c r="C94" s="70">
        <v>1087</v>
      </c>
      <c r="D94" s="70"/>
      <c r="E94" s="70"/>
      <c r="F94" s="70">
        <v>-1087</v>
      </c>
      <c r="G94" s="70"/>
      <c r="H94" s="346"/>
      <c r="I94" s="70"/>
      <c r="J94" s="70"/>
      <c r="K94" s="70"/>
      <c r="L94" s="70"/>
      <c r="M94" s="70"/>
      <c r="N94" s="70"/>
      <c r="O94" s="70"/>
      <c r="P94" s="173">
        <f t="shared" si="2"/>
        <v>0</v>
      </c>
      <c r="Q94" s="163"/>
      <c r="R94" s="163"/>
      <c r="S94" s="163"/>
    </row>
    <row r="95" spans="1:19" ht="15.75" customHeight="1">
      <c r="A95" s="11" t="s">
        <v>41</v>
      </c>
      <c r="B95" s="659" t="s">
        <v>141</v>
      </c>
      <c r="C95" s="70">
        <v>383</v>
      </c>
      <c r="D95" s="70"/>
      <c r="E95" s="70"/>
      <c r="F95" s="70">
        <v>-383</v>
      </c>
      <c r="G95" s="70"/>
      <c r="H95" s="346"/>
      <c r="I95" s="70"/>
      <c r="J95" s="70"/>
      <c r="K95" s="70"/>
      <c r="L95" s="70"/>
      <c r="M95" s="70"/>
      <c r="N95" s="70"/>
      <c r="O95" s="70"/>
      <c r="P95" s="173">
        <f t="shared" si="2"/>
        <v>0</v>
      </c>
      <c r="Q95" s="163"/>
      <c r="R95" s="163"/>
      <c r="S95" s="163"/>
    </row>
    <row r="96" spans="1:19" ht="15.75" customHeight="1">
      <c r="A96" s="11" t="s">
        <v>40</v>
      </c>
      <c r="B96" s="659" t="s">
        <v>141</v>
      </c>
      <c r="C96" s="70"/>
      <c r="D96" s="70">
        <v>14373</v>
      </c>
      <c r="E96" s="70"/>
      <c r="F96" s="70"/>
      <c r="G96" s="70">
        <v>-14373</v>
      </c>
      <c r="H96" s="346"/>
      <c r="I96" s="70"/>
      <c r="J96" s="70"/>
      <c r="K96" s="70"/>
      <c r="L96" s="70"/>
      <c r="M96" s="70"/>
      <c r="N96" s="70"/>
      <c r="O96" s="70"/>
      <c r="P96" s="173">
        <f t="shared" si="2"/>
        <v>0</v>
      </c>
      <c r="Q96" s="163"/>
      <c r="R96" s="163"/>
      <c r="S96" s="163"/>
    </row>
    <row r="97" spans="1:19" ht="15.75" customHeight="1">
      <c r="A97" s="11" t="s">
        <v>41</v>
      </c>
      <c r="B97" s="659" t="s">
        <v>141</v>
      </c>
      <c r="C97" s="70"/>
      <c r="D97" s="70">
        <v>5059</v>
      </c>
      <c r="E97" s="70"/>
      <c r="F97" s="70"/>
      <c r="G97" s="70">
        <v>-5059</v>
      </c>
      <c r="H97" s="346"/>
      <c r="I97" s="70"/>
      <c r="J97" s="70"/>
      <c r="K97" s="70"/>
      <c r="L97" s="70"/>
      <c r="M97" s="70"/>
      <c r="N97" s="70"/>
      <c r="O97" s="70"/>
      <c r="P97" s="173">
        <f t="shared" si="2"/>
        <v>0</v>
      </c>
      <c r="Q97" s="163"/>
      <c r="R97" s="163"/>
      <c r="S97" s="163"/>
    </row>
    <row r="98" spans="1:19" ht="15.75" customHeight="1">
      <c r="A98" s="11" t="s">
        <v>40</v>
      </c>
      <c r="B98" s="659" t="s">
        <v>141</v>
      </c>
      <c r="C98" s="70"/>
      <c r="D98" s="70"/>
      <c r="E98" s="70"/>
      <c r="F98" s="70">
        <v>-74</v>
      </c>
      <c r="G98" s="70">
        <v>74</v>
      </c>
      <c r="H98" s="346"/>
      <c r="I98" s="70"/>
      <c r="J98" s="70"/>
      <c r="K98" s="70"/>
      <c r="L98" s="70"/>
      <c r="M98" s="70"/>
      <c r="N98" s="70"/>
      <c r="O98" s="70"/>
      <c r="P98" s="173"/>
      <c r="Q98" s="163"/>
      <c r="R98" s="163"/>
      <c r="S98" s="163"/>
    </row>
    <row r="99" spans="1:19" ht="15.75" customHeight="1">
      <c r="A99" s="11" t="s">
        <v>41</v>
      </c>
      <c r="B99" s="659" t="s">
        <v>141</v>
      </c>
      <c r="C99" s="70"/>
      <c r="D99" s="70"/>
      <c r="E99" s="70"/>
      <c r="F99" s="70">
        <v>-26</v>
      </c>
      <c r="G99" s="70">
        <v>26</v>
      </c>
      <c r="H99" s="346"/>
      <c r="I99" s="70"/>
      <c r="J99" s="70"/>
      <c r="K99" s="70"/>
      <c r="L99" s="70"/>
      <c r="M99" s="70"/>
      <c r="N99" s="70"/>
      <c r="O99" s="70"/>
      <c r="P99" s="173"/>
      <c r="Q99" s="163"/>
      <c r="R99" s="163"/>
      <c r="S99" s="163"/>
    </row>
    <row r="100" spans="1:19" ht="15.75" customHeight="1">
      <c r="A100" s="11" t="s">
        <v>40</v>
      </c>
      <c r="B100" s="659" t="s">
        <v>141</v>
      </c>
      <c r="C100" s="70"/>
      <c r="D100" s="70"/>
      <c r="E100" s="70"/>
      <c r="F100" s="70"/>
      <c r="G100" s="70">
        <v>-963</v>
      </c>
      <c r="H100" s="346"/>
      <c r="I100" s="70"/>
      <c r="J100" s="70"/>
      <c r="K100" s="70"/>
      <c r="L100" s="70">
        <v>963</v>
      </c>
      <c r="M100" s="70"/>
      <c r="N100" s="70"/>
      <c r="O100" s="70"/>
      <c r="P100" s="173"/>
      <c r="Q100" s="163"/>
      <c r="R100" s="163"/>
      <c r="S100" s="163"/>
    </row>
    <row r="101" spans="1:19" ht="15.75" customHeight="1">
      <c r="A101" s="11" t="s">
        <v>41</v>
      </c>
      <c r="B101" s="659" t="s">
        <v>141</v>
      </c>
      <c r="C101" s="70"/>
      <c r="D101" s="70"/>
      <c r="E101" s="70"/>
      <c r="F101" s="70"/>
      <c r="G101" s="70">
        <v>-337</v>
      </c>
      <c r="H101" s="346"/>
      <c r="I101" s="70"/>
      <c r="J101" s="70"/>
      <c r="K101" s="70"/>
      <c r="L101" s="70">
        <v>337</v>
      </c>
      <c r="M101" s="70"/>
      <c r="N101" s="70"/>
      <c r="O101" s="70"/>
      <c r="P101" s="173"/>
      <c r="Q101" s="163"/>
      <c r="R101" s="163"/>
      <c r="S101" s="163"/>
    </row>
    <row r="102" spans="1:19" ht="15.75" customHeight="1">
      <c r="A102" s="11" t="s">
        <v>40</v>
      </c>
      <c r="B102" s="659" t="s">
        <v>141</v>
      </c>
      <c r="C102" s="70"/>
      <c r="D102" s="70">
        <v>-1212</v>
      </c>
      <c r="E102" s="70"/>
      <c r="F102" s="70"/>
      <c r="G102" s="70"/>
      <c r="H102" s="346"/>
      <c r="I102" s="70"/>
      <c r="J102" s="70"/>
      <c r="K102" s="70"/>
      <c r="L102" s="70">
        <v>1212</v>
      </c>
      <c r="M102" s="70"/>
      <c r="N102" s="70"/>
      <c r="O102" s="70"/>
      <c r="P102" s="173"/>
      <c r="Q102" s="163"/>
      <c r="R102" s="163"/>
      <c r="S102" s="163"/>
    </row>
    <row r="103" spans="1:19" ht="15.75" customHeight="1">
      <c r="A103" s="11" t="s">
        <v>41</v>
      </c>
      <c r="B103" s="659" t="s">
        <v>141</v>
      </c>
      <c r="C103" s="70"/>
      <c r="D103" s="70">
        <v>-426</v>
      </c>
      <c r="E103" s="70"/>
      <c r="F103" s="70"/>
      <c r="G103" s="70"/>
      <c r="H103" s="346"/>
      <c r="I103" s="70"/>
      <c r="J103" s="70"/>
      <c r="K103" s="70"/>
      <c r="L103" s="70">
        <v>426</v>
      </c>
      <c r="M103" s="70"/>
      <c r="N103" s="70"/>
      <c r="O103" s="70"/>
      <c r="P103" s="173"/>
      <c r="Q103" s="163"/>
      <c r="R103" s="163"/>
      <c r="S103" s="163"/>
    </row>
    <row r="104" spans="1:19" ht="15.75" customHeight="1">
      <c r="A104" s="11" t="s">
        <v>40</v>
      </c>
      <c r="B104" s="659" t="s">
        <v>141</v>
      </c>
      <c r="C104" s="70">
        <v>10692</v>
      </c>
      <c r="D104" s="70"/>
      <c r="E104" s="70"/>
      <c r="F104" s="70"/>
      <c r="G104" s="70"/>
      <c r="H104" s="346"/>
      <c r="I104" s="70">
        <v>-10692</v>
      </c>
      <c r="J104" s="70"/>
      <c r="K104" s="70"/>
      <c r="L104" s="70"/>
      <c r="M104" s="70"/>
      <c r="N104" s="70"/>
      <c r="O104" s="70"/>
      <c r="P104" s="173"/>
      <c r="Q104" s="163"/>
      <c r="R104" s="163"/>
      <c r="S104" s="163"/>
    </row>
    <row r="105" spans="1:19" ht="15.75" customHeight="1">
      <c r="A105" s="11" t="s">
        <v>41</v>
      </c>
      <c r="B105" s="659" t="s">
        <v>141</v>
      </c>
      <c r="C105" s="70">
        <v>3763</v>
      </c>
      <c r="D105" s="70"/>
      <c r="E105" s="70"/>
      <c r="F105" s="70"/>
      <c r="G105" s="70"/>
      <c r="H105" s="346"/>
      <c r="I105" s="70">
        <v>-3763</v>
      </c>
      <c r="J105" s="70"/>
      <c r="K105" s="70"/>
      <c r="L105" s="70"/>
      <c r="M105" s="70"/>
      <c r="N105" s="70"/>
      <c r="O105" s="70"/>
      <c r="P105" s="173"/>
      <c r="Q105" s="163"/>
      <c r="R105" s="163"/>
      <c r="S105" s="163"/>
    </row>
    <row r="106" spans="1:19" ht="13.5" customHeight="1">
      <c r="A106" s="11" t="s">
        <v>179</v>
      </c>
      <c r="B106" s="659" t="s">
        <v>141</v>
      </c>
      <c r="C106" s="70">
        <v>4046</v>
      </c>
      <c r="D106" s="70">
        <v>0</v>
      </c>
      <c r="E106" s="70">
        <v>2477</v>
      </c>
      <c r="F106" s="70">
        <v>1587</v>
      </c>
      <c r="G106" s="70">
        <v>1045</v>
      </c>
      <c r="H106" s="346">
        <v>1045</v>
      </c>
      <c r="I106" s="70">
        <v>0</v>
      </c>
      <c r="J106" s="70"/>
      <c r="K106" s="70"/>
      <c r="L106" s="70">
        <v>0</v>
      </c>
      <c r="M106" s="70"/>
      <c r="N106" s="70"/>
      <c r="O106" s="70">
        <v>-10200</v>
      </c>
      <c r="P106" s="173">
        <f aca="true" t="shared" si="3" ref="P106:P152">SUM(C106:O106)</f>
        <v>0</v>
      </c>
      <c r="Q106" s="163"/>
      <c r="R106" s="163"/>
      <c r="S106" s="163"/>
    </row>
    <row r="107" spans="1:19" ht="15.75" customHeight="1">
      <c r="A107" s="11" t="s">
        <v>188</v>
      </c>
      <c r="B107" s="659" t="s">
        <v>189</v>
      </c>
      <c r="C107" s="70"/>
      <c r="D107" s="70"/>
      <c r="E107" s="70"/>
      <c r="F107" s="70"/>
      <c r="G107" s="70"/>
      <c r="H107" s="346">
        <v>-95000</v>
      </c>
      <c r="I107" s="70"/>
      <c r="J107" s="70"/>
      <c r="K107" s="70"/>
      <c r="L107" s="70"/>
      <c r="M107" s="70">
        <v>95000</v>
      </c>
      <c r="N107" s="70"/>
      <c r="O107" s="70"/>
      <c r="P107" s="173">
        <f t="shared" si="3"/>
        <v>0</v>
      </c>
      <c r="Q107" s="163"/>
      <c r="R107" s="163"/>
      <c r="S107" s="163"/>
    </row>
    <row r="108" spans="1:19" ht="25.5">
      <c r="A108" s="11" t="s">
        <v>154</v>
      </c>
      <c r="B108" s="659" t="s">
        <v>153</v>
      </c>
      <c r="C108" s="70"/>
      <c r="D108" s="70"/>
      <c r="E108" s="70"/>
      <c r="F108" s="70"/>
      <c r="G108" s="70"/>
      <c r="H108" s="346"/>
      <c r="I108" s="70"/>
      <c r="J108" s="70"/>
      <c r="K108" s="70"/>
      <c r="L108" s="70"/>
      <c r="M108" s="70" t="s">
        <v>187</v>
      </c>
      <c r="N108" s="70"/>
      <c r="O108" s="70"/>
      <c r="P108" s="173">
        <f t="shared" si="3"/>
        <v>0</v>
      </c>
      <c r="Q108" s="163"/>
      <c r="R108" s="163"/>
      <c r="S108" s="163"/>
    </row>
    <row r="109" spans="1:19" ht="25.5">
      <c r="A109" s="11" t="s">
        <v>197</v>
      </c>
      <c r="B109" s="659" t="s">
        <v>140</v>
      </c>
      <c r="C109" s="70">
        <v>75306</v>
      </c>
      <c r="D109" s="70">
        <v>34331</v>
      </c>
      <c r="E109" s="70">
        <v>49835</v>
      </c>
      <c r="F109" s="70">
        <v>48728</v>
      </c>
      <c r="G109" s="70">
        <v>26579</v>
      </c>
      <c r="H109" s="346">
        <v>43744</v>
      </c>
      <c r="I109" s="70">
        <v>17719</v>
      </c>
      <c r="J109" s="70"/>
      <c r="K109" s="70"/>
      <c r="L109" s="70">
        <v>6091</v>
      </c>
      <c r="M109" s="70"/>
      <c r="N109" s="70"/>
      <c r="O109" s="70">
        <v>-302333</v>
      </c>
      <c r="P109" s="173">
        <f t="shared" si="3"/>
        <v>0</v>
      </c>
      <c r="Q109" s="163"/>
      <c r="R109" s="163"/>
      <c r="S109" s="163"/>
    </row>
    <row r="110" spans="1:19" ht="15.75" customHeight="1">
      <c r="A110" s="11" t="s">
        <v>195</v>
      </c>
      <c r="B110" s="660" t="s">
        <v>140</v>
      </c>
      <c r="C110" s="531"/>
      <c r="D110" s="531"/>
      <c r="E110" s="531"/>
      <c r="F110" s="70"/>
      <c r="G110" s="70"/>
      <c r="H110" s="70"/>
      <c r="I110" s="70"/>
      <c r="J110" s="70"/>
      <c r="K110" s="15"/>
      <c r="L110" s="15"/>
      <c r="M110" s="15">
        <v>62500</v>
      </c>
      <c r="N110" s="70"/>
      <c r="O110" s="70">
        <v>-62500</v>
      </c>
      <c r="P110" s="173">
        <f t="shared" si="3"/>
        <v>0</v>
      </c>
      <c r="Q110" s="163"/>
      <c r="R110" s="163"/>
      <c r="S110" s="163"/>
    </row>
    <row r="111" spans="1:19" s="2" customFormat="1" ht="12" customHeight="1">
      <c r="A111" s="11" t="s">
        <v>196</v>
      </c>
      <c r="B111" s="660" t="s">
        <v>140</v>
      </c>
      <c r="C111" s="15"/>
      <c r="D111" s="15"/>
      <c r="E111" s="70"/>
      <c r="F111" s="70"/>
      <c r="G111" s="70"/>
      <c r="H111" s="346"/>
      <c r="I111" s="70"/>
      <c r="J111" s="70"/>
      <c r="K111" s="70"/>
      <c r="L111" s="70"/>
      <c r="M111" s="70">
        <v>62500</v>
      </c>
      <c r="N111" s="70"/>
      <c r="O111" s="70">
        <v>-62500</v>
      </c>
      <c r="P111" s="173">
        <f t="shared" si="3"/>
        <v>0</v>
      </c>
      <c r="Q111" s="163"/>
      <c r="R111" s="163"/>
      <c r="S111" s="163"/>
    </row>
    <row r="112" spans="1:19" s="12" customFormat="1" ht="12.75" customHeight="1">
      <c r="A112" s="11" t="s">
        <v>150</v>
      </c>
      <c r="B112" s="659" t="s">
        <v>140</v>
      </c>
      <c r="C112" s="15">
        <f>5255+171</f>
        <v>5426</v>
      </c>
      <c r="D112" s="15">
        <v>1094</v>
      </c>
      <c r="E112" s="15">
        <f>11885+48+1135</f>
        <v>13068</v>
      </c>
      <c r="F112" s="15">
        <v>5255</v>
      </c>
      <c r="G112" s="15">
        <v>5449</v>
      </c>
      <c r="H112" s="15">
        <f>9884+48</f>
        <v>9932</v>
      </c>
      <c r="I112" s="15"/>
      <c r="J112" s="15"/>
      <c r="K112" s="15"/>
      <c r="L112" s="15"/>
      <c r="M112" s="15"/>
      <c r="N112" s="15">
        <f>-15959-11885-9884-48-171-48-2229</f>
        <v>-40224</v>
      </c>
      <c r="O112" s="331"/>
      <c r="P112" s="519">
        <f t="shared" si="3"/>
        <v>0</v>
      </c>
      <c r="Q112" s="163"/>
      <c r="R112" s="163"/>
      <c r="S112" s="163"/>
    </row>
    <row r="113" spans="1:19" s="12" customFormat="1" ht="12.75" customHeight="1">
      <c r="A113" s="11" t="s">
        <v>151</v>
      </c>
      <c r="B113" s="659" t="s">
        <v>140</v>
      </c>
      <c r="C113" s="15">
        <f>1850+61</f>
        <v>1911</v>
      </c>
      <c r="D113" s="15">
        <v>385</v>
      </c>
      <c r="E113" s="15">
        <f>4184+17+400</f>
        <v>4601</v>
      </c>
      <c r="F113" s="15">
        <v>1850</v>
      </c>
      <c r="G113" s="15">
        <v>1918</v>
      </c>
      <c r="H113" s="15">
        <f>3479+17</f>
        <v>3496</v>
      </c>
      <c r="I113" s="15"/>
      <c r="J113" s="15"/>
      <c r="K113" s="15"/>
      <c r="L113" s="15"/>
      <c r="M113" s="15"/>
      <c r="N113" s="15">
        <f>-5618-4184-3479-17-61-17-785</f>
        <v>-14161</v>
      </c>
      <c r="O113" s="331"/>
      <c r="P113" s="520">
        <f t="shared" si="3"/>
        <v>0</v>
      </c>
      <c r="Q113" s="163"/>
      <c r="R113" s="163"/>
      <c r="S113" s="163"/>
    </row>
    <row r="114" spans="1:19" s="12" customFormat="1" ht="12.75" customHeight="1">
      <c r="A114" s="11" t="s">
        <v>152</v>
      </c>
      <c r="B114" s="659" t="s">
        <v>140</v>
      </c>
      <c r="C114" s="15">
        <f>526+18</f>
        <v>544</v>
      </c>
      <c r="D114" s="15">
        <v>110</v>
      </c>
      <c r="E114" s="15">
        <f>1189+5+114</f>
        <v>1308</v>
      </c>
      <c r="F114" s="15">
        <v>526</v>
      </c>
      <c r="G114" s="15">
        <v>545</v>
      </c>
      <c r="H114" s="15">
        <f>989+5</f>
        <v>994</v>
      </c>
      <c r="I114" s="15"/>
      <c r="J114" s="15"/>
      <c r="K114" s="15"/>
      <c r="L114" s="15"/>
      <c r="M114" s="15"/>
      <c r="N114" s="15">
        <f>-1597-1189-989-5-18-5-224</f>
        <v>-4027</v>
      </c>
      <c r="O114" s="331"/>
      <c r="P114" s="520">
        <f t="shared" si="3"/>
        <v>0</v>
      </c>
      <c r="Q114" s="163"/>
      <c r="R114" s="163"/>
      <c r="S114" s="163"/>
    </row>
    <row r="115" spans="1:19" s="12" customFormat="1" ht="12.75" customHeight="1">
      <c r="A115" s="11" t="s">
        <v>147</v>
      </c>
      <c r="B115" s="659" t="s">
        <v>141</v>
      </c>
      <c r="C115" s="15"/>
      <c r="D115" s="15">
        <v>147500</v>
      </c>
      <c r="E115" s="15">
        <v>271500</v>
      </c>
      <c r="F115" s="336">
        <f>95774+2500-95774</f>
        <v>2500</v>
      </c>
      <c r="G115" s="15"/>
      <c r="H115" s="15"/>
      <c r="I115" s="15"/>
      <c r="J115" s="15"/>
      <c r="K115" s="15"/>
      <c r="L115" s="15"/>
      <c r="M115" s="15">
        <f>271500+145000+17500-271500+95774</f>
        <v>258274</v>
      </c>
      <c r="N115" s="15"/>
      <c r="O115" s="331">
        <v>-679774</v>
      </c>
      <c r="P115" s="520">
        <f t="shared" si="3"/>
        <v>0</v>
      </c>
      <c r="Q115" s="163"/>
      <c r="R115" s="163"/>
      <c r="S115" s="163"/>
    </row>
    <row r="116" spans="1:19" s="12" customFormat="1" ht="12.75" customHeight="1">
      <c r="A116" s="11" t="s">
        <v>147</v>
      </c>
      <c r="B116" s="659" t="s">
        <v>140</v>
      </c>
      <c r="C116" s="15"/>
      <c r="D116" s="15">
        <v>147500</v>
      </c>
      <c r="E116" s="15">
        <v>271500</v>
      </c>
      <c r="F116" s="336">
        <f>95774+2500-95774</f>
        <v>2500</v>
      </c>
      <c r="G116" s="15"/>
      <c r="H116" s="15"/>
      <c r="I116" s="15"/>
      <c r="J116" s="15"/>
      <c r="K116" s="15"/>
      <c r="L116" s="15"/>
      <c r="M116" s="15">
        <f>271500+145000+17500-271500+95774</f>
        <v>258274</v>
      </c>
      <c r="N116" s="15"/>
      <c r="O116" s="331">
        <v>-679774</v>
      </c>
      <c r="P116" s="520">
        <f t="shared" si="3"/>
        <v>0</v>
      </c>
      <c r="Q116" s="163"/>
      <c r="R116" s="163"/>
      <c r="S116" s="163"/>
    </row>
    <row r="117" spans="1:19" s="12" customFormat="1" ht="12.75">
      <c r="A117" s="11" t="s">
        <v>199</v>
      </c>
      <c r="B117" s="659" t="s">
        <v>140</v>
      </c>
      <c r="C117" s="15">
        <v>-6000</v>
      </c>
      <c r="D117" s="15">
        <f>1204+3610</f>
        <v>4814</v>
      </c>
      <c r="E117" s="15">
        <v>674</v>
      </c>
      <c r="F117" s="15">
        <f>7000+1600</f>
        <v>8600</v>
      </c>
      <c r="G117" s="15"/>
      <c r="H117" s="15">
        <f>619-0.87</f>
        <v>618.13</v>
      </c>
      <c r="I117" s="15">
        <v>18</v>
      </c>
      <c r="J117" s="15"/>
      <c r="K117" s="15"/>
      <c r="L117" s="15"/>
      <c r="M117" s="15"/>
      <c r="N117" s="15"/>
      <c r="O117" s="331">
        <f>-637-1204-7000+1716+0.87-1600</f>
        <v>-8724.130000000001</v>
      </c>
      <c r="P117" s="520">
        <f t="shared" si="3"/>
        <v>0</v>
      </c>
      <c r="Q117" s="163"/>
      <c r="R117" s="163"/>
      <c r="S117" s="163"/>
    </row>
    <row r="118" spans="1:19" s="12" customFormat="1" ht="12" customHeight="1">
      <c r="A118" s="11" t="s">
        <v>108</v>
      </c>
      <c r="B118" s="659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331"/>
      <c r="P118" s="520">
        <f t="shared" si="3"/>
        <v>0</v>
      </c>
      <c r="Q118" s="163"/>
      <c r="R118" s="163"/>
      <c r="S118" s="163"/>
    </row>
    <row r="119" spans="1:19" s="12" customFormat="1" ht="12" customHeight="1">
      <c r="A119" s="11" t="s">
        <v>107</v>
      </c>
      <c r="B119" s="659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331"/>
      <c r="P119" s="520">
        <f t="shared" si="3"/>
        <v>0</v>
      </c>
      <c r="Q119" s="163"/>
      <c r="R119" s="163"/>
      <c r="S119" s="163"/>
    </row>
    <row r="120" spans="1:19" s="12" customFormat="1" ht="12" customHeight="1">
      <c r="A120" s="11" t="s">
        <v>106</v>
      </c>
      <c r="B120" s="659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331"/>
      <c r="P120" s="520">
        <f t="shared" si="3"/>
        <v>0</v>
      </c>
      <c r="Q120" s="163"/>
      <c r="R120" s="163"/>
      <c r="S120" s="163"/>
    </row>
    <row r="121" spans="1:19" s="12" customFormat="1" ht="12" customHeight="1">
      <c r="A121" s="11" t="s">
        <v>102</v>
      </c>
      <c r="B121" s="659" t="s">
        <v>141</v>
      </c>
      <c r="C121" s="15">
        <f>1258000+610207</f>
        <v>1868207</v>
      </c>
      <c r="D121" s="15">
        <v>798113</v>
      </c>
      <c r="E121" s="15">
        <v>1198971</v>
      </c>
      <c r="F121" s="15">
        <v>865000</v>
      </c>
      <c r="G121" s="15"/>
      <c r="H121" s="15">
        <f>450000-15500</f>
        <v>434500</v>
      </c>
      <c r="I121" s="15">
        <v>101560</v>
      </c>
      <c r="J121" s="15"/>
      <c r="K121" s="15"/>
      <c r="L121" s="15">
        <v>176000</v>
      </c>
      <c r="M121" s="15">
        <v>693000</v>
      </c>
      <c r="N121" s="15"/>
      <c r="O121" s="331"/>
      <c r="P121" s="520">
        <f t="shared" si="3"/>
        <v>6135351</v>
      </c>
      <c r="Q121" s="163"/>
      <c r="R121" s="163"/>
      <c r="S121" s="163"/>
    </row>
    <row r="122" spans="1:19" s="12" customFormat="1" ht="12" customHeight="1">
      <c r="A122" s="11" t="s">
        <v>103</v>
      </c>
      <c r="B122" s="659" t="s">
        <v>141</v>
      </c>
      <c r="C122" s="15">
        <f>442816+214793</f>
        <v>657609</v>
      </c>
      <c r="D122" s="15">
        <v>280936</v>
      </c>
      <c r="E122" s="15">
        <v>651293</v>
      </c>
      <c r="F122" s="15">
        <v>304478</v>
      </c>
      <c r="G122" s="15"/>
      <c r="H122" s="15">
        <f>197120-17000</f>
        <v>180120</v>
      </c>
      <c r="I122" s="15">
        <v>35750</v>
      </c>
      <c r="J122" s="15"/>
      <c r="K122" s="15"/>
      <c r="L122" s="15">
        <v>62000</v>
      </c>
      <c r="M122" s="15">
        <v>244000</v>
      </c>
      <c r="N122" s="15"/>
      <c r="O122" s="331"/>
      <c r="P122" s="520">
        <f t="shared" si="3"/>
        <v>2416186</v>
      </c>
      <c r="Q122" s="163"/>
      <c r="R122" s="163"/>
      <c r="S122" s="163"/>
    </row>
    <row r="123" spans="1:19" s="12" customFormat="1" ht="12" customHeight="1">
      <c r="A123" s="11" t="s">
        <v>104</v>
      </c>
      <c r="B123" s="659" t="s">
        <v>141</v>
      </c>
      <c r="C123" s="15">
        <v>0</v>
      </c>
      <c r="D123" s="15">
        <f>231503+42331+49835</f>
        <v>323669</v>
      </c>
      <c r="E123" s="15">
        <v>886239</v>
      </c>
      <c r="F123" s="15">
        <v>600000</v>
      </c>
      <c r="G123" s="15"/>
      <c r="H123" s="15">
        <f>320064+32500+78000</f>
        <v>430564</v>
      </c>
      <c r="I123" s="15">
        <v>89690</v>
      </c>
      <c r="J123" s="15"/>
      <c r="K123" s="15"/>
      <c r="L123" s="15">
        <v>46000</v>
      </c>
      <c r="M123" s="15">
        <v>92000</v>
      </c>
      <c r="N123" s="15"/>
      <c r="O123" s="331"/>
      <c r="P123" s="520">
        <f t="shared" si="3"/>
        <v>2468162</v>
      </c>
      <c r="Q123" s="163"/>
      <c r="R123" s="163"/>
      <c r="S123" s="163"/>
    </row>
    <row r="124" spans="1:19" s="12" customFormat="1" ht="12" customHeight="1">
      <c r="A124" s="11" t="s">
        <v>148</v>
      </c>
      <c r="B124" s="659" t="s">
        <v>140</v>
      </c>
      <c r="C124" s="15">
        <f>-1258000-442816-825000</f>
        <v>-2525816</v>
      </c>
      <c r="D124" s="15">
        <f>-1310552-42331-49835</f>
        <v>-1402718</v>
      </c>
      <c r="E124" s="15">
        <v>-2736503</v>
      </c>
      <c r="F124" s="15">
        <v>-1769478</v>
      </c>
      <c r="G124" s="15"/>
      <c r="H124" s="15">
        <f>-967184-78000</f>
        <v>-1045184</v>
      </c>
      <c r="I124" s="15">
        <v>-227000</v>
      </c>
      <c r="J124" s="15"/>
      <c r="K124" s="15"/>
      <c r="L124" s="15">
        <v>-284000</v>
      </c>
      <c r="M124" s="15">
        <v>-1029000</v>
      </c>
      <c r="N124" s="15"/>
      <c r="O124" s="331"/>
      <c r="P124" s="520">
        <f t="shared" si="3"/>
        <v>-11019699</v>
      </c>
      <c r="Q124" s="163"/>
      <c r="R124" s="163"/>
      <c r="S124" s="163"/>
    </row>
    <row r="125" spans="1:19" s="12" customFormat="1" ht="12" customHeight="1">
      <c r="A125" s="11" t="s">
        <v>180</v>
      </c>
      <c r="B125" s="659" t="s">
        <v>141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>
        <v>-111575</v>
      </c>
      <c r="M125" s="15">
        <v>111575</v>
      </c>
      <c r="N125" s="15"/>
      <c r="O125" s="331"/>
      <c r="P125" s="520">
        <f t="shared" si="3"/>
        <v>0</v>
      </c>
      <c r="Q125" s="163"/>
      <c r="R125" s="163"/>
      <c r="S125" s="163"/>
    </row>
    <row r="126" spans="1:19" ht="12.75">
      <c r="A126" s="11" t="s">
        <v>181</v>
      </c>
      <c r="B126" s="659" t="s">
        <v>141</v>
      </c>
      <c r="C126" s="15"/>
      <c r="D126" s="15"/>
      <c r="E126" s="364"/>
      <c r="F126" s="70"/>
      <c r="G126" s="70"/>
      <c r="H126" s="70"/>
      <c r="I126" s="15"/>
      <c r="J126" s="15"/>
      <c r="K126" s="15"/>
      <c r="L126" s="15">
        <v>-39274</v>
      </c>
      <c r="M126" s="15">
        <v>39274</v>
      </c>
      <c r="N126" s="15"/>
      <c r="O126" s="331"/>
      <c r="P126" s="520">
        <f t="shared" si="3"/>
        <v>0</v>
      </c>
      <c r="Q126" s="163"/>
      <c r="R126" s="163"/>
      <c r="S126" s="163"/>
    </row>
    <row r="127" spans="1:19" ht="12.75">
      <c r="A127" s="11" t="s">
        <v>182</v>
      </c>
      <c r="B127" s="661" t="s">
        <v>141</v>
      </c>
      <c r="C127" s="15"/>
      <c r="D127" s="15"/>
      <c r="E127" s="15"/>
      <c r="F127" s="15"/>
      <c r="G127" s="15"/>
      <c r="H127" s="70"/>
      <c r="I127" s="15"/>
      <c r="J127" s="15"/>
      <c r="K127" s="15"/>
      <c r="L127" s="15">
        <v>-33813</v>
      </c>
      <c r="M127" s="15">
        <v>33813</v>
      </c>
      <c r="N127" s="15"/>
      <c r="O127" s="331"/>
      <c r="P127" s="520">
        <f t="shared" si="3"/>
        <v>0</v>
      </c>
      <c r="Q127" s="163"/>
      <c r="R127" s="163"/>
      <c r="S127" s="163"/>
    </row>
    <row r="128" spans="1:19" s="12" customFormat="1" ht="12.75">
      <c r="A128" s="13" t="s">
        <v>42</v>
      </c>
      <c r="B128" s="659"/>
      <c r="C128" s="15"/>
      <c r="D128" s="15"/>
      <c r="E128" s="364"/>
      <c r="F128" s="70"/>
      <c r="G128" s="70"/>
      <c r="H128" s="70"/>
      <c r="I128" s="15"/>
      <c r="J128" s="15"/>
      <c r="K128" s="15"/>
      <c r="L128" s="15"/>
      <c r="M128" s="15"/>
      <c r="N128" s="15"/>
      <c r="O128" s="331"/>
      <c r="P128" s="520">
        <f t="shared" si="3"/>
        <v>0</v>
      </c>
      <c r="Q128" s="163"/>
      <c r="R128" s="163"/>
      <c r="S128" s="163"/>
    </row>
    <row r="129" spans="1:19" s="12" customFormat="1" ht="14.25" customHeight="1">
      <c r="A129" s="13" t="s">
        <v>42</v>
      </c>
      <c r="B129" s="66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331"/>
      <c r="P129" s="520">
        <f t="shared" si="3"/>
        <v>0</v>
      </c>
      <c r="Q129" s="163"/>
      <c r="R129" s="163"/>
      <c r="S129" s="163"/>
    </row>
    <row r="130" spans="1:19" s="12" customFormat="1" ht="14.25" customHeight="1">
      <c r="A130" s="13" t="s">
        <v>87</v>
      </c>
      <c r="B130" s="659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331"/>
      <c r="P130" s="520">
        <f t="shared" si="3"/>
        <v>0</v>
      </c>
      <c r="Q130" s="163"/>
      <c r="R130" s="163"/>
      <c r="S130" s="163"/>
    </row>
    <row r="131" spans="1:19" s="12" customFormat="1" ht="14.25" customHeight="1">
      <c r="A131" s="13" t="s">
        <v>87</v>
      </c>
      <c r="B131" s="661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331"/>
      <c r="P131" s="520">
        <f t="shared" si="3"/>
        <v>0</v>
      </c>
      <c r="Q131" s="163"/>
      <c r="R131" s="163"/>
      <c r="S131" s="163"/>
    </row>
    <row r="132" spans="1:19" s="12" customFormat="1" ht="14.25" customHeight="1">
      <c r="A132" s="13" t="s">
        <v>87</v>
      </c>
      <c r="B132" s="661"/>
      <c r="C132" s="15"/>
      <c r="D132" s="15"/>
      <c r="E132" s="15"/>
      <c r="F132" s="15"/>
      <c r="G132" s="15"/>
      <c r="H132" s="15"/>
      <c r="I132" s="15"/>
      <c r="J132" s="15"/>
      <c r="K132" s="15"/>
      <c r="L132" s="338"/>
      <c r="M132" s="338"/>
      <c r="N132" s="338"/>
      <c r="O132" s="331"/>
      <c r="P132" s="520">
        <f t="shared" si="3"/>
        <v>0</v>
      </c>
      <c r="Q132" s="163"/>
      <c r="R132" s="163"/>
      <c r="S132" s="163"/>
    </row>
    <row r="133" spans="1:19" s="12" customFormat="1" ht="14.25" customHeight="1">
      <c r="A133" s="13" t="s">
        <v>87</v>
      </c>
      <c r="B133" s="661"/>
      <c r="C133" s="15"/>
      <c r="D133" s="15"/>
      <c r="E133" s="15"/>
      <c r="F133" s="15"/>
      <c r="G133" s="15"/>
      <c r="H133" s="15"/>
      <c r="I133" s="15"/>
      <c r="J133" s="15"/>
      <c r="K133" s="15"/>
      <c r="L133" s="338"/>
      <c r="M133" s="338"/>
      <c r="N133" s="338"/>
      <c r="O133" s="331"/>
      <c r="P133" s="520">
        <f t="shared" si="3"/>
        <v>0</v>
      </c>
      <c r="Q133" s="163"/>
      <c r="R133" s="163"/>
      <c r="S133" s="163"/>
    </row>
    <row r="134" spans="1:19" s="12" customFormat="1" ht="14.25" customHeight="1">
      <c r="A134" s="13" t="s">
        <v>81</v>
      </c>
      <c r="B134" s="661"/>
      <c r="C134" s="15"/>
      <c r="D134" s="15"/>
      <c r="E134" s="15"/>
      <c r="F134" s="15"/>
      <c r="G134" s="15"/>
      <c r="H134" s="15"/>
      <c r="I134" s="15"/>
      <c r="J134" s="15"/>
      <c r="K134" s="15"/>
      <c r="L134" s="338"/>
      <c r="M134" s="338"/>
      <c r="N134" s="338"/>
      <c r="O134" s="331"/>
      <c r="P134" s="520">
        <f t="shared" si="3"/>
        <v>0</v>
      </c>
      <c r="Q134" s="163"/>
      <c r="R134" s="163"/>
      <c r="S134" s="163"/>
    </row>
    <row r="135" spans="1:19" s="12" customFormat="1" ht="14.25" customHeight="1">
      <c r="A135" s="13" t="s">
        <v>81</v>
      </c>
      <c r="B135" s="661"/>
      <c r="C135" s="15"/>
      <c r="D135" s="15"/>
      <c r="E135" s="15"/>
      <c r="F135" s="15"/>
      <c r="G135" s="15"/>
      <c r="H135" s="15"/>
      <c r="I135" s="15"/>
      <c r="J135" s="15"/>
      <c r="K135" s="15"/>
      <c r="L135" s="338"/>
      <c r="M135" s="338"/>
      <c r="N135" s="338"/>
      <c r="O135" s="331"/>
      <c r="P135" s="520">
        <f t="shared" si="3"/>
        <v>0</v>
      </c>
      <c r="Q135" s="163"/>
      <c r="R135" s="163"/>
      <c r="S135" s="163"/>
    </row>
    <row r="136" spans="1:19" s="12" customFormat="1" ht="14.25" customHeight="1">
      <c r="A136" s="13" t="s">
        <v>81</v>
      </c>
      <c r="B136" s="661"/>
      <c r="C136" s="15"/>
      <c r="D136" s="15"/>
      <c r="E136" s="15"/>
      <c r="F136" s="15"/>
      <c r="G136" s="15"/>
      <c r="H136" s="15"/>
      <c r="I136" s="15"/>
      <c r="J136" s="15"/>
      <c r="K136" s="15"/>
      <c r="L136" s="338"/>
      <c r="M136" s="338"/>
      <c r="N136" s="338"/>
      <c r="O136" s="331"/>
      <c r="P136" s="520">
        <f t="shared" si="3"/>
        <v>0</v>
      </c>
      <c r="Q136" s="163"/>
      <c r="R136" s="163"/>
      <c r="S136" s="163"/>
    </row>
    <row r="137" spans="1:19" s="12" customFormat="1" ht="14.25" customHeight="1">
      <c r="A137" s="13" t="s">
        <v>101</v>
      </c>
      <c r="B137" s="659"/>
      <c r="C137" s="70"/>
      <c r="D137" s="70"/>
      <c r="E137" s="70"/>
      <c r="F137" s="70"/>
      <c r="G137" s="70"/>
      <c r="H137" s="70"/>
      <c r="I137" s="70"/>
      <c r="J137" s="173"/>
      <c r="K137" s="173"/>
      <c r="L137" s="70"/>
      <c r="M137" s="70"/>
      <c r="N137" s="70"/>
      <c r="O137" s="70"/>
      <c r="P137" s="520">
        <f t="shared" si="3"/>
        <v>0</v>
      </c>
      <c r="Q137" s="163"/>
      <c r="R137" s="163"/>
      <c r="S137" s="163"/>
    </row>
    <row r="138" spans="1:19" s="12" customFormat="1" ht="12.75">
      <c r="A138" s="13" t="s">
        <v>101</v>
      </c>
      <c r="B138" s="662"/>
      <c r="C138" s="70"/>
      <c r="D138" s="70"/>
      <c r="E138" s="70"/>
      <c r="F138" s="70"/>
      <c r="G138" s="337"/>
      <c r="H138" s="337"/>
      <c r="I138" s="337"/>
      <c r="J138" s="332"/>
      <c r="K138" s="332"/>
      <c r="L138" s="337"/>
      <c r="M138" s="337"/>
      <c r="N138" s="70"/>
      <c r="O138" s="70"/>
      <c r="P138" s="520">
        <f t="shared" si="3"/>
        <v>0</v>
      </c>
      <c r="Q138" s="163"/>
      <c r="R138" s="163"/>
      <c r="S138" s="163"/>
    </row>
    <row r="139" spans="1:19" s="12" customFormat="1" ht="12.75">
      <c r="A139" s="13" t="s">
        <v>105</v>
      </c>
      <c r="B139" s="659"/>
      <c r="C139" s="70"/>
      <c r="D139" s="70"/>
      <c r="E139" s="70"/>
      <c r="F139" s="70"/>
      <c r="G139" s="70"/>
      <c r="H139" s="70"/>
      <c r="I139" s="70"/>
      <c r="J139" s="70"/>
      <c r="K139" s="70"/>
      <c r="L139" s="337"/>
      <c r="M139" s="337"/>
      <c r="N139" s="70"/>
      <c r="O139" s="70"/>
      <c r="P139" s="520">
        <f t="shared" si="3"/>
        <v>0</v>
      </c>
      <c r="Q139" s="163"/>
      <c r="R139" s="163"/>
      <c r="S139" s="163"/>
    </row>
    <row r="140" spans="1:19" s="12" customFormat="1" ht="12.75">
      <c r="A140" s="13" t="s">
        <v>100</v>
      </c>
      <c r="B140" s="662"/>
      <c r="C140" s="70"/>
      <c r="D140" s="70"/>
      <c r="E140" s="70"/>
      <c r="F140" s="70"/>
      <c r="G140" s="70"/>
      <c r="H140" s="70"/>
      <c r="I140" s="346"/>
      <c r="J140" s="70"/>
      <c r="K140" s="70"/>
      <c r="L140" s="70"/>
      <c r="M140" s="70"/>
      <c r="N140" s="70"/>
      <c r="O140" s="70"/>
      <c r="P140" s="520">
        <f t="shared" si="3"/>
        <v>0</v>
      </c>
      <c r="Q140" s="163"/>
      <c r="R140" s="163"/>
      <c r="S140" s="163"/>
    </row>
    <row r="141" spans="1:19" s="12" customFormat="1" ht="12.75">
      <c r="A141" s="13" t="s">
        <v>100</v>
      </c>
      <c r="B141" s="662"/>
      <c r="C141" s="70"/>
      <c r="D141" s="70"/>
      <c r="E141" s="70"/>
      <c r="F141" s="70"/>
      <c r="G141" s="70"/>
      <c r="H141" s="70"/>
      <c r="I141" s="346"/>
      <c r="J141" s="173"/>
      <c r="K141" s="70"/>
      <c r="L141" s="70"/>
      <c r="M141" s="173"/>
      <c r="N141" s="70"/>
      <c r="O141" s="70"/>
      <c r="P141" s="520">
        <f t="shared" si="3"/>
        <v>0</v>
      </c>
      <c r="Q141" s="163"/>
      <c r="R141" s="163"/>
      <c r="S141" s="163"/>
    </row>
    <row r="142" spans="1:19" s="12" customFormat="1" ht="14.25" customHeight="1">
      <c r="A142" s="14" t="s">
        <v>82</v>
      </c>
      <c r="B142" s="661" t="s">
        <v>141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v>15161</v>
      </c>
      <c r="O142" s="331"/>
      <c r="P142" s="520">
        <f t="shared" si="3"/>
        <v>15161</v>
      </c>
      <c r="Q142" s="163"/>
      <c r="R142" s="163"/>
      <c r="S142" s="163"/>
    </row>
    <row r="143" spans="1:19" s="12" customFormat="1" ht="14.25" customHeight="1">
      <c r="A143" s="14" t="s">
        <v>83</v>
      </c>
      <c r="B143" s="661" t="s">
        <v>141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>
        <v>5340</v>
      </c>
      <c r="O143" s="331"/>
      <c r="P143" s="520">
        <f t="shared" si="3"/>
        <v>5340</v>
      </c>
      <c r="Q143" s="163"/>
      <c r="R143" s="163"/>
      <c r="S143" s="163"/>
    </row>
    <row r="144" spans="1:19" s="12" customFormat="1" ht="14.25" customHeight="1">
      <c r="A144" s="14" t="s">
        <v>212</v>
      </c>
      <c r="B144" s="661" t="s">
        <v>140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>
        <v>-20501</v>
      </c>
      <c r="O144" s="15"/>
      <c r="P144" s="520">
        <f t="shared" si="3"/>
        <v>-20501</v>
      </c>
      <c r="Q144" s="163"/>
      <c r="R144" s="163"/>
      <c r="S144" s="163"/>
    </row>
    <row r="145" spans="1:19" s="12" customFormat="1" ht="14.25" customHeight="1">
      <c r="A145" s="14" t="s">
        <v>43</v>
      </c>
      <c r="B145" s="661" t="s">
        <v>34</v>
      </c>
      <c r="C145" s="15">
        <f>2000+3000+3664+2555</f>
        <v>11219</v>
      </c>
      <c r="D145" s="15">
        <f>2000+3000+3664+1900</f>
        <v>10564</v>
      </c>
      <c r="E145" s="15">
        <f>2000+3000+6664+1573</f>
        <v>13237</v>
      </c>
      <c r="F145" s="15">
        <f>3000+4000+3456</f>
        <v>10456</v>
      </c>
      <c r="G145" s="15">
        <f>2500+4664+1835</f>
        <v>8999</v>
      </c>
      <c r="H145" s="15">
        <f>2500+4664+1671</f>
        <v>8835</v>
      </c>
      <c r="I145" s="15">
        <f>2500+4000+1409</f>
        <v>7909</v>
      </c>
      <c r="J145" s="15"/>
      <c r="K145" s="15"/>
      <c r="L145" s="15">
        <v>262</v>
      </c>
      <c r="M145" s="15">
        <f>4000+6754+260+3800+18740+500+4285</f>
        <v>38339</v>
      </c>
      <c r="N145" s="15">
        <f>-4000-23254-260-9000-3800-50060-15161-4285</f>
        <v>-109820</v>
      </c>
      <c r="O145" s="15"/>
      <c r="P145" s="520">
        <f t="shared" si="3"/>
        <v>0</v>
      </c>
      <c r="Q145" s="163"/>
      <c r="R145" s="163"/>
      <c r="S145" s="163"/>
    </row>
    <row r="146" spans="1:19" s="12" customFormat="1" ht="14.25" customHeight="1">
      <c r="A146" s="14" t="s">
        <v>44</v>
      </c>
      <c r="B146" s="661" t="s">
        <v>34</v>
      </c>
      <c r="C146" s="15">
        <f>704+1056+1290+900</f>
        <v>3950</v>
      </c>
      <c r="D146" s="15">
        <f>704+1056+1290+669</f>
        <v>3719</v>
      </c>
      <c r="E146" s="15">
        <f>704+1056+2346+554</f>
        <v>4660</v>
      </c>
      <c r="F146" s="15">
        <f>1056+1408+1217</f>
        <v>3681</v>
      </c>
      <c r="G146" s="15">
        <f>880+1642+646</f>
        <v>3168</v>
      </c>
      <c r="H146" s="15">
        <f>880+1642+589</f>
        <v>3111</v>
      </c>
      <c r="I146" s="15">
        <f>880+1408+496</f>
        <v>2784</v>
      </c>
      <c r="J146" s="15"/>
      <c r="K146" s="15"/>
      <c r="L146" s="15">
        <v>93</v>
      </c>
      <c r="M146" s="15">
        <f>1408+2378+58+1338+6597+176+1509</f>
        <v>13464</v>
      </c>
      <c r="N146" s="15">
        <f>-1408-8186-58-3168-1338-17623-5340-1509</f>
        <v>-38630</v>
      </c>
      <c r="O146" s="15"/>
      <c r="P146" s="520">
        <f t="shared" si="3"/>
        <v>0</v>
      </c>
      <c r="Q146" s="163"/>
      <c r="R146" s="163"/>
      <c r="S146" s="163"/>
    </row>
    <row r="147" spans="1:19" s="12" customFormat="1" ht="14.25" customHeight="1">
      <c r="A147" s="350" t="s">
        <v>85</v>
      </c>
      <c r="B147" s="661" t="s">
        <v>34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520">
        <f t="shared" si="3"/>
        <v>0</v>
      </c>
      <c r="Q147" s="163"/>
      <c r="R147" s="163"/>
      <c r="S147" s="163"/>
    </row>
    <row r="148" spans="1:19" s="12" customFormat="1" ht="14.25" customHeight="1">
      <c r="A148" s="350" t="s">
        <v>44</v>
      </c>
      <c r="B148" s="661" t="s">
        <v>34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520">
        <f t="shared" si="3"/>
        <v>0</v>
      </c>
      <c r="Q148" s="163"/>
      <c r="R148" s="163"/>
      <c r="S148" s="163"/>
    </row>
    <row r="149" spans="1:19" s="12" customFormat="1" ht="12.75" customHeight="1">
      <c r="A149" s="350" t="s">
        <v>85</v>
      </c>
      <c r="B149" s="659" t="s">
        <v>189</v>
      </c>
      <c r="C149" s="70"/>
      <c r="D149" s="70"/>
      <c r="E149" s="70">
        <v>3000</v>
      </c>
      <c r="F149" s="70"/>
      <c r="G149" s="70"/>
      <c r="H149" s="70"/>
      <c r="I149" s="70"/>
      <c r="J149" s="343"/>
      <c r="K149" s="343"/>
      <c r="L149" s="70"/>
      <c r="M149" s="70"/>
      <c r="N149" s="70">
        <v>-3000</v>
      </c>
      <c r="O149" s="332"/>
      <c r="P149" s="520">
        <f t="shared" si="3"/>
        <v>0</v>
      </c>
      <c r="Q149" s="163"/>
      <c r="R149" s="163"/>
      <c r="S149" s="163"/>
    </row>
    <row r="150" spans="1:19" s="12" customFormat="1" ht="13.5" thickBot="1">
      <c r="A150" s="351" t="s">
        <v>44</v>
      </c>
      <c r="B150" s="663" t="s">
        <v>189</v>
      </c>
      <c r="C150" s="196"/>
      <c r="D150" s="196"/>
      <c r="E150" s="196">
        <v>1056</v>
      </c>
      <c r="F150" s="196"/>
      <c r="G150" s="196"/>
      <c r="H150" s="196"/>
      <c r="I150" s="178"/>
      <c r="J150" s="178"/>
      <c r="K150" s="178"/>
      <c r="L150" s="178"/>
      <c r="M150" s="178"/>
      <c r="N150" s="178">
        <v>-1056</v>
      </c>
      <c r="O150" s="180"/>
      <c r="P150" s="521">
        <f t="shared" si="3"/>
        <v>0</v>
      </c>
      <c r="Q150" s="163"/>
      <c r="R150" s="163"/>
      <c r="S150" s="163"/>
    </row>
    <row r="151" spans="1:19" ht="15.75" customHeight="1" thickBot="1">
      <c r="A151" s="267" t="s">
        <v>45</v>
      </c>
      <c r="B151" s="362"/>
      <c r="C151" s="262">
        <f aca="true" t="shared" si="4" ref="C151:L151">SUM(C7:C150)</f>
        <v>1153029</v>
      </c>
      <c r="D151" s="262">
        <f t="shared" si="4"/>
        <v>876603</v>
      </c>
      <c r="E151" s="262">
        <f t="shared" si="4"/>
        <v>2779600.0600000005</v>
      </c>
      <c r="F151" s="262">
        <f t="shared" si="4"/>
        <v>1806875.17</v>
      </c>
      <c r="G151" s="262">
        <f t="shared" si="4"/>
        <v>406191</v>
      </c>
      <c r="H151" s="262">
        <f t="shared" si="4"/>
        <v>484391.6299999999</v>
      </c>
      <c r="I151" s="262">
        <f t="shared" si="4"/>
        <v>154010</v>
      </c>
      <c r="J151" s="262">
        <f t="shared" si="4"/>
        <v>59000</v>
      </c>
      <c r="K151" s="262">
        <f t="shared" si="4"/>
        <v>3200</v>
      </c>
      <c r="L151" s="262">
        <f t="shared" si="4"/>
        <v>-30323</v>
      </c>
      <c r="M151" s="262">
        <f>SUM(M6:M150)</f>
        <v>1399546</v>
      </c>
      <c r="N151" s="262">
        <f>SUM(N6:N150)</f>
        <v>-428355</v>
      </c>
      <c r="O151" s="262">
        <f>SUM(O7:O150)</f>
        <v>-1821387.13</v>
      </c>
      <c r="P151" s="262">
        <f t="shared" si="3"/>
        <v>6842380.7299999995</v>
      </c>
      <c r="Q151" s="163"/>
      <c r="R151" s="163"/>
      <c r="S151" s="163"/>
    </row>
    <row r="152" spans="1:19" ht="18" customHeight="1" thickBot="1">
      <c r="A152" s="16" t="s">
        <v>46</v>
      </c>
      <c r="B152" s="363"/>
      <c r="C152" s="263">
        <f aca="true" t="shared" si="5" ref="C152:O152">C151-C7-C8-C9-C10</f>
        <v>651524.5</v>
      </c>
      <c r="D152" s="263">
        <f t="shared" si="5"/>
        <v>561856.5</v>
      </c>
      <c r="E152" s="263">
        <f t="shared" si="5"/>
        <v>1443592.000000001</v>
      </c>
      <c r="F152" s="263">
        <f t="shared" si="5"/>
        <v>711394</v>
      </c>
      <c r="G152" s="263">
        <f t="shared" si="5"/>
        <v>256426</v>
      </c>
      <c r="H152" s="263">
        <f t="shared" si="5"/>
        <v>225782.1299999999</v>
      </c>
      <c r="I152" s="263">
        <f t="shared" si="5"/>
        <v>111890</v>
      </c>
      <c r="J152" s="263">
        <f t="shared" si="5"/>
        <v>59000</v>
      </c>
      <c r="K152" s="263">
        <f t="shared" si="5"/>
        <v>3200</v>
      </c>
      <c r="L152" s="263">
        <f t="shared" si="5"/>
        <v>-30323</v>
      </c>
      <c r="M152" s="263">
        <f t="shared" si="5"/>
        <v>1399546</v>
      </c>
      <c r="N152" s="263">
        <f t="shared" si="5"/>
        <v>-428355</v>
      </c>
      <c r="O152" s="263">
        <f t="shared" si="5"/>
        <v>-1821387.13</v>
      </c>
      <c r="P152" s="263">
        <f t="shared" si="3"/>
        <v>3144146.000000001</v>
      </c>
      <c r="Q152" s="163">
        <f>'súhrnná po AS'!R9-úpravy!P4</f>
        <v>3144146</v>
      </c>
      <c r="R152" s="163"/>
      <c r="S152" s="163"/>
    </row>
    <row r="153" spans="1:19" ht="19.5" customHeight="1" thickBot="1">
      <c r="A153" s="82" t="s">
        <v>130</v>
      </c>
      <c r="B153" s="355"/>
      <c r="C153" s="264">
        <f>C4+C151</f>
        <v>11007070</v>
      </c>
      <c r="D153" s="264">
        <f aca="true" t="shared" si="6" ref="D153:L153">D4+D151+D6</f>
        <v>5631863</v>
      </c>
      <c r="E153" s="264">
        <f t="shared" si="6"/>
        <v>11543955.06</v>
      </c>
      <c r="F153" s="264">
        <f t="shared" si="6"/>
        <v>11116230.17</v>
      </c>
      <c r="G153" s="264">
        <f t="shared" si="6"/>
        <v>4068637</v>
      </c>
      <c r="H153" s="264">
        <f t="shared" si="6"/>
        <v>8728947.629999999</v>
      </c>
      <c r="I153" s="264">
        <f t="shared" si="6"/>
        <v>2528358</v>
      </c>
      <c r="J153" s="264">
        <f t="shared" si="6"/>
        <v>2486560</v>
      </c>
      <c r="K153" s="264">
        <f t="shared" si="6"/>
        <v>34705</v>
      </c>
      <c r="L153" s="264">
        <f t="shared" si="6"/>
        <v>944439</v>
      </c>
      <c r="M153" s="264">
        <f>M4+M151</f>
        <v>4113256</v>
      </c>
      <c r="N153" s="264">
        <f>N4+N151+N6</f>
        <v>1607846</v>
      </c>
      <c r="O153" s="264">
        <f>O4+O151</f>
        <v>1151.8700000001118</v>
      </c>
      <c r="P153" s="264">
        <f>P4+P151</f>
        <v>63813018.73</v>
      </c>
      <c r="Q153" s="163"/>
      <c r="R153" s="163"/>
      <c r="S153" s="163"/>
    </row>
    <row r="154" spans="1:19" ht="29.25" customHeight="1" thickBot="1">
      <c r="A154" s="664" t="s">
        <v>131</v>
      </c>
      <c r="B154" s="665"/>
      <c r="C154" s="265">
        <f aca="true" t="shared" si="7" ref="C154:P154">C4+C152</f>
        <v>10505565.5</v>
      </c>
      <c r="D154" s="261">
        <f t="shared" si="7"/>
        <v>5317116.5</v>
      </c>
      <c r="E154" s="265">
        <f t="shared" si="7"/>
        <v>10207947</v>
      </c>
      <c r="F154" s="265">
        <f t="shared" si="7"/>
        <v>10020749</v>
      </c>
      <c r="G154" s="265">
        <f t="shared" si="7"/>
        <v>3918872</v>
      </c>
      <c r="H154" s="265">
        <f t="shared" si="7"/>
        <v>8470338.129999999</v>
      </c>
      <c r="I154" s="328">
        <f t="shared" si="7"/>
        <v>2486238</v>
      </c>
      <c r="J154" s="265">
        <f t="shared" si="7"/>
        <v>2486560</v>
      </c>
      <c r="K154" s="265">
        <f t="shared" si="7"/>
        <v>34705</v>
      </c>
      <c r="L154" s="265">
        <f t="shared" si="7"/>
        <v>944439</v>
      </c>
      <c r="M154" s="265">
        <f t="shared" si="7"/>
        <v>4113256</v>
      </c>
      <c r="N154" s="265">
        <f t="shared" si="7"/>
        <v>1607846</v>
      </c>
      <c r="O154" s="265">
        <f t="shared" si="7"/>
        <v>1151.8700000001118</v>
      </c>
      <c r="P154" s="265">
        <f t="shared" si="7"/>
        <v>60114784</v>
      </c>
      <c r="Q154" s="266"/>
      <c r="R154" s="163"/>
      <c r="S154" s="163"/>
    </row>
    <row r="155" spans="1:19" s="12" customFormat="1" ht="14.25" customHeight="1" hidden="1">
      <c r="A155" s="3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63"/>
      <c r="R155" s="163"/>
      <c r="S155" s="163"/>
    </row>
    <row r="156" spans="1:19" s="21" customFormat="1" ht="12.75" hidden="1">
      <c r="A156" s="182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183"/>
      <c r="R156" s="183"/>
      <c r="S156" s="183"/>
    </row>
    <row r="157" spans="1:19" s="21" customFormat="1" ht="12.75">
      <c r="A157" s="184"/>
      <c r="B157" s="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183"/>
      <c r="R157" s="183"/>
      <c r="S157" s="183"/>
    </row>
    <row r="158" spans="1:19" s="21" customFormat="1" ht="12.75">
      <c r="A158" s="185" t="s">
        <v>68</v>
      </c>
      <c r="B158" s="19"/>
      <c r="C158" s="60">
        <f>C153-'súhrnná po AS'!C7</f>
        <v>0</v>
      </c>
      <c r="D158" s="60">
        <f>D153-'súhrnná po AS'!D7</f>
        <v>0</v>
      </c>
      <c r="E158" s="60">
        <f>E153-'súhrnná po AS'!E7</f>
        <v>0</v>
      </c>
      <c r="F158" s="60">
        <f>F153-'súhrnná po AS'!F7</f>
        <v>0</v>
      </c>
      <c r="G158" s="60">
        <f>G153-'súhrnná po AS'!G7</f>
        <v>0</v>
      </c>
      <c r="H158" s="60">
        <f>H153-'súhrnná po AS'!H7</f>
        <v>0</v>
      </c>
      <c r="I158" s="60">
        <f>I153-'súhrnná po AS'!I7</f>
        <v>0</v>
      </c>
      <c r="J158" s="60">
        <f>J153-'súhrnná po AS'!L7</f>
        <v>0</v>
      </c>
      <c r="K158" s="60">
        <f>K153-'súhrnná po AS'!M7</f>
        <v>0</v>
      </c>
      <c r="L158" s="60">
        <f>L153-'súhrnná po AS'!J7</f>
        <v>0</v>
      </c>
      <c r="M158" s="60">
        <f>M153-'súhrnná po AS'!N7</f>
        <v>0</v>
      </c>
      <c r="N158" s="60">
        <f>N153-'súhrnná po AS'!O7</f>
        <v>0</v>
      </c>
      <c r="O158" s="60">
        <f>O153-'súhrnná po AS'!Q7-'súhrnná po AS'!P7</f>
        <v>1.1641532182693481E-10</v>
      </c>
      <c r="P158" s="60">
        <f>P153-'súhrnná po AS'!R7</f>
        <v>0</v>
      </c>
      <c r="Q158" s="183"/>
      <c r="R158" s="183"/>
      <c r="S158" s="183"/>
    </row>
    <row r="159" spans="1:19" ht="16.5" customHeight="1" thickBot="1">
      <c r="A159" s="86" t="s">
        <v>47</v>
      </c>
      <c r="B159" s="86"/>
      <c r="C159" s="22"/>
      <c r="D159" s="658"/>
      <c r="E159" s="22"/>
      <c r="F159" s="22"/>
      <c r="G159" s="658"/>
      <c r="H159" s="22"/>
      <c r="I159" s="22"/>
      <c r="J159" s="22"/>
      <c r="K159" s="22"/>
      <c r="L159" s="22"/>
      <c r="M159" s="22"/>
      <c r="N159" s="22"/>
      <c r="O159" s="22"/>
      <c r="P159" s="22"/>
      <c r="Q159" s="163"/>
      <c r="R159" s="163"/>
      <c r="S159" s="163"/>
    </row>
    <row r="160" spans="1:19" ht="13.5" thickBot="1">
      <c r="A160" s="159"/>
      <c r="B160" s="186"/>
      <c r="C160" s="376" t="s">
        <v>1</v>
      </c>
      <c r="D160" s="386" t="s">
        <v>2</v>
      </c>
      <c r="E160" s="386" t="s">
        <v>3</v>
      </c>
      <c r="F160" s="386" t="s">
        <v>4</v>
      </c>
      <c r="G160" s="386" t="s">
        <v>5</v>
      </c>
      <c r="H160" s="386" t="s">
        <v>6</v>
      </c>
      <c r="I160" s="385" t="s">
        <v>7</v>
      </c>
      <c r="J160" s="187" t="s">
        <v>29</v>
      </c>
      <c r="K160" s="386"/>
      <c r="L160" s="390" t="s">
        <v>9</v>
      </c>
      <c r="M160" s="386" t="s">
        <v>30</v>
      </c>
      <c r="N160" s="386"/>
      <c r="O160" s="390" t="s">
        <v>31</v>
      </c>
      <c r="P160" s="188" t="s">
        <v>32</v>
      </c>
      <c r="Q160" s="163"/>
      <c r="R160" s="163"/>
      <c r="S160" s="163"/>
    </row>
    <row r="161" spans="1:19" ht="21" customHeight="1" thickBot="1">
      <c r="A161" s="82" t="s">
        <v>128</v>
      </c>
      <c r="B161" s="189"/>
      <c r="C161" s="377">
        <v>0</v>
      </c>
      <c r="D161" s="191">
        <v>0</v>
      </c>
      <c r="E161" s="191">
        <v>0</v>
      </c>
      <c r="F161" s="191">
        <v>0</v>
      </c>
      <c r="G161" s="191">
        <v>0</v>
      </c>
      <c r="H161" s="191">
        <v>0</v>
      </c>
      <c r="I161" s="190">
        <v>0</v>
      </c>
      <c r="J161" s="388">
        <v>0</v>
      </c>
      <c r="K161" s="191">
        <v>0</v>
      </c>
      <c r="L161" s="391">
        <v>0</v>
      </c>
      <c r="M161" s="191">
        <v>0</v>
      </c>
      <c r="N161" s="191">
        <v>0</v>
      </c>
      <c r="O161" s="190">
        <v>0</v>
      </c>
      <c r="P161" s="191">
        <f>SUM(C161:O161)</f>
        <v>0</v>
      </c>
      <c r="Q161" s="163"/>
      <c r="R161" s="163"/>
      <c r="S161" s="163"/>
    </row>
    <row r="162" spans="1:19" ht="21" customHeight="1" thickBot="1">
      <c r="A162" s="666" t="s">
        <v>48</v>
      </c>
      <c r="B162" s="667"/>
      <c r="C162" s="378">
        <f>C190</f>
        <v>0</v>
      </c>
      <c r="D162" s="373">
        <f aca="true" t="shared" si="8" ref="D162:P162">D190</f>
        <v>0</v>
      </c>
      <c r="E162" s="373">
        <f t="shared" si="8"/>
        <v>0</v>
      </c>
      <c r="F162" s="373">
        <f t="shared" si="8"/>
        <v>0</v>
      </c>
      <c r="G162" s="373">
        <f t="shared" si="8"/>
        <v>0</v>
      </c>
      <c r="H162" s="373">
        <f t="shared" si="8"/>
        <v>0</v>
      </c>
      <c r="I162" s="192">
        <f t="shared" si="8"/>
        <v>0</v>
      </c>
      <c r="J162" s="389">
        <f t="shared" si="8"/>
        <v>0</v>
      </c>
      <c r="K162" s="373">
        <f t="shared" si="8"/>
        <v>0</v>
      </c>
      <c r="L162" s="389">
        <f t="shared" si="8"/>
        <v>0</v>
      </c>
      <c r="M162" s="373">
        <f t="shared" si="8"/>
        <v>740000</v>
      </c>
      <c r="N162" s="373">
        <f t="shared" si="8"/>
        <v>0</v>
      </c>
      <c r="O162" s="192">
        <f t="shared" si="8"/>
        <v>0</v>
      </c>
      <c r="P162" s="192">
        <f t="shared" si="8"/>
        <v>740000</v>
      </c>
      <c r="Q162" s="163"/>
      <c r="R162" s="163"/>
      <c r="S162" s="163"/>
    </row>
    <row r="163" spans="1:19" ht="12.75">
      <c r="A163" s="83" t="s">
        <v>84</v>
      </c>
      <c r="B163" s="193" t="s">
        <v>33</v>
      </c>
      <c r="C163" s="379"/>
      <c r="D163" s="167"/>
      <c r="E163" s="167"/>
      <c r="F163" s="167"/>
      <c r="G163" s="167"/>
      <c r="H163" s="167"/>
      <c r="I163" s="370"/>
      <c r="J163" s="379"/>
      <c r="K163" s="167"/>
      <c r="L163" s="392"/>
      <c r="M163" s="167"/>
      <c r="N163" s="167"/>
      <c r="O163" s="370"/>
      <c r="P163" s="176"/>
      <c r="Q163" s="163"/>
      <c r="R163" s="163"/>
      <c r="S163" s="163"/>
    </row>
    <row r="164" spans="1:19" ht="12.75">
      <c r="A164" s="13"/>
      <c r="B164" s="309" t="s">
        <v>93</v>
      </c>
      <c r="C164" s="380"/>
      <c r="D164" s="70"/>
      <c r="E164" s="70"/>
      <c r="F164" s="70"/>
      <c r="G164" s="70"/>
      <c r="H164" s="70"/>
      <c r="I164" s="71"/>
      <c r="J164" s="380"/>
      <c r="K164" s="70"/>
      <c r="L164" s="365"/>
      <c r="M164" s="70"/>
      <c r="N164" s="70"/>
      <c r="O164" s="71"/>
      <c r="P164" s="176">
        <f aca="true" t="shared" si="9" ref="P164:P190">SUM(C164:O164)</f>
        <v>0</v>
      </c>
      <c r="Q164" s="163"/>
      <c r="R164" s="163"/>
      <c r="S164" s="163"/>
    </row>
    <row r="165" spans="1:19" ht="25.5">
      <c r="A165" s="650" t="s">
        <v>183</v>
      </c>
      <c r="B165" s="309" t="s">
        <v>141</v>
      </c>
      <c r="C165" s="381"/>
      <c r="D165" s="195"/>
      <c r="E165" s="195"/>
      <c r="F165" s="195"/>
      <c r="G165" s="195"/>
      <c r="H165" s="195"/>
      <c r="I165" s="371"/>
      <c r="J165" s="381"/>
      <c r="K165" s="195"/>
      <c r="L165" s="393"/>
      <c r="M165" s="195">
        <v>300000</v>
      </c>
      <c r="N165" s="195"/>
      <c r="O165" s="371"/>
      <c r="P165" s="176">
        <f t="shared" si="9"/>
        <v>300000</v>
      </c>
      <c r="Q165" s="163"/>
      <c r="R165" s="163"/>
      <c r="S165" s="163"/>
    </row>
    <row r="166" spans="1:19" ht="25.5">
      <c r="A166" s="650" t="s">
        <v>184</v>
      </c>
      <c r="B166" s="309" t="s">
        <v>141</v>
      </c>
      <c r="C166" s="345"/>
      <c r="D166" s="196"/>
      <c r="E166" s="196">
        <f>90000-90000</f>
        <v>0</v>
      </c>
      <c r="F166" s="196"/>
      <c r="G166" s="196"/>
      <c r="H166" s="196"/>
      <c r="I166" s="352"/>
      <c r="J166" s="345"/>
      <c r="K166" s="196"/>
      <c r="L166" s="367"/>
      <c r="M166" s="196">
        <v>90000</v>
      </c>
      <c r="N166" s="196"/>
      <c r="O166" s="352"/>
      <c r="P166" s="176">
        <f t="shared" si="9"/>
        <v>90000</v>
      </c>
      <c r="Q166" s="163"/>
      <c r="R166" s="163"/>
      <c r="S166" s="163"/>
    </row>
    <row r="167" spans="1:19" ht="38.25">
      <c r="A167" s="74" t="s">
        <v>201</v>
      </c>
      <c r="B167" s="437" t="s">
        <v>141</v>
      </c>
      <c r="C167" s="70"/>
      <c r="D167" s="70"/>
      <c r="E167" s="70"/>
      <c r="F167" s="15"/>
      <c r="G167" s="15"/>
      <c r="H167" s="15"/>
      <c r="I167" s="72"/>
      <c r="J167" s="382"/>
      <c r="K167" s="15"/>
      <c r="L167" s="366"/>
      <c r="M167" s="15">
        <v>50000</v>
      </c>
      <c r="N167" s="15"/>
      <c r="O167" s="72"/>
      <c r="P167" s="176">
        <f t="shared" si="9"/>
        <v>50000</v>
      </c>
      <c r="Q167" s="163"/>
      <c r="R167" s="163"/>
      <c r="S167" s="163"/>
    </row>
    <row r="168" spans="1:19" ht="38.25">
      <c r="A168" s="74" t="s">
        <v>202</v>
      </c>
      <c r="B168" s="437" t="s">
        <v>141</v>
      </c>
      <c r="C168" s="382"/>
      <c r="D168" s="15"/>
      <c r="E168" s="15"/>
      <c r="F168" s="15"/>
      <c r="G168" s="15"/>
      <c r="H168" s="15"/>
      <c r="I168" s="72"/>
      <c r="J168" s="382"/>
      <c r="K168" s="15"/>
      <c r="L168" s="366"/>
      <c r="M168" s="15">
        <v>300000</v>
      </c>
      <c r="N168" s="15"/>
      <c r="O168" s="72"/>
      <c r="P168" s="176">
        <f t="shared" si="9"/>
        <v>300000</v>
      </c>
      <c r="Q168" s="163"/>
      <c r="R168" s="163"/>
      <c r="S168" s="163"/>
    </row>
    <row r="169" spans="1:19" ht="12.75" hidden="1">
      <c r="A169" s="13"/>
      <c r="B169" s="64" t="s">
        <v>34</v>
      </c>
      <c r="C169" s="382"/>
      <c r="D169" s="15"/>
      <c r="E169" s="15"/>
      <c r="F169" s="15"/>
      <c r="G169" s="15"/>
      <c r="H169" s="15"/>
      <c r="I169" s="72"/>
      <c r="J169" s="382"/>
      <c r="K169" s="15"/>
      <c r="L169" s="366"/>
      <c r="M169" s="15"/>
      <c r="N169" s="15"/>
      <c r="O169" s="72"/>
      <c r="P169" s="176">
        <f t="shared" si="9"/>
        <v>0</v>
      </c>
      <c r="Q169" s="163"/>
      <c r="R169" s="163"/>
      <c r="S169" s="163"/>
    </row>
    <row r="170" spans="1:19" ht="12.75" hidden="1">
      <c r="A170" s="13"/>
      <c r="B170" s="64" t="s">
        <v>34</v>
      </c>
      <c r="C170" s="382"/>
      <c r="D170" s="15"/>
      <c r="E170" s="15"/>
      <c r="F170" s="15"/>
      <c r="G170" s="15"/>
      <c r="H170" s="15"/>
      <c r="I170" s="72"/>
      <c r="J170" s="382"/>
      <c r="K170" s="15"/>
      <c r="L170" s="366"/>
      <c r="M170" s="15"/>
      <c r="N170" s="15"/>
      <c r="O170" s="72"/>
      <c r="P170" s="176">
        <f t="shared" si="9"/>
        <v>0</v>
      </c>
      <c r="Q170" s="163"/>
      <c r="R170" s="163"/>
      <c r="S170" s="163"/>
    </row>
    <row r="171" spans="1:19" ht="12.75" hidden="1">
      <c r="A171" s="13"/>
      <c r="B171" s="64" t="s">
        <v>34</v>
      </c>
      <c r="C171" s="382"/>
      <c r="D171" s="15"/>
      <c r="E171" s="15"/>
      <c r="F171" s="15"/>
      <c r="G171" s="15"/>
      <c r="H171" s="15"/>
      <c r="I171" s="72"/>
      <c r="J171" s="382"/>
      <c r="K171" s="15"/>
      <c r="L171" s="366"/>
      <c r="M171" s="15"/>
      <c r="N171" s="15"/>
      <c r="O171" s="72"/>
      <c r="P171" s="176">
        <f t="shared" si="9"/>
        <v>0</v>
      </c>
      <c r="Q171" s="163"/>
      <c r="R171" s="163"/>
      <c r="S171" s="163"/>
    </row>
    <row r="172" spans="1:19" ht="12.75">
      <c r="A172" s="174" t="s">
        <v>37</v>
      </c>
      <c r="B172" s="166" t="s">
        <v>33</v>
      </c>
      <c r="C172" s="382"/>
      <c r="D172" s="15"/>
      <c r="E172" s="15"/>
      <c r="F172" s="15"/>
      <c r="G172" s="15"/>
      <c r="H172" s="15"/>
      <c r="I172" s="72"/>
      <c r="J172" s="382"/>
      <c r="K172" s="15"/>
      <c r="L172" s="366"/>
      <c r="M172" s="15"/>
      <c r="N172" s="15"/>
      <c r="O172" s="72"/>
      <c r="P172" s="176">
        <f t="shared" si="9"/>
        <v>0</v>
      </c>
      <c r="Q172" s="163"/>
      <c r="R172" s="163"/>
      <c r="S172" s="163"/>
    </row>
    <row r="173" spans="1:19" ht="12.75" hidden="1">
      <c r="A173" s="13"/>
      <c r="B173" s="64"/>
      <c r="C173" s="382"/>
      <c r="D173" s="15"/>
      <c r="E173" s="15"/>
      <c r="F173" s="15"/>
      <c r="G173" s="15"/>
      <c r="H173" s="15"/>
      <c r="I173" s="72"/>
      <c r="J173" s="382"/>
      <c r="K173" s="15"/>
      <c r="L173" s="366"/>
      <c r="M173" s="15"/>
      <c r="N173" s="15"/>
      <c r="O173" s="72"/>
      <c r="P173" s="176">
        <f t="shared" si="9"/>
        <v>0</v>
      </c>
      <c r="Q173" s="163"/>
      <c r="R173" s="163"/>
      <c r="S173" s="163"/>
    </row>
    <row r="174" spans="1:19" ht="12.75" hidden="1">
      <c r="A174" s="65"/>
      <c r="B174" s="67"/>
      <c r="C174" s="382"/>
      <c r="D174" s="15"/>
      <c r="E174" s="15"/>
      <c r="F174" s="15"/>
      <c r="G174" s="15"/>
      <c r="H174" s="15"/>
      <c r="I174" s="72"/>
      <c r="J174" s="382"/>
      <c r="K174" s="15"/>
      <c r="L174" s="366"/>
      <c r="M174" s="15"/>
      <c r="N174" s="15"/>
      <c r="O174" s="72"/>
      <c r="P174" s="176">
        <f t="shared" si="9"/>
        <v>0</v>
      </c>
      <c r="Q174" s="163"/>
      <c r="R174" s="163"/>
      <c r="S174" s="163"/>
    </row>
    <row r="175" spans="1:19" ht="15" customHeight="1" hidden="1">
      <c r="A175" s="65"/>
      <c r="B175" s="67"/>
      <c r="C175" s="382"/>
      <c r="D175" s="15"/>
      <c r="E175" s="15"/>
      <c r="F175" s="15"/>
      <c r="G175" s="15"/>
      <c r="H175" s="15"/>
      <c r="I175" s="72"/>
      <c r="J175" s="382"/>
      <c r="K175" s="15"/>
      <c r="L175" s="366"/>
      <c r="M175" s="15"/>
      <c r="N175" s="15"/>
      <c r="O175" s="72"/>
      <c r="P175" s="176">
        <f t="shared" si="9"/>
        <v>0</v>
      </c>
      <c r="Q175" s="163"/>
      <c r="R175" s="163"/>
      <c r="S175" s="163"/>
    </row>
    <row r="176" spans="1:19" ht="15.75" customHeight="1" hidden="1">
      <c r="A176" s="65" t="s">
        <v>49</v>
      </c>
      <c r="B176" s="67" t="s">
        <v>39</v>
      </c>
      <c r="C176" s="382"/>
      <c r="D176" s="15"/>
      <c r="E176" s="15"/>
      <c r="F176" s="15"/>
      <c r="G176" s="15"/>
      <c r="H176" s="15"/>
      <c r="I176" s="72"/>
      <c r="J176" s="382"/>
      <c r="K176" s="15"/>
      <c r="L176" s="366"/>
      <c r="M176" s="15"/>
      <c r="N176" s="15"/>
      <c r="O176" s="72"/>
      <c r="P176" s="176">
        <f t="shared" si="9"/>
        <v>0</v>
      </c>
      <c r="Q176" s="163"/>
      <c r="R176" s="163"/>
      <c r="S176" s="163"/>
    </row>
    <row r="177" spans="1:19" ht="12.75" hidden="1">
      <c r="A177" s="13" t="s">
        <v>49</v>
      </c>
      <c r="B177" s="64" t="s">
        <v>39</v>
      </c>
      <c r="C177" s="382"/>
      <c r="D177" s="15"/>
      <c r="E177" s="15"/>
      <c r="F177" s="15"/>
      <c r="G177" s="15"/>
      <c r="H177" s="15"/>
      <c r="I177" s="72"/>
      <c r="J177" s="382"/>
      <c r="K177" s="15"/>
      <c r="L177" s="366"/>
      <c r="M177" s="15"/>
      <c r="N177" s="15"/>
      <c r="O177" s="72"/>
      <c r="P177" s="176">
        <f t="shared" si="9"/>
        <v>0</v>
      </c>
      <c r="Q177" s="163"/>
      <c r="R177" s="163"/>
      <c r="S177" s="163"/>
    </row>
    <row r="178" spans="1:19" ht="12.75" hidden="1">
      <c r="A178" s="13" t="s">
        <v>50</v>
      </c>
      <c r="B178" s="64" t="s">
        <v>35</v>
      </c>
      <c r="C178" s="382"/>
      <c r="D178" s="15"/>
      <c r="E178" s="15"/>
      <c r="F178" s="15"/>
      <c r="G178" s="15"/>
      <c r="H178" s="15"/>
      <c r="I178" s="72"/>
      <c r="J178" s="382"/>
      <c r="K178" s="15"/>
      <c r="L178" s="366"/>
      <c r="M178" s="15"/>
      <c r="N178" s="15"/>
      <c r="O178" s="72"/>
      <c r="P178" s="176">
        <f t="shared" si="9"/>
        <v>0</v>
      </c>
      <c r="Q178" s="163"/>
      <c r="R178" s="163"/>
      <c r="S178" s="163"/>
    </row>
    <row r="179" spans="1:19" ht="13.5" customHeight="1" hidden="1">
      <c r="A179" s="197"/>
      <c r="B179" s="198"/>
      <c r="C179" s="382"/>
      <c r="D179" s="15"/>
      <c r="E179" s="15"/>
      <c r="F179" s="15"/>
      <c r="G179" s="15"/>
      <c r="H179" s="15"/>
      <c r="I179" s="72"/>
      <c r="J179" s="382"/>
      <c r="K179" s="15"/>
      <c r="L179" s="366"/>
      <c r="M179" s="15"/>
      <c r="N179" s="15"/>
      <c r="O179" s="72"/>
      <c r="P179" s="176">
        <f t="shared" si="9"/>
        <v>0</v>
      </c>
      <c r="Q179" s="163"/>
      <c r="R179" s="163"/>
      <c r="S179" s="163"/>
    </row>
    <row r="180" spans="1:19" ht="0.75" customHeight="1" hidden="1">
      <c r="A180" s="197" t="s">
        <v>51</v>
      </c>
      <c r="B180" s="198" t="s">
        <v>35</v>
      </c>
      <c r="C180" s="382"/>
      <c r="D180" s="15"/>
      <c r="E180" s="15"/>
      <c r="F180" s="15"/>
      <c r="G180" s="15"/>
      <c r="H180" s="15"/>
      <c r="I180" s="72"/>
      <c r="J180" s="382"/>
      <c r="K180" s="15"/>
      <c r="L180" s="366"/>
      <c r="M180" s="15"/>
      <c r="N180" s="15"/>
      <c r="O180" s="72"/>
      <c r="P180" s="176">
        <f t="shared" si="9"/>
        <v>0</v>
      </c>
      <c r="Q180" s="163"/>
      <c r="R180" s="163"/>
      <c r="S180" s="163"/>
    </row>
    <row r="181" spans="1:19" ht="13.5" customHeight="1" hidden="1">
      <c r="A181" s="197" t="s">
        <v>52</v>
      </c>
      <c r="B181" s="198"/>
      <c r="C181" s="382"/>
      <c r="D181" s="15"/>
      <c r="E181" s="15"/>
      <c r="F181" s="15"/>
      <c r="G181" s="15"/>
      <c r="H181" s="15"/>
      <c r="I181" s="72"/>
      <c r="J181" s="382"/>
      <c r="K181" s="15"/>
      <c r="L181" s="366"/>
      <c r="M181" s="15"/>
      <c r="N181" s="15"/>
      <c r="O181" s="72"/>
      <c r="P181" s="176">
        <f t="shared" si="9"/>
        <v>0</v>
      </c>
      <c r="Q181" s="163"/>
      <c r="R181" s="163"/>
      <c r="S181" s="163"/>
    </row>
    <row r="182" spans="1:19" ht="15.75" customHeight="1" hidden="1">
      <c r="A182" s="65"/>
      <c r="B182" s="64"/>
      <c r="C182" s="345"/>
      <c r="D182" s="196"/>
      <c r="E182" s="196"/>
      <c r="F182" s="196"/>
      <c r="G182" s="196"/>
      <c r="H182" s="196"/>
      <c r="I182" s="352"/>
      <c r="J182" s="345"/>
      <c r="K182" s="196"/>
      <c r="L182" s="367"/>
      <c r="M182" s="196"/>
      <c r="N182" s="196"/>
      <c r="O182" s="352"/>
      <c r="P182" s="176">
        <f t="shared" si="9"/>
        <v>0</v>
      </c>
      <c r="Q182" s="163"/>
      <c r="R182" s="163"/>
      <c r="S182" s="163"/>
    </row>
    <row r="183" spans="1:19" ht="12.75" customHeight="1" thickBot="1">
      <c r="A183" s="13"/>
      <c r="B183" s="309" t="s">
        <v>141</v>
      </c>
      <c r="C183" s="382"/>
      <c r="D183" s="15"/>
      <c r="E183" s="15"/>
      <c r="F183" s="15"/>
      <c r="G183" s="15"/>
      <c r="H183" s="15"/>
      <c r="I183" s="72"/>
      <c r="J183" s="382"/>
      <c r="K183" s="15"/>
      <c r="L183" s="366"/>
      <c r="M183" s="15"/>
      <c r="N183" s="15"/>
      <c r="O183" s="72"/>
      <c r="P183" s="176">
        <f t="shared" si="9"/>
        <v>0</v>
      </c>
      <c r="Q183" s="163"/>
      <c r="R183" s="163"/>
      <c r="S183" s="163"/>
    </row>
    <row r="184" spans="1:19" ht="16.5" customHeight="1" hidden="1">
      <c r="A184" s="65"/>
      <c r="B184" s="67"/>
      <c r="C184" s="345"/>
      <c r="D184" s="196"/>
      <c r="E184" s="69"/>
      <c r="F184" s="69"/>
      <c r="G184" s="196"/>
      <c r="H184" s="196"/>
      <c r="I184" s="352"/>
      <c r="J184" s="345"/>
      <c r="K184" s="196"/>
      <c r="L184" s="367"/>
      <c r="M184" s="196"/>
      <c r="N184" s="196"/>
      <c r="O184" s="352"/>
      <c r="P184" s="173">
        <f t="shared" si="9"/>
        <v>0</v>
      </c>
      <c r="Q184" s="163"/>
      <c r="R184" s="163"/>
      <c r="S184" s="163"/>
    </row>
    <row r="185" spans="1:19" ht="16.5" customHeight="1" hidden="1" thickBot="1">
      <c r="A185" s="65"/>
      <c r="B185" s="67"/>
      <c r="C185" s="325"/>
      <c r="D185" s="178"/>
      <c r="E185" s="178"/>
      <c r="F185" s="199"/>
      <c r="G185" s="178"/>
      <c r="H185" s="178"/>
      <c r="I185" s="179"/>
      <c r="J185" s="325"/>
      <c r="K185" s="178"/>
      <c r="L185" s="339"/>
      <c r="M185" s="178"/>
      <c r="N185" s="178"/>
      <c r="O185" s="179"/>
      <c r="P185" s="173">
        <f t="shared" si="9"/>
        <v>0</v>
      </c>
      <c r="Q185" s="163"/>
      <c r="R185" s="163"/>
      <c r="S185" s="163"/>
    </row>
    <row r="186" spans="1:19" ht="15.75" customHeight="1" hidden="1" thickBot="1">
      <c r="A186" s="200"/>
      <c r="B186" s="201"/>
      <c r="C186" s="383"/>
      <c r="D186" s="374"/>
      <c r="E186" s="387"/>
      <c r="F186" s="387"/>
      <c r="G186" s="374"/>
      <c r="H186" s="374"/>
      <c r="I186" s="202"/>
      <c r="J186" s="203"/>
      <c r="K186" s="374"/>
      <c r="L186" s="203"/>
      <c r="M186" s="374"/>
      <c r="N186" s="374"/>
      <c r="O186" s="203"/>
      <c r="P186" s="204">
        <f t="shared" si="9"/>
        <v>0</v>
      </c>
      <c r="Q186" s="163"/>
      <c r="R186" s="163"/>
      <c r="S186" s="163"/>
    </row>
    <row r="187" spans="1:19" ht="18" customHeight="1" thickBot="1">
      <c r="A187" s="205" t="s">
        <v>45</v>
      </c>
      <c r="B187" s="206"/>
      <c r="C187" s="384">
        <f aca="true" t="shared" si="10" ref="C187:J187">SUM(C164:C186)</f>
        <v>0</v>
      </c>
      <c r="D187" s="375">
        <f t="shared" si="10"/>
        <v>0</v>
      </c>
      <c r="E187" s="375">
        <f t="shared" si="10"/>
        <v>0</v>
      </c>
      <c r="F187" s="375">
        <f t="shared" si="10"/>
        <v>0</v>
      </c>
      <c r="G187" s="375">
        <f t="shared" si="10"/>
        <v>0</v>
      </c>
      <c r="H187" s="375">
        <f t="shared" si="10"/>
        <v>0</v>
      </c>
      <c r="I187" s="372">
        <f t="shared" si="10"/>
        <v>0</v>
      </c>
      <c r="J187" s="384">
        <f t="shared" si="10"/>
        <v>0</v>
      </c>
      <c r="K187" s="375"/>
      <c r="L187" s="394">
        <f>SUM(L164:L186)</f>
        <v>0</v>
      </c>
      <c r="M187" s="375">
        <f>SUM(M164:M186)</f>
        <v>740000</v>
      </c>
      <c r="N187" s="375">
        <f>SUM(N164:N186)</f>
        <v>0</v>
      </c>
      <c r="O187" s="372">
        <f>SUM(O164:O186)</f>
        <v>0</v>
      </c>
      <c r="P187" s="522">
        <f t="shared" si="9"/>
        <v>740000</v>
      </c>
      <c r="Q187" s="163"/>
      <c r="R187" s="163"/>
      <c r="S187" s="163"/>
    </row>
    <row r="188" spans="1:19" ht="18" customHeight="1" thickBot="1">
      <c r="A188" s="207" t="s">
        <v>46</v>
      </c>
      <c r="B188" s="208"/>
      <c r="C188" s="326">
        <f>C187-C168</f>
        <v>0</v>
      </c>
      <c r="D188" s="263">
        <f aca="true" t="shared" si="11" ref="D188:O188">D187-D168</f>
        <v>0</v>
      </c>
      <c r="E188" s="263">
        <f t="shared" si="11"/>
        <v>0</v>
      </c>
      <c r="F188" s="263">
        <f t="shared" si="11"/>
        <v>0</v>
      </c>
      <c r="G188" s="263">
        <f t="shared" si="11"/>
        <v>0</v>
      </c>
      <c r="H188" s="263">
        <f t="shared" si="11"/>
        <v>0</v>
      </c>
      <c r="I188" s="353">
        <f t="shared" si="11"/>
        <v>0</v>
      </c>
      <c r="J188" s="326">
        <f t="shared" si="11"/>
        <v>0</v>
      </c>
      <c r="K188" s="263">
        <f t="shared" si="11"/>
        <v>0</v>
      </c>
      <c r="L188" s="368">
        <f t="shared" si="11"/>
        <v>0</v>
      </c>
      <c r="M188" s="263">
        <f>M187</f>
        <v>740000</v>
      </c>
      <c r="N188" s="263">
        <f t="shared" si="11"/>
        <v>0</v>
      </c>
      <c r="O188" s="353">
        <f t="shared" si="11"/>
        <v>0</v>
      </c>
      <c r="P188" s="263">
        <f t="shared" si="9"/>
        <v>740000</v>
      </c>
      <c r="Q188" s="163"/>
      <c r="R188" s="163"/>
      <c r="S188" s="163"/>
    </row>
    <row r="189" spans="1:19" ht="21" customHeight="1" thickBot="1">
      <c r="A189" s="82" t="s">
        <v>98</v>
      </c>
      <c r="B189" s="161"/>
      <c r="C189" s="327">
        <f aca="true" t="shared" si="12" ref="C189:J189">C161+C187</f>
        <v>0</v>
      </c>
      <c r="D189" s="264">
        <f t="shared" si="12"/>
        <v>0</v>
      </c>
      <c r="E189" s="264">
        <f t="shared" si="12"/>
        <v>0</v>
      </c>
      <c r="F189" s="264">
        <f t="shared" si="12"/>
        <v>0</v>
      </c>
      <c r="G189" s="264">
        <f t="shared" si="12"/>
        <v>0</v>
      </c>
      <c r="H189" s="264">
        <f t="shared" si="12"/>
        <v>0</v>
      </c>
      <c r="I189" s="260">
        <f t="shared" si="12"/>
        <v>0</v>
      </c>
      <c r="J189" s="327">
        <f t="shared" si="12"/>
        <v>0</v>
      </c>
      <c r="K189" s="264"/>
      <c r="L189" s="340">
        <f>L161+L187</f>
        <v>0</v>
      </c>
      <c r="M189" s="264">
        <f>M161+M187</f>
        <v>740000</v>
      </c>
      <c r="N189" s="264">
        <f>N161+N187</f>
        <v>0</v>
      </c>
      <c r="O189" s="260">
        <f>O163+O187</f>
        <v>0</v>
      </c>
      <c r="P189" s="181">
        <f t="shared" si="9"/>
        <v>740000</v>
      </c>
      <c r="Q189" s="163"/>
      <c r="R189" s="163"/>
      <c r="S189" s="163"/>
    </row>
    <row r="190" spans="1:19" ht="20.25" customHeight="1" thickBot="1">
      <c r="A190" s="664" t="s">
        <v>132</v>
      </c>
      <c r="B190" s="665"/>
      <c r="C190" s="328">
        <f>C161+C188</f>
        <v>0</v>
      </c>
      <c r="D190" s="265">
        <f aca="true" t="shared" si="13" ref="D190:O190">D161+D188</f>
        <v>0</v>
      </c>
      <c r="E190" s="265">
        <f t="shared" si="13"/>
        <v>0</v>
      </c>
      <c r="F190" s="265">
        <f t="shared" si="13"/>
        <v>0</v>
      </c>
      <c r="G190" s="265">
        <f t="shared" si="13"/>
        <v>0</v>
      </c>
      <c r="H190" s="265">
        <f t="shared" si="13"/>
        <v>0</v>
      </c>
      <c r="I190" s="261">
        <f t="shared" si="13"/>
        <v>0</v>
      </c>
      <c r="J190" s="328">
        <f t="shared" si="13"/>
        <v>0</v>
      </c>
      <c r="K190" s="265">
        <f t="shared" si="13"/>
        <v>0</v>
      </c>
      <c r="L190" s="341">
        <f t="shared" si="13"/>
        <v>0</v>
      </c>
      <c r="M190" s="265">
        <f t="shared" si="13"/>
        <v>740000</v>
      </c>
      <c r="N190" s="265">
        <f t="shared" si="13"/>
        <v>0</v>
      </c>
      <c r="O190" s="261">
        <f t="shared" si="13"/>
        <v>0</v>
      </c>
      <c r="P190" s="265">
        <f t="shared" si="9"/>
        <v>740000</v>
      </c>
      <c r="Q190" s="209"/>
      <c r="R190" s="163"/>
      <c r="S190" s="163"/>
    </row>
    <row r="191" spans="1:19" s="23" customFormat="1" ht="12.75" hidden="1">
      <c r="A191" s="210"/>
      <c r="B191" s="210" t="s">
        <v>53</v>
      </c>
      <c r="C191" s="211">
        <f aca="true" t="shared" si="14" ref="C191:L191">C189+C153</f>
        <v>11007070</v>
      </c>
      <c r="D191" s="211">
        <f t="shared" si="14"/>
        <v>5631863</v>
      </c>
      <c r="E191" s="211">
        <f t="shared" si="14"/>
        <v>11543955.06</v>
      </c>
      <c r="F191" s="211">
        <f t="shared" si="14"/>
        <v>11116230.17</v>
      </c>
      <c r="G191" s="211">
        <f t="shared" si="14"/>
        <v>4068637</v>
      </c>
      <c r="H191" s="211">
        <f t="shared" si="14"/>
        <v>8728947.629999999</v>
      </c>
      <c r="I191" s="211">
        <f t="shared" si="14"/>
        <v>2528358</v>
      </c>
      <c r="J191" s="211">
        <f t="shared" si="14"/>
        <v>2486560</v>
      </c>
      <c r="K191" s="211">
        <f t="shared" si="14"/>
        <v>34705</v>
      </c>
      <c r="L191" s="211">
        <f t="shared" si="14"/>
        <v>944439</v>
      </c>
      <c r="M191" s="211">
        <f>M153+M189</f>
        <v>4853256</v>
      </c>
      <c r="N191" s="211"/>
      <c r="O191" s="211">
        <f>O189+O153</f>
        <v>1151.8700000001118</v>
      </c>
      <c r="P191" s="211">
        <f>P153+P189</f>
        <v>64553018.73</v>
      </c>
      <c r="Q191" s="211"/>
      <c r="R191" s="211"/>
      <c r="S191" s="211"/>
    </row>
    <row r="192" spans="1:19" ht="12.75" hidden="1">
      <c r="A192" s="158"/>
      <c r="B192" s="158"/>
      <c r="C192" s="212">
        <v>-1056426.0700000003</v>
      </c>
      <c r="D192" s="212">
        <v>-188614.76999999955</v>
      </c>
      <c r="E192" s="212">
        <v>-1442614.5700000003</v>
      </c>
      <c r="F192" s="212">
        <v>-483777.70999999903</v>
      </c>
      <c r="G192" s="212">
        <v>-483858.7999999998</v>
      </c>
      <c r="H192" s="212">
        <v>-1455472.4400000013</v>
      </c>
      <c r="I192" s="212">
        <v>134950</v>
      </c>
      <c r="J192" s="212">
        <v>-90749</v>
      </c>
      <c r="K192" s="212">
        <v>20895</v>
      </c>
      <c r="L192" s="212">
        <v>-122175</v>
      </c>
      <c r="M192" s="212">
        <v>-7475124</v>
      </c>
      <c r="N192" s="212"/>
      <c r="O192" s="212">
        <v>2517761</v>
      </c>
      <c r="P192" s="212">
        <v>-8369838.359999999</v>
      </c>
      <c r="Q192" s="163"/>
      <c r="R192" s="163"/>
      <c r="S192" s="163"/>
    </row>
    <row r="193" spans="1:19" ht="12.75" hidden="1">
      <c r="A193" s="158"/>
      <c r="B193" s="158"/>
      <c r="C193" s="163">
        <v>-172420.51</v>
      </c>
      <c r="D193" s="163">
        <v>-62911</v>
      </c>
      <c r="E193" s="163">
        <v>-463540</v>
      </c>
      <c r="F193" s="163">
        <v>-379339.29</v>
      </c>
      <c r="G193" s="163">
        <v>-6155</v>
      </c>
      <c r="H193" s="163">
        <v>-54839</v>
      </c>
      <c r="I193" s="163">
        <v>-37738</v>
      </c>
      <c r="J193" s="163">
        <v>0</v>
      </c>
      <c r="K193" s="163">
        <v>0</v>
      </c>
      <c r="L193" s="163">
        <v>0</v>
      </c>
      <c r="M193" s="163">
        <v>-6725000</v>
      </c>
      <c r="N193" s="163"/>
      <c r="O193" s="163">
        <v>0</v>
      </c>
      <c r="P193" s="163">
        <f>SUM(C193:O193)</f>
        <v>-7901942.8</v>
      </c>
      <c r="Q193" s="163"/>
      <c r="R193" s="163"/>
      <c r="S193" s="163"/>
    </row>
    <row r="194" spans="1:19" ht="12.75" hidden="1">
      <c r="A194" s="158"/>
      <c r="B194" s="158"/>
      <c r="C194" s="163"/>
      <c r="D194" s="163"/>
      <c r="E194" s="213"/>
      <c r="F194" s="214"/>
      <c r="G194" s="24"/>
      <c r="H194" s="213"/>
      <c r="I194" s="213"/>
      <c r="J194" s="213"/>
      <c r="K194" s="213"/>
      <c r="L194" s="163"/>
      <c r="M194" s="163"/>
      <c r="N194" s="163"/>
      <c r="O194" s="163"/>
      <c r="P194" s="163"/>
      <c r="Q194" s="163"/>
      <c r="R194" s="163"/>
      <c r="S194" s="163"/>
    </row>
    <row r="195" spans="1:19" ht="12.75" hidden="1">
      <c r="A195" s="158" t="s">
        <v>54</v>
      </c>
      <c r="B195" s="158"/>
      <c r="C195" s="163">
        <f aca="true" t="shared" si="15" ref="C195:M195">C189+C153</f>
        <v>11007070</v>
      </c>
      <c r="D195" s="163">
        <f t="shared" si="15"/>
        <v>5631863</v>
      </c>
      <c r="E195" s="163">
        <f t="shared" si="15"/>
        <v>11543955.06</v>
      </c>
      <c r="F195" s="163">
        <f t="shared" si="15"/>
        <v>11116230.17</v>
      </c>
      <c r="G195" s="163">
        <f t="shared" si="15"/>
        <v>4068637</v>
      </c>
      <c r="H195" s="163">
        <f t="shared" si="15"/>
        <v>8728947.629999999</v>
      </c>
      <c r="I195" s="163">
        <f t="shared" si="15"/>
        <v>2528358</v>
      </c>
      <c r="J195" s="213">
        <f t="shared" si="15"/>
        <v>2486560</v>
      </c>
      <c r="K195" s="213">
        <f t="shared" si="15"/>
        <v>34705</v>
      </c>
      <c r="L195" s="213">
        <f t="shared" si="15"/>
        <v>944439</v>
      </c>
      <c r="M195" s="213">
        <f t="shared" si="15"/>
        <v>4853256</v>
      </c>
      <c r="N195" s="213"/>
      <c r="O195" s="213">
        <f>O189+O153</f>
        <v>1151.8700000001118</v>
      </c>
      <c r="P195" s="163">
        <f>SUM(C195:O195)</f>
        <v>62945172.73</v>
      </c>
      <c r="Q195" s="163"/>
      <c r="R195" s="163"/>
      <c r="S195" s="163"/>
    </row>
    <row r="196" spans="1:19" ht="12.75" hidden="1">
      <c r="A196" s="158" t="s">
        <v>55</v>
      </c>
      <c r="B196" s="158"/>
      <c r="C196" s="163">
        <v>-1056426.0700000003</v>
      </c>
      <c r="D196" s="163">
        <v>-188614.76999999955</v>
      </c>
      <c r="E196" s="163">
        <v>-1442614.5700000003</v>
      </c>
      <c r="F196" s="163">
        <v>-483777.70999999903</v>
      </c>
      <c r="G196" s="163">
        <v>-483858.7999999998</v>
      </c>
      <c r="H196" s="163">
        <v>-1455472.4400000013</v>
      </c>
      <c r="I196" s="163">
        <v>134950</v>
      </c>
      <c r="J196" s="213">
        <v>-90749</v>
      </c>
      <c r="K196" s="213">
        <v>20895</v>
      </c>
      <c r="L196" s="213">
        <v>-122175</v>
      </c>
      <c r="M196" s="213">
        <v>-7475124</v>
      </c>
      <c r="N196" s="213"/>
      <c r="O196" s="213">
        <v>2517761</v>
      </c>
      <c r="P196" s="163">
        <f>SUM(C196:O196)</f>
        <v>-10125206.36</v>
      </c>
      <c r="Q196" s="163"/>
      <c r="R196" s="163"/>
      <c r="S196" s="163"/>
    </row>
    <row r="197" spans="1:19" ht="12.75">
      <c r="A197" s="158"/>
      <c r="B197" s="158"/>
      <c r="C197" s="651">
        <f>C189-'súhrnná po AS'!C95</f>
        <v>0</v>
      </c>
      <c r="D197" s="651">
        <f>D189-'súhrnná po AS'!D95</f>
        <v>0</v>
      </c>
      <c r="E197" s="651">
        <f>E189-'súhrnná po AS'!E95</f>
        <v>0</v>
      </c>
      <c r="F197" s="651">
        <f>F189-'súhrnná po AS'!F95</f>
        <v>0</v>
      </c>
      <c r="G197" s="651">
        <f>G189-'súhrnná po AS'!G95</f>
        <v>0</v>
      </c>
      <c r="H197" s="651">
        <f>H189-'súhrnná po AS'!H95</f>
        <v>0</v>
      </c>
      <c r="I197" s="651">
        <f>I189-'súhrnná po AS'!I95</f>
        <v>0</v>
      </c>
      <c r="J197" s="651">
        <f>J189-'súhrnná po AS'!J95</f>
        <v>0</v>
      </c>
      <c r="K197" s="651">
        <f>K189-'súhrnná po AS'!M95</f>
        <v>0</v>
      </c>
      <c r="L197" s="651">
        <f>L161-'súhrnná po AS'!L95</f>
        <v>0</v>
      </c>
      <c r="M197" s="651">
        <f>M189-'súhrnná po AS'!N95</f>
        <v>0</v>
      </c>
      <c r="N197" s="651">
        <f>N189-'súhrnná po AS'!O95</f>
        <v>0</v>
      </c>
      <c r="O197" s="651">
        <f>O161-'súhrnná po AS'!O95</f>
        <v>0</v>
      </c>
      <c r="P197" s="651">
        <f>P189-'súhrnná po AS'!R95</f>
        <v>0</v>
      </c>
      <c r="Q197" s="163"/>
      <c r="R197" s="163"/>
      <c r="S197" s="163"/>
    </row>
    <row r="198" spans="1:19" ht="12.75">
      <c r="A198" s="158"/>
      <c r="B198" s="158"/>
      <c r="C198" s="163">
        <f>C189-'súhrnná po AS'!C95</f>
        <v>0</v>
      </c>
      <c r="D198" s="163">
        <f>D189-'súhrnná po AS'!D95</f>
        <v>0</v>
      </c>
      <c r="E198" s="163">
        <f>E189-'súhrnná po AS'!E95</f>
        <v>0</v>
      </c>
      <c r="F198" s="163">
        <f>F189-'súhrnná po AS'!F95</f>
        <v>0</v>
      </c>
      <c r="G198" s="163">
        <f>G189-'súhrnná po AS'!G95</f>
        <v>0</v>
      </c>
      <c r="H198" s="163">
        <f>H189-'súhrnná po AS'!H95</f>
        <v>0</v>
      </c>
      <c r="I198" s="163">
        <f>I189-'súhrnná po AS'!I95</f>
        <v>0</v>
      </c>
      <c r="J198" s="163">
        <f>J189-'súhrnná po AS'!L95</f>
        <v>0</v>
      </c>
      <c r="K198" s="163">
        <f>K189-'súhrnná po AS'!M95</f>
        <v>0</v>
      </c>
      <c r="L198" s="163">
        <f>L190-'súhrnná po AS'!J96</f>
        <v>0</v>
      </c>
      <c r="M198" s="163">
        <f>M189-'súhrnná po AS'!N95</f>
        <v>0</v>
      </c>
      <c r="N198" s="163">
        <f>N189-'súhrnná po AS'!O95</f>
        <v>0</v>
      </c>
      <c r="O198" s="163">
        <f>O189-'súhrnná po AS'!P95</f>
        <v>0</v>
      </c>
      <c r="P198" s="163">
        <f>P189-'súhrnná po AS'!R95</f>
        <v>0</v>
      </c>
      <c r="Q198" s="163"/>
      <c r="R198" s="163"/>
      <c r="S198" s="163"/>
    </row>
    <row r="199" spans="1:19" ht="12.75">
      <c r="A199" s="158"/>
      <c r="B199" s="158"/>
      <c r="C199" s="163"/>
      <c r="D199" s="163"/>
      <c r="E199" s="213"/>
      <c r="F199" s="213"/>
      <c r="G199" s="213"/>
      <c r="H199" s="213"/>
      <c r="I199" s="213"/>
      <c r="J199" s="213"/>
      <c r="K199" s="213"/>
      <c r="L199" s="163"/>
      <c r="M199" s="163"/>
      <c r="N199" s="163"/>
      <c r="O199" s="163"/>
      <c r="P199" s="163"/>
      <c r="Q199" s="163"/>
      <c r="R199" s="163"/>
      <c r="S199" s="163"/>
    </row>
    <row r="200" spans="1:19" ht="12.75">
      <c r="A200" s="158"/>
      <c r="B200" s="158"/>
      <c r="C200" s="163"/>
      <c r="D200" s="163"/>
      <c r="E200" s="213"/>
      <c r="F200" s="213"/>
      <c r="G200" s="213"/>
      <c r="H200" s="213"/>
      <c r="I200" s="213"/>
      <c r="J200" s="213"/>
      <c r="K200" s="213"/>
      <c r="L200" s="163"/>
      <c r="M200" s="163"/>
      <c r="N200" s="163"/>
      <c r="O200" s="163"/>
      <c r="P200" s="215">
        <f>P189+P153</f>
        <v>64553018.73</v>
      </c>
      <c r="Q200" s="215">
        <f>'súhrnná po AS'!R5</f>
        <v>64553018.730000004</v>
      </c>
      <c r="R200" s="163">
        <f>P200-Q200</f>
        <v>0</v>
      </c>
      <c r="S200" s="163"/>
    </row>
    <row r="201" spans="1:19" ht="12.75">
      <c r="A201" s="158"/>
      <c r="B201" s="158"/>
      <c r="C201" s="163"/>
      <c r="D201" s="163"/>
      <c r="E201" s="213"/>
      <c r="F201" s="213"/>
      <c r="G201" s="213"/>
      <c r="H201" s="213"/>
      <c r="I201" s="213"/>
      <c r="J201" s="213"/>
      <c r="K201" s="213"/>
      <c r="L201" s="163"/>
      <c r="M201" s="163"/>
      <c r="N201" s="163"/>
      <c r="O201" s="163"/>
      <c r="P201" s="163"/>
      <c r="Q201" s="163"/>
      <c r="R201" s="163"/>
      <c r="S201" s="163"/>
    </row>
    <row r="202" spans="1:19" ht="12.75">
      <c r="A202" s="158"/>
      <c r="B202" s="158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</row>
    <row r="203" spans="1:19" ht="12.75">
      <c r="A203" s="158"/>
      <c r="B203" s="158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</row>
    <row r="204" spans="1:19" ht="12.75">
      <c r="A204" s="158"/>
      <c r="B204" s="158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58"/>
      <c r="R204" s="158"/>
      <c r="S204" s="158"/>
    </row>
    <row r="205" spans="3:16" ht="12.75">
      <c r="C205" s="523"/>
      <c r="D205" s="523"/>
      <c r="E205" s="523"/>
      <c r="F205" s="523"/>
      <c r="G205" s="523"/>
      <c r="H205" s="523"/>
      <c r="I205" s="523"/>
      <c r="J205" s="523"/>
      <c r="K205" s="523"/>
      <c r="L205" s="523"/>
      <c r="M205" s="523"/>
      <c r="N205" s="523"/>
      <c r="O205" s="523"/>
      <c r="P205" s="523"/>
    </row>
  </sheetData>
  <sheetProtection/>
  <mergeCells count="3">
    <mergeCell ref="A190:B190"/>
    <mergeCell ref="A162:B162"/>
    <mergeCell ref="A154:B154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1" fitToWidth="1" horizontalDpi="600" verticalDpi="600" orientation="portrait" paperSize="9" scale="39" r:id="rId1"/>
  <headerFooter alignWithMargins="0">
    <oddHeader>&amp;RPríloha č. 1</oddHeader>
    <oddFooter>&amp;L&amp;Z&amp;F&amp;R&amp;D</oddFooter>
  </headerFooter>
  <rowBreaks count="1" manualBreakCount="1">
    <brk id="1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120"/>
  <sheetViews>
    <sheetView tabSelected="1" zoomScale="70" zoomScaleNormal="70" zoomScaleSheetLayoutView="75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" sqref="O3"/>
    </sheetView>
  </sheetViews>
  <sheetFormatPr defaultColWidth="9.140625" defaultRowHeight="12.75"/>
  <cols>
    <col min="1" max="1" width="40.140625" style="25" customWidth="1"/>
    <col min="2" max="2" width="11.57421875" style="58" hidden="1" customWidth="1"/>
    <col min="3" max="3" width="14.57421875" style="59" bestFit="1" customWidth="1"/>
    <col min="4" max="4" width="13.140625" style="59" bestFit="1" customWidth="1"/>
    <col min="5" max="6" width="14.57421875" style="59" bestFit="1" customWidth="1"/>
    <col min="7" max="7" width="13.140625" style="59" customWidth="1"/>
    <col min="8" max="8" width="13.140625" style="59" bestFit="1" customWidth="1"/>
    <col min="9" max="9" width="15.57421875" style="59" bestFit="1" customWidth="1"/>
    <col min="10" max="10" width="15.421875" style="59" customWidth="1"/>
    <col min="11" max="11" width="15.140625" style="235" customWidth="1"/>
    <col min="12" max="12" width="16.421875" style="59" bestFit="1" customWidth="1"/>
    <col min="13" max="13" width="12.57421875" style="59" bestFit="1" customWidth="1"/>
    <col min="14" max="14" width="18.140625" style="59" bestFit="1" customWidth="1"/>
    <col min="15" max="15" width="16.421875" style="59" bestFit="1" customWidth="1"/>
    <col min="16" max="16" width="17.421875" style="59" bestFit="1" customWidth="1"/>
    <col min="17" max="17" width="16.7109375" style="59" customWidth="1"/>
    <col min="18" max="18" width="18.8515625" style="59" bestFit="1" customWidth="1"/>
    <col min="19" max="19" width="15.00390625" style="59" bestFit="1" customWidth="1"/>
    <col min="20" max="20" width="13.8515625" style="59" bestFit="1" customWidth="1"/>
    <col min="21" max="21" width="10.57421875" style="59" bestFit="1" customWidth="1"/>
    <col min="22" max="35" width="9.140625" style="59" customWidth="1"/>
    <col min="36" max="16384" width="9.140625" style="25" customWidth="1"/>
  </cols>
  <sheetData>
    <row r="1" spans="1:18" ht="24" customHeight="1">
      <c r="A1" s="668" t="s">
        <v>213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</row>
    <row r="2" spans="1:18" ht="18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>
        <f>J5+M5+N5+O5+P5+Q5</f>
        <v>7441397.87</v>
      </c>
      <c r="O2" s="28">
        <f>J7+M7+N7+O7+P7+Q7</f>
        <v>6701397.87</v>
      </c>
      <c r="P2" s="28">
        <f>N2-O2</f>
        <v>740000</v>
      </c>
      <c r="Q2" s="28"/>
      <c r="R2" s="532" t="s">
        <v>56</v>
      </c>
    </row>
    <row r="3" spans="1:35" s="30" customFormat="1" ht="13.5" thickBot="1">
      <c r="A3" s="68"/>
      <c r="B3" s="29"/>
      <c r="C3" s="533"/>
      <c r="D3" s="533"/>
      <c r="E3" s="533"/>
      <c r="F3" s="533"/>
      <c r="G3" s="533"/>
      <c r="H3" s="533"/>
      <c r="I3" s="533"/>
      <c r="J3" s="533"/>
      <c r="K3" s="534"/>
      <c r="L3" s="533"/>
      <c r="M3" s="533"/>
      <c r="N3" s="533"/>
      <c r="O3" s="533"/>
      <c r="P3" s="533"/>
      <c r="Q3" s="533"/>
      <c r="R3" s="535" t="s">
        <v>57</v>
      </c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</row>
    <row r="4" spans="1:20" ht="28.5" customHeight="1" thickBot="1">
      <c r="A4" s="80" t="s">
        <v>0</v>
      </c>
      <c r="B4" s="271" t="s">
        <v>58</v>
      </c>
      <c r="C4" s="31" t="s">
        <v>1</v>
      </c>
      <c r="D4" s="31" t="s">
        <v>2</v>
      </c>
      <c r="E4" s="565" t="s">
        <v>3</v>
      </c>
      <c r="F4" s="31" t="s">
        <v>4</v>
      </c>
      <c r="G4" s="565" t="s">
        <v>5</v>
      </c>
      <c r="H4" s="31" t="s">
        <v>6</v>
      </c>
      <c r="I4" s="565" t="s">
        <v>7</v>
      </c>
      <c r="J4" s="224" t="s">
        <v>9</v>
      </c>
      <c r="K4" s="613" t="s">
        <v>89</v>
      </c>
      <c r="L4" s="31" t="s">
        <v>8</v>
      </c>
      <c r="M4" s="31" t="s">
        <v>90</v>
      </c>
      <c r="N4" s="32" t="s">
        <v>10</v>
      </c>
      <c r="O4" s="32" t="s">
        <v>11</v>
      </c>
      <c r="P4" s="537" t="s">
        <v>110</v>
      </c>
      <c r="Q4" s="538" t="s">
        <v>111</v>
      </c>
      <c r="R4" s="229" t="s">
        <v>12</v>
      </c>
      <c r="T4" s="235"/>
    </row>
    <row r="5" spans="1:35" s="34" customFormat="1" ht="23.25" customHeight="1" thickBot="1">
      <c r="A5" s="107" t="s">
        <v>13</v>
      </c>
      <c r="B5" s="272"/>
      <c r="C5" s="33">
        <f aca="true" t="shared" si="0" ref="C5:J5">C7+C95</f>
        <v>11007070</v>
      </c>
      <c r="D5" s="33">
        <f t="shared" si="0"/>
        <v>5631863</v>
      </c>
      <c r="E5" s="566">
        <f t="shared" si="0"/>
        <v>11543955.059999999</v>
      </c>
      <c r="F5" s="33">
        <f t="shared" si="0"/>
        <v>11116230.17</v>
      </c>
      <c r="G5" s="566">
        <f t="shared" si="0"/>
        <v>4068637</v>
      </c>
      <c r="H5" s="33">
        <f t="shared" si="0"/>
        <v>8728947.629999999</v>
      </c>
      <c r="I5" s="566">
        <f t="shared" si="0"/>
        <v>2528358</v>
      </c>
      <c r="J5" s="33">
        <f t="shared" si="0"/>
        <v>944439</v>
      </c>
      <c r="K5" s="460">
        <f>SUM(C5:I5)+J5</f>
        <v>55569499.86</v>
      </c>
      <c r="L5" s="33">
        <f aca="true" t="shared" si="1" ref="L5:R5">L7+L95</f>
        <v>2486560</v>
      </c>
      <c r="M5" s="33">
        <f t="shared" si="1"/>
        <v>34705</v>
      </c>
      <c r="N5" s="33">
        <f t="shared" si="1"/>
        <v>4853256</v>
      </c>
      <c r="O5" s="33">
        <f t="shared" si="1"/>
        <v>1607846</v>
      </c>
      <c r="P5" s="33">
        <f t="shared" si="1"/>
        <v>0</v>
      </c>
      <c r="Q5" s="405">
        <f t="shared" si="1"/>
        <v>1151.8699999999953</v>
      </c>
      <c r="R5" s="415">
        <f t="shared" si="1"/>
        <v>64553018.730000004</v>
      </c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</row>
    <row r="6" spans="1:18" ht="10.5" customHeight="1" thickBot="1">
      <c r="A6" s="108"/>
      <c r="B6" s="109"/>
      <c r="C6" s="31"/>
      <c r="D6" s="31"/>
      <c r="E6" s="565"/>
      <c r="F6" s="31"/>
      <c r="G6" s="565"/>
      <c r="H6" s="31"/>
      <c r="I6" s="565"/>
      <c r="J6" s="31"/>
      <c r="K6" s="459"/>
      <c r="L6" s="31"/>
      <c r="M6" s="31"/>
      <c r="N6" s="31"/>
      <c r="O6" s="31"/>
      <c r="P6" s="254"/>
      <c r="Q6" s="254"/>
      <c r="R6" s="416"/>
    </row>
    <row r="7" spans="1:35" s="34" customFormat="1" ht="26.25" customHeight="1" thickBot="1">
      <c r="A7" s="110" t="s">
        <v>14</v>
      </c>
      <c r="B7" s="273">
        <v>54494350</v>
      </c>
      <c r="C7" s="35">
        <f aca="true" t="shared" si="2" ref="C7:R7">C9+C88+C90+C92+C93</f>
        <v>11007070</v>
      </c>
      <c r="D7" s="35">
        <f t="shared" si="2"/>
        <v>5631863</v>
      </c>
      <c r="E7" s="567">
        <f t="shared" si="2"/>
        <v>11543955.059999999</v>
      </c>
      <c r="F7" s="35">
        <f t="shared" si="2"/>
        <v>11116230.17</v>
      </c>
      <c r="G7" s="567">
        <f t="shared" si="2"/>
        <v>4068637</v>
      </c>
      <c r="H7" s="35">
        <f t="shared" si="2"/>
        <v>8728947.629999999</v>
      </c>
      <c r="I7" s="567">
        <f t="shared" si="2"/>
        <v>2528358</v>
      </c>
      <c r="J7" s="35">
        <f t="shared" si="2"/>
        <v>944439</v>
      </c>
      <c r="K7" s="461">
        <f t="shared" si="2"/>
        <v>55569499.86</v>
      </c>
      <c r="L7" s="35">
        <f t="shared" si="2"/>
        <v>2486560</v>
      </c>
      <c r="M7" s="35">
        <f t="shared" si="2"/>
        <v>34705</v>
      </c>
      <c r="N7" s="35">
        <f t="shared" si="2"/>
        <v>4113256</v>
      </c>
      <c r="O7" s="35">
        <f t="shared" si="2"/>
        <v>1607846</v>
      </c>
      <c r="P7" s="35">
        <f t="shared" si="2"/>
        <v>0</v>
      </c>
      <c r="Q7" s="35">
        <f t="shared" si="2"/>
        <v>1151.8699999999953</v>
      </c>
      <c r="R7" s="35">
        <f t="shared" si="2"/>
        <v>63813018.730000004</v>
      </c>
      <c r="S7" s="440">
        <f>M7+N7+O7</f>
        <v>5755807</v>
      </c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</row>
    <row r="8" spans="1:35" s="36" customFormat="1" ht="19.5" customHeight="1" thickBot="1">
      <c r="A8" s="111" t="s">
        <v>15</v>
      </c>
      <c r="B8" s="112"/>
      <c r="C8" s="87">
        <f>C45</f>
        <v>1968255</v>
      </c>
      <c r="D8" s="87">
        <f>D45</f>
        <v>998191</v>
      </c>
      <c r="E8" s="568">
        <f aca="true" t="shared" si="3" ref="E8:Q8">E45</f>
        <v>2390528</v>
      </c>
      <c r="F8" s="87">
        <f t="shared" si="3"/>
        <v>3640368</v>
      </c>
      <c r="G8" s="568">
        <f t="shared" si="3"/>
        <v>1386529</v>
      </c>
      <c r="H8" s="87">
        <f t="shared" si="3"/>
        <v>1613009.13</v>
      </c>
      <c r="I8" s="568">
        <f t="shared" si="3"/>
        <v>364461</v>
      </c>
      <c r="J8" s="87">
        <f t="shared" si="3"/>
        <v>179665</v>
      </c>
      <c r="K8" s="614">
        <f t="shared" si="3"/>
        <v>12541006.129999999</v>
      </c>
      <c r="L8" s="87">
        <f t="shared" si="3"/>
        <v>0</v>
      </c>
      <c r="M8" s="87">
        <f t="shared" si="3"/>
        <v>0</v>
      </c>
      <c r="N8" s="87">
        <f t="shared" si="3"/>
        <v>679023</v>
      </c>
      <c r="O8" s="87">
        <f t="shared" si="3"/>
        <v>679619</v>
      </c>
      <c r="P8" s="87">
        <f t="shared" si="3"/>
        <v>0</v>
      </c>
      <c r="Q8" s="87">
        <f t="shared" si="3"/>
        <v>1151.8699999999953</v>
      </c>
      <c r="R8" s="79">
        <f>SUM(K8:P8)</f>
        <v>13899648.129999999</v>
      </c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</row>
    <row r="9" spans="1:35" s="34" customFormat="1" ht="22.5" customHeight="1" thickBot="1">
      <c r="A9" s="113" t="s">
        <v>16</v>
      </c>
      <c r="B9" s="274">
        <f aca="true" t="shared" si="4" ref="B9:J9">B10+B45+B71+B73</f>
        <v>54494350</v>
      </c>
      <c r="C9" s="88">
        <f t="shared" si="4"/>
        <v>10497619</v>
      </c>
      <c r="D9" s="88">
        <f t="shared" si="4"/>
        <v>5325063</v>
      </c>
      <c r="E9" s="569">
        <f t="shared" si="4"/>
        <v>10207947</v>
      </c>
      <c r="F9" s="88">
        <f t="shared" si="4"/>
        <v>10020749</v>
      </c>
      <c r="G9" s="569">
        <f t="shared" si="4"/>
        <v>3918872</v>
      </c>
      <c r="H9" s="88">
        <f t="shared" si="4"/>
        <v>8470338.129999999</v>
      </c>
      <c r="I9" s="569">
        <f t="shared" si="4"/>
        <v>2486238</v>
      </c>
      <c r="J9" s="88">
        <f t="shared" si="4"/>
        <v>944439</v>
      </c>
      <c r="K9" s="462">
        <f>SUM(C9:I9)+J9</f>
        <v>51871265.129999995</v>
      </c>
      <c r="L9" s="88">
        <f aca="true" t="shared" si="5" ref="L9:R9">L10+L45+L71+L73</f>
        <v>2486560</v>
      </c>
      <c r="M9" s="88">
        <f t="shared" si="5"/>
        <v>34705</v>
      </c>
      <c r="N9" s="88">
        <f t="shared" si="5"/>
        <v>4113256</v>
      </c>
      <c r="O9" s="88">
        <f t="shared" si="5"/>
        <v>1607846</v>
      </c>
      <c r="P9" s="88">
        <f t="shared" si="5"/>
        <v>0</v>
      </c>
      <c r="Q9" s="88">
        <f t="shared" si="5"/>
        <v>1151.8699999999953</v>
      </c>
      <c r="R9" s="88">
        <f t="shared" si="5"/>
        <v>60114784</v>
      </c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</row>
    <row r="10" spans="1:35" s="36" customFormat="1" ht="24.75" customHeight="1" thickBot="1">
      <c r="A10" s="114" t="s">
        <v>75</v>
      </c>
      <c r="B10" s="275">
        <v>44306929</v>
      </c>
      <c r="C10" s="89">
        <f aca="true" t="shared" si="6" ref="C10:J10">C11+C17+C23+C40</f>
        <v>7924848</v>
      </c>
      <c r="D10" s="89">
        <f t="shared" si="6"/>
        <v>4100448</v>
      </c>
      <c r="E10" s="570">
        <f t="shared" si="6"/>
        <v>7069095</v>
      </c>
      <c r="F10" s="89">
        <f t="shared" si="6"/>
        <v>5635940</v>
      </c>
      <c r="G10" s="570">
        <f t="shared" si="6"/>
        <v>2210622</v>
      </c>
      <c r="H10" s="89">
        <f t="shared" si="6"/>
        <v>5773068</v>
      </c>
      <c r="I10" s="570">
        <f t="shared" si="6"/>
        <v>1735430</v>
      </c>
      <c r="J10" s="89">
        <f t="shared" si="6"/>
        <v>744087</v>
      </c>
      <c r="K10" s="463">
        <f>SUM(C10:I10)+J10</f>
        <v>35193538</v>
      </c>
      <c r="L10" s="89">
        <f aca="true" t="shared" si="7" ref="L10:Q10">L11+L17+L23+L40</f>
        <v>0</v>
      </c>
      <c r="M10" s="89">
        <f t="shared" si="7"/>
        <v>0</v>
      </c>
      <c r="N10" s="89">
        <f t="shared" si="7"/>
        <v>3301548</v>
      </c>
      <c r="O10" s="89">
        <f t="shared" si="7"/>
        <v>913644</v>
      </c>
      <c r="P10" s="89">
        <f t="shared" si="7"/>
        <v>0</v>
      </c>
      <c r="Q10" s="89">
        <f t="shared" si="7"/>
        <v>0</v>
      </c>
      <c r="R10" s="89">
        <f>K10+L10+M10+N10+O10+P10+Q10</f>
        <v>39408730</v>
      </c>
      <c r="S10" s="431">
        <v>27948700</v>
      </c>
      <c r="T10" s="431">
        <f>T11+T17+T23</f>
        <v>-184662</v>
      </c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</row>
    <row r="11" spans="1:35" s="231" customFormat="1" ht="18.75" customHeight="1" thickBot="1">
      <c r="A11" s="318" t="s">
        <v>76</v>
      </c>
      <c r="B11" s="319">
        <v>25671598</v>
      </c>
      <c r="C11" s="539">
        <f>3286182+2000+1258000+3000-14290+3664+2555-5314-17969+1087+4700+10692+610207</f>
        <v>5144514</v>
      </c>
      <c r="D11" s="540">
        <f>1539315+2000+798113+3000+3664+1900-4700-1212+14373</f>
        <v>2356453</v>
      </c>
      <c r="E11" s="571">
        <f>2554313-39805+1198971+2000+3000+6664+1573+5314</f>
        <v>3732030</v>
      </c>
      <c r="F11" s="539">
        <f>2540950-19895+3000-26408+4000+3456-74-1087+865000</f>
        <v>3368942</v>
      </c>
      <c r="G11" s="571">
        <f>1391478+2500+4664+1835+17969+74-963-14373</f>
        <v>1403184</v>
      </c>
      <c r="H11" s="539">
        <f>2983725+2500+450000+4664-15500+1671</f>
        <v>3427060</v>
      </c>
      <c r="I11" s="571">
        <f>931447+2500+4000+1409-10692+101560</f>
        <v>1030224</v>
      </c>
      <c r="J11" s="539">
        <f>332320+39805-111575+19895+14290+26408+262+1212+963+176000</f>
        <v>499580</v>
      </c>
      <c r="K11" s="615">
        <f aca="true" t="shared" si="8" ref="K11:K22">SUM(C11:J11)</f>
        <v>20961987</v>
      </c>
      <c r="L11" s="320"/>
      <c r="M11" s="397"/>
      <c r="N11" s="397">
        <f>1095478+4000+111575+6754+260+3800+18740+500+4285+693000</f>
        <v>1938392</v>
      </c>
      <c r="O11" s="321">
        <f>119191-4000-23254-260-9000-3800+40322-50060+15161-15161-4285</f>
        <v>64854</v>
      </c>
      <c r="P11" s="321"/>
      <c r="Q11" s="406"/>
      <c r="R11" s="417">
        <f aca="true" t="shared" si="9" ref="R11:R16">SUM(K11:Q11)</f>
        <v>22965233</v>
      </c>
      <c r="S11" s="435"/>
      <c r="T11" s="435">
        <v>-111575</v>
      </c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</row>
    <row r="12" spans="1:35" s="39" customFormat="1" ht="15">
      <c r="A12" s="216" t="s">
        <v>17</v>
      </c>
      <c r="B12" s="395">
        <v>6273</v>
      </c>
      <c r="C12" s="241">
        <v>6273</v>
      </c>
      <c r="D12" s="241"/>
      <c r="E12" s="564"/>
      <c r="F12" s="241"/>
      <c r="G12" s="564"/>
      <c r="H12" s="241"/>
      <c r="I12" s="564"/>
      <c r="J12" s="241"/>
      <c r="K12" s="616">
        <f t="shared" si="8"/>
        <v>6273</v>
      </c>
      <c r="L12" s="241"/>
      <c r="M12" s="37"/>
      <c r="N12" s="241"/>
      <c r="O12" s="241"/>
      <c r="P12" s="241"/>
      <c r="Q12" s="37"/>
      <c r="R12" s="287">
        <f t="shared" si="9"/>
        <v>6273</v>
      </c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</row>
    <row r="13" spans="1:35" s="39" customFormat="1" ht="15">
      <c r="A13" s="295" t="s">
        <v>157</v>
      </c>
      <c r="B13" s="295">
        <v>794883</v>
      </c>
      <c r="C13" s="542">
        <v>59757.63407</v>
      </c>
      <c r="D13" s="542">
        <v>31550.636359999997</v>
      </c>
      <c r="E13" s="572">
        <v>50478.39702</v>
      </c>
      <c r="F13" s="542">
        <v>45370.48965</v>
      </c>
      <c r="G13" s="572">
        <v>25328.105847</v>
      </c>
      <c r="H13" s="542">
        <v>48833.98965</v>
      </c>
      <c r="I13" s="572">
        <v>14405.318957</v>
      </c>
      <c r="J13" s="542">
        <v>6586.255679999999</v>
      </c>
      <c r="K13" s="543">
        <f t="shared" si="8"/>
        <v>282310.827234</v>
      </c>
      <c r="L13" s="296"/>
      <c r="M13" s="398"/>
      <c r="N13" s="296">
        <v>36744</v>
      </c>
      <c r="O13" s="296"/>
      <c r="P13" s="296"/>
      <c r="Q13" s="398"/>
      <c r="R13" s="418">
        <f t="shared" si="9"/>
        <v>319054.827234</v>
      </c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</row>
    <row r="14" spans="1:35" s="39" customFormat="1" ht="15">
      <c r="A14" s="216" t="s">
        <v>18</v>
      </c>
      <c r="B14" s="226"/>
      <c r="C14" s="241"/>
      <c r="D14" s="241"/>
      <c r="E14" s="564"/>
      <c r="F14" s="241"/>
      <c r="G14" s="564"/>
      <c r="H14" s="241"/>
      <c r="I14" s="564"/>
      <c r="J14" s="241"/>
      <c r="K14" s="616">
        <f t="shared" si="8"/>
        <v>0</v>
      </c>
      <c r="L14" s="241"/>
      <c r="M14" s="37"/>
      <c r="N14" s="241"/>
      <c r="O14" s="246"/>
      <c r="P14" s="241"/>
      <c r="Q14" s="37"/>
      <c r="R14" s="287">
        <f t="shared" si="9"/>
        <v>0</v>
      </c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</row>
    <row r="15" spans="1:35" s="39" customFormat="1" ht="15">
      <c r="A15" s="216" t="s">
        <v>112</v>
      </c>
      <c r="B15" s="226"/>
      <c r="C15" s="241">
        <f>2000+3000+3664+2555</f>
        <v>11219</v>
      </c>
      <c r="D15" s="241">
        <f>2000+3000+3664+1900</f>
        <v>10564</v>
      </c>
      <c r="E15" s="564">
        <f>2000+3000+6664+1573</f>
        <v>13237</v>
      </c>
      <c r="F15" s="241">
        <f>3000+4000+3456</f>
        <v>10456</v>
      </c>
      <c r="G15" s="564">
        <f>2500+4664+1835</f>
        <v>8999</v>
      </c>
      <c r="H15" s="241">
        <f>2500+4664+1671</f>
        <v>8835</v>
      </c>
      <c r="I15" s="564">
        <f>2500+4000+1409</f>
        <v>7909</v>
      </c>
      <c r="J15" s="241">
        <v>262</v>
      </c>
      <c r="K15" s="616">
        <f t="shared" si="8"/>
        <v>71481</v>
      </c>
      <c r="L15" s="241"/>
      <c r="M15" s="37"/>
      <c r="N15" s="241">
        <f>4000+6754+260+3800+18740+500+4285</f>
        <v>38339</v>
      </c>
      <c r="O15" s="544">
        <f>68810-4000-23254-260-9000-3800+40322-50060+15161-15161-4285</f>
        <v>14473</v>
      </c>
      <c r="P15" s="241"/>
      <c r="Q15" s="37"/>
      <c r="R15" s="287">
        <f>SUM(K15:Q15)</f>
        <v>124293</v>
      </c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</row>
    <row r="16" spans="1:35" s="39" customFormat="1" ht="15.75" thickBot="1">
      <c r="A16" s="216" t="s">
        <v>19</v>
      </c>
      <c r="B16" s="226"/>
      <c r="C16" s="241">
        <v>11568</v>
      </c>
      <c r="D16" s="241"/>
      <c r="E16" s="564">
        <v>11568</v>
      </c>
      <c r="F16" s="241"/>
      <c r="G16" s="564"/>
      <c r="H16" s="241">
        <v>11568</v>
      </c>
      <c r="I16" s="564">
        <v>11568</v>
      </c>
      <c r="J16" s="241"/>
      <c r="K16" s="617">
        <f t="shared" si="8"/>
        <v>46272</v>
      </c>
      <c r="L16" s="243"/>
      <c r="M16" s="102"/>
      <c r="N16" s="243"/>
      <c r="O16" s="544">
        <v>50381</v>
      </c>
      <c r="P16" s="243"/>
      <c r="Q16" s="407"/>
      <c r="R16" s="419">
        <f t="shared" si="9"/>
        <v>96653</v>
      </c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</row>
    <row r="17" spans="1:35" s="231" customFormat="1" ht="21" customHeight="1" thickBot="1">
      <c r="A17" s="473" t="s">
        <v>73</v>
      </c>
      <c r="B17" s="316">
        <f>B11*0.352</f>
        <v>9036402.496</v>
      </c>
      <c r="C17" s="317">
        <f>1156736+704+442816+1056-5030+1290+900-6325-1870+1655+383+3763+214793</f>
        <v>1810871</v>
      </c>
      <c r="D17" s="317">
        <f>541838+704+280936+1056+1290+669-1655+5059-426</f>
        <v>829471</v>
      </c>
      <c r="E17" s="573">
        <f>899118-14011+651293+704+1056+2346+554+1870</f>
        <v>1542930</v>
      </c>
      <c r="F17" s="317">
        <f>894416-7003+1056-9295+1408+1217-26-383+304478</f>
        <v>1185868</v>
      </c>
      <c r="G17" s="573">
        <f>489800+880+1642+646+6325+26-337-5059</f>
        <v>493923</v>
      </c>
      <c r="H17" s="317">
        <f>1050271+880+197120+1642-17000+589</f>
        <v>1233502</v>
      </c>
      <c r="I17" s="573">
        <f>327869+880+1408+496-3763+35750</f>
        <v>362640</v>
      </c>
      <c r="J17" s="317">
        <f>116977+14011-39274+7003+5030+9295+93+426+337+62000</f>
        <v>175898</v>
      </c>
      <c r="K17" s="618">
        <f t="shared" si="8"/>
        <v>7635103</v>
      </c>
      <c r="L17" s="317"/>
      <c r="M17" s="233"/>
      <c r="N17" s="317">
        <f>385609+1408+39274+2378+58+1338+6597+176+1509+244000</f>
        <v>682347</v>
      </c>
      <c r="O17" s="317">
        <f>41955-1408-8186-58-3168-1338+14193-17623+5340-5340-1509</f>
        <v>22858</v>
      </c>
      <c r="P17" s="317"/>
      <c r="Q17" s="232"/>
      <c r="R17" s="420">
        <f aca="true" t="shared" si="10" ref="R17:R24">SUM(K17:Q17)</f>
        <v>8340308</v>
      </c>
      <c r="S17" s="435"/>
      <c r="T17" s="435">
        <v>-39274</v>
      </c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</row>
    <row r="18" spans="1:35" s="41" customFormat="1" ht="15.75" thickBot="1">
      <c r="A18" s="227" t="s">
        <v>17</v>
      </c>
      <c r="B18" s="116"/>
      <c r="C18" s="241"/>
      <c r="D18" s="242"/>
      <c r="E18" s="574"/>
      <c r="F18" s="242"/>
      <c r="G18" s="574"/>
      <c r="H18" s="242"/>
      <c r="I18" s="574"/>
      <c r="J18" s="241"/>
      <c r="K18" s="616">
        <f t="shared" si="8"/>
        <v>0</v>
      </c>
      <c r="L18" s="241"/>
      <c r="M18" s="37"/>
      <c r="N18" s="255"/>
      <c r="O18" s="255"/>
      <c r="P18" s="255"/>
      <c r="Q18" s="37"/>
      <c r="R18" s="287">
        <f t="shared" si="10"/>
        <v>0</v>
      </c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</row>
    <row r="19" spans="1:35" s="298" customFormat="1" ht="15.75" thickBot="1">
      <c r="A19" s="441" t="s">
        <v>157</v>
      </c>
      <c r="B19" s="115"/>
      <c r="C19" s="296">
        <v>21034</v>
      </c>
      <c r="D19" s="296">
        <v>11106</v>
      </c>
      <c r="E19" s="575">
        <v>17768</v>
      </c>
      <c r="F19" s="296">
        <v>15970</v>
      </c>
      <c r="G19" s="575">
        <v>8915</v>
      </c>
      <c r="H19" s="296">
        <v>27190</v>
      </c>
      <c r="I19" s="575">
        <v>5071</v>
      </c>
      <c r="J19" s="296">
        <v>2318</v>
      </c>
      <c r="K19" s="619">
        <f t="shared" si="8"/>
        <v>109372</v>
      </c>
      <c r="L19" s="296"/>
      <c r="M19" s="398"/>
      <c r="N19" s="297">
        <v>12935</v>
      </c>
      <c r="O19" s="297"/>
      <c r="P19" s="297"/>
      <c r="Q19" s="398"/>
      <c r="R19" s="418">
        <f t="shared" si="10"/>
        <v>122307</v>
      </c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</row>
    <row r="20" spans="1:35" s="41" customFormat="1" ht="15">
      <c r="A20" s="216" t="s">
        <v>113</v>
      </c>
      <c r="B20" s="116"/>
      <c r="C20" s="241">
        <f>704+1056+1290+900</f>
        <v>3950</v>
      </c>
      <c r="D20" s="241">
        <f>704+1056+1290+669</f>
        <v>3719</v>
      </c>
      <c r="E20" s="564">
        <f>704+1056+2346+554</f>
        <v>4660</v>
      </c>
      <c r="F20" s="241">
        <f>1056+1408+1217</f>
        <v>3681</v>
      </c>
      <c r="G20" s="564">
        <f>880+1642+646</f>
        <v>3168</v>
      </c>
      <c r="H20" s="241">
        <f>880+1642+589</f>
        <v>3111</v>
      </c>
      <c r="I20" s="564">
        <f>880+1408+496</f>
        <v>2784</v>
      </c>
      <c r="J20" s="241">
        <v>93</v>
      </c>
      <c r="K20" s="616">
        <f t="shared" si="8"/>
        <v>25166</v>
      </c>
      <c r="L20" s="241"/>
      <c r="M20" s="37"/>
      <c r="N20" s="250">
        <f>1408+2378+58+1338+6597+176+1509</f>
        <v>13464</v>
      </c>
      <c r="O20" s="246">
        <f>24221-1408-8186-58-3168-1338+14193-17623+5340-5360-1509</f>
        <v>5104</v>
      </c>
      <c r="P20" s="247"/>
      <c r="Q20" s="47"/>
      <c r="R20" s="421">
        <f t="shared" si="10"/>
        <v>43734</v>
      </c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</row>
    <row r="21" spans="1:35" s="41" customFormat="1" ht="15" hidden="1">
      <c r="A21" s="216"/>
      <c r="B21" s="116"/>
      <c r="C21" s="241"/>
      <c r="D21" s="241"/>
      <c r="E21" s="564"/>
      <c r="F21" s="241"/>
      <c r="G21" s="564"/>
      <c r="H21" s="241"/>
      <c r="I21" s="564"/>
      <c r="J21" s="241"/>
      <c r="K21" s="616">
        <f t="shared" si="8"/>
        <v>0</v>
      </c>
      <c r="L21" s="241"/>
      <c r="M21" s="37"/>
      <c r="N21" s="250"/>
      <c r="O21" s="246"/>
      <c r="P21" s="247"/>
      <c r="Q21" s="47"/>
      <c r="R21" s="421">
        <f t="shared" si="10"/>
        <v>0</v>
      </c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</row>
    <row r="22" spans="1:35" s="41" customFormat="1" ht="15.75" thickBot="1">
      <c r="A22" s="216" t="s">
        <v>19</v>
      </c>
      <c r="B22" s="228"/>
      <c r="C22" s="243">
        <v>4072</v>
      </c>
      <c r="D22" s="243"/>
      <c r="E22" s="576"/>
      <c r="F22" s="243"/>
      <c r="G22" s="576"/>
      <c r="H22" s="243"/>
      <c r="I22" s="576"/>
      <c r="J22" s="243"/>
      <c r="K22" s="617">
        <f t="shared" si="8"/>
        <v>4072</v>
      </c>
      <c r="L22" s="243"/>
      <c r="M22" s="102"/>
      <c r="N22" s="243"/>
      <c r="O22" s="400">
        <v>17734</v>
      </c>
      <c r="P22" s="256"/>
      <c r="Q22" s="44"/>
      <c r="R22" s="422">
        <f t="shared" si="10"/>
        <v>21806</v>
      </c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</row>
    <row r="23" spans="1:35" s="231" customFormat="1" ht="18.75" customHeight="1" thickBot="1">
      <c r="A23" s="485" t="s">
        <v>74</v>
      </c>
      <c r="B23" s="322">
        <v>5824226</v>
      </c>
      <c r="C23" s="323">
        <f>765417+4046+200000</f>
        <v>969463</v>
      </c>
      <c r="D23" s="323">
        <f>378040+147500+231503+42331+60000+49835+3227+2088</f>
        <v>914524</v>
      </c>
      <c r="E23" s="577">
        <f>533919+886239+2477+271500+100000</f>
        <v>1794135</v>
      </c>
      <c r="F23" s="323">
        <f>477043+2500+95774+1587-95774+600000</f>
        <v>1081130</v>
      </c>
      <c r="G23" s="577">
        <f>312470+1045</f>
        <v>313515</v>
      </c>
      <c r="H23" s="323">
        <f>680897+1045+320064+32500+78000</f>
        <v>1112506</v>
      </c>
      <c r="I23" s="577">
        <f>252876+89690</f>
        <v>342566</v>
      </c>
      <c r="J23" s="323">
        <f>56422-33813+46000</f>
        <v>68609</v>
      </c>
      <c r="K23" s="620">
        <f>C23+D23+E23+F23+G23+H23+I23+J23</f>
        <v>6596448</v>
      </c>
      <c r="L23" s="323"/>
      <c r="M23" s="399"/>
      <c r="N23" s="323">
        <f>296722+17500+145000+271500+33813-271500+95774+92000</f>
        <v>680809</v>
      </c>
      <c r="O23" s="244">
        <f>O25+O26+O27+O28+O29+O30+O31+O32+O33</f>
        <v>825932</v>
      </c>
      <c r="P23" s="244">
        <f>679774-271500-95774-145000-147500-17500-2500</f>
        <v>0</v>
      </c>
      <c r="Q23" s="244">
        <f>10200-10200</f>
        <v>0</v>
      </c>
      <c r="R23" s="423">
        <f t="shared" si="10"/>
        <v>8103189</v>
      </c>
      <c r="S23" s="435"/>
      <c r="T23" s="435">
        <v>-33813</v>
      </c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</row>
    <row r="24" spans="1:35" s="225" customFormat="1" ht="15">
      <c r="A24" s="216" t="s">
        <v>158</v>
      </c>
      <c r="B24" s="217"/>
      <c r="C24" s="241">
        <f>5975+4046</f>
        <v>10021</v>
      </c>
      <c r="D24" s="241">
        <f>44065</f>
        <v>44065</v>
      </c>
      <c r="E24" s="564">
        <v>2477</v>
      </c>
      <c r="F24" s="241">
        <v>1587</v>
      </c>
      <c r="G24" s="564">
        <v>1045</v>
      </c>
      <c r="H24" s="241">
        <v>1045</v>
      </c>
      <c r="I24" s="564">
        <v>0</v>
      </c>
      <c r="J24" s="241">
        <v>0</v>
      </c>
      <c r="K24" s="621">
        <f aca="true" t="shared" si="11" ref="K24:K34">SUM(C24:J24)</f>
        <v>60240</v>
      </c>
      <c r="L24" s="241"/>
      <c r="M24" s="241"/>
      <c r="N24" s="241"/>
      <c r="O24" s="241"/>
      <c r="P24" s="241"/>
      <c r="Q24" s="241">
        <f>10200-10200</f>
        <v>0</v>
      </c>
      <c r="R24" s="246">
        <f t="shared" si="10"/>
        <v>60240</v>
      </c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</row>
    <row r="25" spans="1:35" s="225" customFormat="1" ht="18.75" customHeight="1">
      <c r="A25" s="216" t="s">
        <v>114</v>
      </c>
      <c r="B25" s="217"/>
      <c r="C25" s="241"/>
      <c r="D25" s="241"/>
      <c r="E25" s="564"/>
      <c r="F25" s="241"/>
      <c r="G25" s="564"/>
      <c r="H25" s="241"/>
      <c r="I25" s="564"/>
      <c r="J25" s="241"/>
      <c r="K25" s="621">
        <f t="shared" si="11"/>
        <v>0</v>
      </c>
      <c r="L25" s="241"/>
      <c r="M25" s="241"/>
      <c r="N25" s="241"/>
      <c r="O25" s="544">
        <v>41170</v>
      </c>
      <c r="P25" s="241"/>
      <c r="Q25" s="241"/>
      <c r="R25" s="246">
        <f aca="true" t="shared" si="12" ref="R25:R34">K25+O25</f>
        <v>41170</v>
      </c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</row>
    <row r="26" spans="1:35" s="225" customFormat="1" ht="18.75" customHeight="1">
      <c r="A26" s="216" t="s">
        <v>115</v>
      </c>
      <c r="B26" s="217"/>
      <c r="C26" s="241"/>
      <c r="D26" s="241"/>
      <c r="E26" s="564"/>
      <c r="F26" s="241"/>
      <c r="G26" s="564"/>
      <c r="H26" s="241"/>
      <c r="I26" s="564"/>
      <c r="J26" s="241"/>
      <c r="K26" s="621">
        <f t="shared" si="11"/>
        <v>0</v>
      </c>
      <c r="L26" s="241"/>
      <c r="M26" s="241"/>
      <c r="N26" s="241"/>
      <c r="O26" s="544">
        <v>7800</v>
      </c>
      <c r="P26" s="241"/>
      <c r="Q26" s="241"/>
      <c r="R26" s="246">
        <f t="shared" si="12"/>
        <v>7800</v>
      </c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</row>
    <row r="27" spans="1:35" s="225" customFormat="1" ht="18.75" customHeight="1">
      <c r="A27" s="216" t="s">
        <v>116</v>
      </c>
      <c r="B27" s="217"/>
      <c r="C27" s="241"/>
      <c r="D27" s="241"/>
      <c r="E27" s="564"/>
      <c r="F27" s="241"/>
      <c r="G27" s="564"/>
      <c r="H27" s="241"/>
      <c r="I27" s="564"/>
      <c r="J27" s="241"/>
      <c r="K27" s="621">
        <f t="shared" si="11"/>
        <v>0</v>
      </c>
      <c r="L27" s="241"/>
      <c r="M27" s="241"/>
      <c r="N27" s="241"/>
      <c r="O27" s="544">
        <v>44171</v>
      </c>
      <c r="P27" s="241"/>
      <c r="Q27" s="241"/>
      <c r="R27" s="246">
        <f t="shared" si="12"/>
        <v>44171</v>
      </c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</row>
    <row r="28" spans="1:35" s="225" customFormat="1" ht="18.75" customHeight="1">
      <c r="A28" s="216" t="s">
        <v>117</v>
      </c>
      <c r="B28" s="217"/>
      <c r="C28" s="241"/>
      <c r="D28" s="241"/>
      <c r="E28" s="564"/>
      <c r="F28" s="241"/>
      <c r="G28" s="564"/>
      <c r="H28" s="241"/>
      <c r="I28" s="564"/>
      <c r="J28" s="241"/>
      <c r="K28" s="621">
        <f t="shared" si="11"/>
        <v>0</v>
      </c>
      <c r="L28" s="241"/>
      <c r="M28" s="241"/>
      <c r="N28" s="241"/>
      <c r="O28" s="548">
        <v>95200</v>
      </c>
      <c r="P28" s="241"/>
      <c r="Q28" s="241"/>
      <c r="R28" s="246">
        <f t="shared" si="12"/>
        <v>95200</v>
      </c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  <c r="AF28" s="547"/>
      <c r="AG28" s="547"/>
      <c r="AH28" s="547"/>
      <c r="AI28" s="547"/>
    </row>
    <row r="29" spans="1:35" s="225" customFormat="1" ht="18.75" customHeight="1">
      <c r="A29" s="216" t="s">
        <v>118</v>
      </c>
      <c r="B29" s="217"/>
      <c r="C29" s="241"/>
      <c r="D29" s="241"/>
      <c r="E29" s="564"/>
      <c r="F29" s="241"/>
      <c r="G29" s="564"/>
      <c r="H29" s="241"/>
      <c r="I29" s="564"/>
      <c r="J29" s="241"/>
      <c r="K29" s="621">
        <f t="shared" si="11"/>
        <v>0</v>
      </c>
      <c r="L29" s="241"/>
      <c r="M29" s="241"/>
      <c r="N29" s="241"/>
      <c r="O29" s="548">
        <v>100000</v>
      </c>
      <c r="P29" s="241"/>
      <c r="Q29" s="241"/>
      <c r="R29" s="246">
        <f t="shared" si="12"/>
        <v>100000</v>
      </c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</row>
    <row r="30" spans="1:35" s="225" customFormat="1" ht="18.75" customHeight="1">
      <c r="A30" s="216" t="s">
        <v>119</v>
      </c>
      <c r="B30" s="218"/>
      <c r="C30" s="241"/>
      <c r="D30" s="241"/>
      <c r="E30" s="564"/>
      <c r="F30" s="241"/>
      <c r="G30" s="564"/>
      <c r="H30" s="241"/>
      <c r="I30" s="564"/>
      <c r="J30" s="241"/>
      <c r="K30" s="621">
        <f t="shared" si="11"/>
        <v>0</v>
      </c>
      <c r="L30" s="250"/>
      <c r="M30" s="250"/>
      <c r="N30" s="250"/>
      <c r="O30" s="544">
        <v>150000</v>
      </c>
      <c r="P30" s="250"/>
      <c r="Q30" s="250"/>
      <c r="R30" s="246">
        <f t="shared" si="12"/>
        <v>150000</v>
      </c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</row>
    <row r="31" spans="1:35" s="225" customFormat="1" ht="18.75" customHeight="1">
      <c r="A31" s="216" t="s">
        <v>88</v>
      </c>
      <c r="B31" s="226"/>
      <c r="C31" s="241"/>
      <c r="D31" s="241"/>
      <c r="E31" s="564"/>
      <c r="F31" s="241"/>
      <c r="G31" s="564"/>
      <c r="H31" s="241"/>
      <c r="I31" s="564"/>
      <c r="J31" s="241"/>
      <c r="K31" s="621">
        <f t="shared" si="11"/>
        <v>0</v>
      </c>
      <c r="L31" s="250"/>
      <c r="M31" s="250"/>
      <c r="N31" s="250"/>
      <c r="O31" s="549">
        <v>332591</v>
      </c>
      <c r="P31" s="246"/>
      <c r="Q31" s="250"/>
      <c r="R31" s="246">
        <f t="shared" si="12"/>
        <v>332591</v>
      </c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547"/>
      <c r="AF31" s="547"/>
      <c r="AG31" s="547"/>
      <c r="AH31" s="547"/>
      <c r="AI31" s="547"/>
    </row>
    <row r="32" spans="1:35" s="225" customFormat="1" ht="18.75" customHeight="1">
      <c r="A32" s="216" t="s">
        <v>159</v>
      </c>
      <c r="B32" s="226"/>
      <c r="C32" s="241"/>
      <c r="D32" s="241"/>
      <c r="E32" s="564"/>
      <c r="F32" s="241"/>
      <c r="G32" s="564"/>
      <c r="H32" s="241"/>
      <c r="I32" s="564"/>
      <c r="J32" s="241"/>
      <c r="K32" s="621">
        <f t="shared" si="11"/>
        <v>0</v>
      </c>
      <c r="L32" s="250"/>
      <c r="M32" s="250"/>
      <c r="N32" s="250"/>
      <c r="O32" s="549">
        <v>2000</v>
      </c>
      <c r="P32" s="247"/>
      <c r="Q32" s="250"/>
      <c r="R32" s="246">
        <f t="shared" si="12"/>
        <v>2000</v>
      </c>
      <c r="S32" s="547"/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547"/>
      <c r="AE32" s="547"/>
      <c r="AF32" s="547"/>
      <c r="AG32" s="547"/>
      <c r="AH32" s="547"/>
      <c r="AI32" s="547"/>
    </row>
    <row r="33" spans="1:35" s="225" customFormat="1" ht="18.75" customHeight="1" thickBot="1">
      <c r="A33" s="216" t="s">
        <v>160</v>
      </c>
      <c r="B33" s="226"/>
      <c r="C33" s="241"/>
      <c r="D33" s="241"/>
      <c r="E33" s="564"/>
      <c r="F33" s="241"/>
      <c r="G33" s="564"/>
      <c r="H33" s="241"/>
      <c r="I33" s="564"/>
      <c r="J33" s="241"/>
      <c r="K33" s="621">
        <f t="shared" si="11"/>
        <v>0</v>
      </c>
      <c r="L33" s="250"/>
      <c r="M33" s="250"/>
      <c r="N33" s="250"/>
      <c r="O33" s="549">
        <v>53000</v>
      </c>
      <c r="P33" s="247"/>
      <c r="Q33" s="250"/>
      <c r="R33" s="246">
        <f t="shared" si="12"/>
        <v>53000</v>
      </c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</row>
    <row r="34" spans="1:35" s="225" customFormat="1" ht="18.75" customHeight="1" hidden="1" thickBot="1">
      <c r="A34" s="216"/>
      <c r="B34" s="226"/>
      <c r="C34" s="241"/>
      <c r="D34" s="241"/>
      <c r="E34" s="564"/>
      <c r="F34" s="241"/>
      <c r="G34" s="564"/>
      <c r="H34" s="241"/>
      <c r="I34" s="564"/>
      <c r="J34" s="241"/>
      <c r="K34" s="621">
        <f t="shared" si="11"/>
        <v>0</v>
      </c>
      <c r="L34" s="250"/>
      <c r="M34" s="250"/>
      <c r="N34" s="250"/>
      <c r="O34" s="401"/>
      <c r="P34" s="251"/>
      <c r="Q34" s="250"/>
      <c r="R34" s="246">
        <f t="shared" si="12"/>
        <v>0</v>
      </c>
      <c r="S34" s="547"/>
      <c r="T34" s="547"/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</row>
    <row r="35" spans="1:35" s="42" customFormat="1" ht="18.75" customHeight="1" hidden="1">
      <c r="A35" s="115" t="s">
        <v>20</v>
      </c>
      <c r="B35" s="116"/>
      <c r="C35" s="37"/>
      <c r="D35" s="37"/>
      <c r="E35" s="578"/>
      <c r="F35" s="37"/>
      <c r="G35" s="578"/>
      <c r="H35" s="37"/>
      <c r="I35" s="578"/>
      <c r="J35" s="37"/>
      <c r="K35" s="622"/>
      <c r="L35" s="37"/>
      <c r="M35" s="37"/>
      <c r="N35" s="37"/>
      <c r="O35" s="37"/>
      <c r="P35" s="38"/>
      <c r="Q35" s="37"/>
      <c r="R35" s="287">
        <f aca="true" t="shared" si="13" ref="R35:R43">SUM(K35:Q35)</f>
        <v>0</v>
      </c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</row>
    <row r="36" spans="1:35" s="42" customFormat="1" ht="18.75" customHeight="1" hidden="1">
      <c r="A36" s="118"/>
      <c r="B36" s="116"/>
      <c r="C36" s="37"/>
      <c r="D36" s="37"/>
      <c r="E36" s="578"/>
      <c r="F36" s="37"/>
      <c r="G36" s="578"/>
      <c r="H36" s="37"/>
      <c r="I36" s="578"/>
      <c r="J36" s="37"/>
      <c r="K36" s="622"/>
      <c r="L36" s="37"/>
      <c r="M36" s="37"/>
      <c r="N36" s="37"/>
      <c r="O36" s="37"/>
      <c r="P36" s="304"/>
      <c r="Q36" s="37"/>
      <c r="R36" s="287">
        <f t="shared" si="13"/>
        <v>0</v>
      </c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</row>
    <row r="37" spans="1:35" s="39" customFormat="1" ht="15.75" hidden="1" thickBot="1">
      <c r="A37" s="118"/>
      <c r="B37" s="116"/>
      <c r="C37" s="37"/>
      <c r="D37" s="37"/>
      <c r="E37" s="578"/>
      <c r="F37" s="37"/>
      <c r="G37" s="578"/>
      <c r="H37" s="37"/>
      <c r="I37" s="578"/>
      <c r="J37" s="37"/>
      <c r="K37" s="622"/>
      <c r="L37" s="37"/>
      <c r="M37" s="37"/>
      <c r="N37" s="37"/>
      <c r="O37" s="37"/>
      <c r="P37" s="304"/>
      <c r="Q37" s="37"/>
      <c r="R37" s="287">
        <f t="shared" si="13"/>
        <v>0</v>
      </c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541"/>
    </row>
    <row r="38" spans="1:35" s="39" customFormat="1" ht="15" customHeight="1" hidden="1">
      <c r="A38" s="118"/>
      <c r="B38" s="116"/>
      <c r="C38" s="37"/>
      <c r="D38" s="37"/>
      <c r="E38" s="578"/>
      <c r="F38" s="37"/>
      <c r="G38" s="578"/>
      <c r="H38" s="37"/>
      <c r="I38" s="578"/>
      <c r="J38" s="37"/>
      <c r="K38" s="622"/>
      <c r="L38" s="37"/>
      <c r="M38" s="37"/>
      <c r="N38" s="37"/>
      <c r="O38" s="37"/>
      <c r="P38" s="304"/>
      <c r="Q38" s="37"/>
      <c r="R38" s="287">
        <f t="shared" si="13"/>
        <v>0</v>
      </c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</row>
    <row r="39" spans="1:35" s="39" customFormat="1" ht="15.75" hidden="1" thickBot="1">
      <c r="A39" s="118"/>
      <c r="B39" s="116"/>
      <c r="C39" s="37"/>
      <c r="D39" s="37"/>
      <c r="E39" s="578"/>
      <c r="F39" s="37"/>
      <c r="G39" s="578"/>
      <c r="H39" s="37"/>
      <c r="I39" s="578"/>
      <c r="J39" s="37"/>
      <c r="K39" s="622"/>
      <c r="L39" s="37"/>
      <c r="M39" s="37"/>
      <c r="N39" s="37"/>
      <c r="O39" s="37"/>
      <c r="P39" s="304"/>
      <c r="Q39" s="37"/>
      <c r="R39" s="287">
        <f t="shared" si="13"/>
        <v>0</v>
      </c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1"/>
      <c r="AH39" s="541"/>
      <c r="AI39" s="541"/>
    </row>
    <row r="40" spans="1:35" s="39" customFormat="1" ht="15.75" hidden="1" thickBot="1">
      <c r="A40" s="119" t="s">
        <v>72</v>
      </c>
      <c r="B40" s="120">
        <v>6263282</v>
      </c>
      <c r="C40" s="40">
        <f aca="true" t="shared" si="14" ref="C40:I40">C41+C42</f>
        <v>0</v>
      </c>
      <c r="D40" s="40">
        <f t="shared" si="14"/>
        <v>0</v>
      </c>
      <c r="E40" s="579">
        <f t="shared" si="14"/>
        <v>0</v>
      </c>
      <c r="F40" s="40">
        <f t="shared" si="14"/>
        <v>0</v>
      </c>
      <c r="G40" s="579">
        <f t="shared" si="14"/>
        <v>0</v>
      </c>
      <c r="H40" s="40">
        <f t="shared" si="14"/>
        <v>0</v>
      </c>
      <c r="I40" s="579">
        <f t="shared" si="14"/>
        <v>0</v>
      </c>
      <c r="J40" s="40"/>
      <c r="K40" s="623">
        <f>SUM(C40:I40)</f>
        <v>0</v>
      </c>
      <c r="L40" s="40"/>
      <c r="M40" s="40"/>
      <c r="N40" s="40">
        <f>N41+N42</f>
        <v>0</v>
      </c>
      <c r="O40" s="40">
        <f>O41+O42</f>
        <v>0</v>
      </c>
      <c r="P40" s="56">
        <f>P41+P42</f>
        <v>0</v>
      </c>
      <c r="Q40" s="40">
        <f>Q41+Q42</f>
        <v>0</v>
      </c>
      <c r="R40" s="288">
        <f t="shared" si="13"/>
        <v>0</v>
      </c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1"/>
      <c r="AH40" s="541"/>
      <c r="AI40" s="541"/>
    </row>
    <row r="41" spans="1:35" s="39" customFormat="1" ht="15.75" hidden="1" thickBot="1">
      <c r="A41" s="121" t="s">
        <v>21</v>
      </c>
      <c r="B41" s="128">
        <v>5674700</v>
      </c>
      <c r="C41" s="43"/>
      <c r="D41" s="43"/>
      <c r="E41" s="580"/>
      <c r="F41" s="43"/>
      <c r="G41" s="580"/>
      <c r="H41" s="37"/>
      <c r="I41" s="580"/>
      <c r="J41" s="76"/>
      <c r="K41" s="622"/>
      <c r="L41" s="43"/>
      <c r="M41" s="43"/>
      <c r="N41" s="43"/>
      <c r="O41" s="43"/>
      <c r="P41" s="305"/>
      <c r="Q41" s="43"/>
      <c r="R41" s="289">
        <f t="shared" si="13"/>
        <v>0</v>
      </c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</row>
    <row r="42" spans="1:35" s="36" customFormat="1" ht="15" customHeight="1" hidden="1">
      <c r="A42" s="122" t="s">
        <v>22</v>
      </c>
      <c r="B42" s="123">
        <v>588582</v>
      </c>
      <c r="C42" s="44"/>
      <c r="D42" s="44"/>
      <c r="E42" s="581"/>
      <c r="F42" s="44"/>
      <c r="G42" s="581"/>
      <c r="H42" s="37"/>
      <c r="I42" s="581"/>
      <c r="J42" s="102"/>
      <c r="K42" s="622"/>
      <c r="L42" s="44"/>
      <c r="M42" s="44"/>
      <c r="N42" s="44"/>
      <c r="O42" s="44"/>
      <c r="P42" s="52"/>
      <c r="Q42" s="408"/>
      <c r="R42" s="290">
        <f t="shared" si="13"/>
        <v>0</v>
      </c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</row>
    <row r="43" spans="1:35" s="45" customFormat="1" ht="15.75" hidden="1" thickBot="1">
      <c r="A43" s="124"/>
      <c r="B43" s="128"/>
      <c r="C43" s="44"/>
      <c r="D43" s="44"/>
      <c r="E43" s="581"/>
      <c r="F43" s="44"/>
      <c r="G43" s="581"/>
      <c r="H43" s="37"/>
      <c r="I43" s="581"/>
      <c r="J43" s="102"/>
      <c r="K43" s="622"/>
      <c r="L43" s="44"/>
      <c r="M43" s="44"/>
      <c r="N43" s="44"/>
      <c r="O43" s="44"/>
      <c r="P43" s="52"/>
      <c r="Q43" s="408"/>
      <c r="R43" s="290">
        <f t="shared" si="13"/>
        <v>0</v>
      </c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</row>
    <row r="44" spans="1:35" s="36" customFormat="1" ht="15.75" hidden="1" thickBot="1">
      <c r="A44" s="125"/>
      <c r="B44" s="123"/>
      <c r="C44" s="98"/>
      <c r="D44" s="98"/>
      <c r="E44" s="582"/>
      <c r="F44" s="98"/>
      <c r="G44" s="582"/>
      <c r="H44" s="61"/>
      <c r="I44" s="611"/>
      <c r="J44" s="220"/>
      <c r="K44" s="624"/>
      <c r="L44" s="98"/>
      <c r="M44" s="98"/>
      <c r="N44" s="98"/>
      <c r="O44" s="98"/>
      <c r="P44" s="306"/>
      <c r="Q44" s="306"/>
      <c r="R44" s="424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</row>
    <row r="45" spans="1:35" s="36" customFormat="1" ht="26.25" customHeight="1" thickBot="1">
      <c r="A45" s="114" t="s">
        <v>23</v>
      </c>
      <c r="B45" s="276">
        <v>4495651</v>
      </c>
      <c r="C45" s="90">
        <f>C46+C69+C70</f>
        <v>1968255</v>
      </c>
      <c r="D45" s="90">
        <f aca="true" t="shared" si="15" ref="D45:J45">D46+D69+D70</f>
        <v>998191</v>
      </c>
      <c r="E45" s="583">
        <f t="shared" si="15"/>
        <v>2390528</v>
      </c>
      <c r="F45" s="90">
        <f t="shared" si="15"/>
        <v>3640368</v>
      </c>
      <c r="G45" s="583">
        <f t="shared" si="15"/>
        <v>1386529</v>
      </c>
      <c r="H45" s="90">
        <f t="shared" si="15"/>
        <v>1613009.13</v>
      </c>
      <c r="I45" s="583">
        <f t="shared" si="15"/>
        <v>364461</v>
      </c>
      <c r="J45" s="90">
        <f t="shared" si="15"/>
        <v>179665</v>
      </c>
      <c r="K45" s="464">
        <f>SUM(C45:J45)</f>
        <v>12541006.129999999</v>
      </c>
      <c r="L45" s="90">
        <f>L46+L59+L67+L68+L69+L70</f>
        <v>0</v>
      </c>
      <c r="M45" s="90">
        <f>M46+M59+M67+M68+M69+M70</f>
        <v>0</v>
      </c>
      <c r="N45" s="90">
        <f>N46+N59+N67+N68+N69+N70</f>
        <v>679023</v>
      </c>
      <c r="O45" s="90">
        <f>O51+O52+O53+O54+O55+O56+O57+O59+O60+O61+O63+O64+O65+O66</f>
        <v>679619</v>
      </c>
      <c r="P45" s="90">
        <f>P46+P59+P67+P68+P69+P70</f>
        <v>0</v>
      </c>
      <c r="Q45" s="90">
        <f>Q46+Q69+Q70</f>
        <v>1151.8699999999953</v>
      </c>
      <c r="R45" s="90">
        <f>K45+L45+M45+N45+O45+P45+Q45</f>
        <v>13900799.999999998</v>
      </c>
      <c r="S45" s="431">
        <f>R46+R67+R68</f>
        <v>12020074.999999998</v>
      </c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</row>
    <row r="46" spans="1:35" s="36" customFormat="1" ht="27" customHeight="1" thickBot="1">
      <c r="A46" s="219" t="s">
        <v>120</v>
      </c>
      <c r="B46" s="126">
        <v>17012942</v>
      </c>
      <c r="C46" s="245">
        <f>3937797+C67+C68+C65+C53+75306-1258000-442816-825000</f>
        <v>1595634</v>
      </c>
      <c r="D46" s="245">
        <f>2031442+D67+D68+147500+D54+D53-1310552+34331-42331-49835+D65</f>
        <v>852962</v>
      </c>
      <c r="E46" s="584">
        <f>4104897+E67+E68+E65-2736503+E53+49835+271500+3000+1056+30000+E51</f>
        <v>1779457</v>
      </c>
      <c r="F46" s="245">
        <f>4661228+F67+F68+F65+2500+95774+F53+48728+90000+F51+3250-95774-1769478</f>
        <v>3110503</v>
      </c>
      <c r="G46" s="584">
        <f>1299597+G67+G68+G65+G53+26579</f>
        <v>1347890</v>
      </c>
      <c r="H46" s="245">
        <f>2430112+H67+H68+H53+14352-95000-967184+43744+70-78000</f>
        <v>1379187.13</v>
      </c>
      <c r="I46" s="584">
        <f>474986+I67+I68+I53+17719-227000</f>
        <v>284050</v>
      </c>
      <c r="J46" s="245">
        <f>448654+J67+J68+J53+6091-284000</f>
        <v>174343</v>
      </c>
      <c r="K46" s="625">
        <f>SUM(C46:J46)</f>
        <v>10524026.129999999</v>
      </c>
      <c r="L46" s="84"/>
      <c r="M46" s="84"/>
      <c r="N46" s="245">
        <f>935901+271500+145000+17500+95000+1843+283037+62500+62500-271500+95774-1029000</f>
        <v>670055</v>
      </c>
      <c r="O46" s="402">
        <f>O51+O52+O53+O54+O55+O56+O57+O59+O60+O61+O63+O64+O66+O65</f>
        <v>679619</v>
      </c>
      <c r="P46" s="252">
        <f>679774-679774</f>
        <v>0</v>
      </c>
      <c r="Q46" s="252">
        <f>Q68+Q67+437209-62500-62500-302333-9876</f>
        <v>1151.8699999999953</v>
      </c>
      <c r="R46" s="425">
        <f>SUM(K46:Q46)</f>
        <v>11874851.999999998</v>
      </c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</row>
    <row r="47" spans="1:35" s="434" customFormat="1" ht="18" customHeight="1" hidden="1" thickBot="1">
      <c r="A47" s="442"/>
      <c r="B47" s="126"/>
      <c r="C47" s="241"/>
      <c r="D47" s="241"/>
      <c r="E47" s="564"/>
      <c r="F47" s="241"/>
      <c r="G47" s="564"/>
      <c r="H47" s="241"/>
      <c r="I47" s="564"/>
      <c r="J47" s="241"/>
      <c r="K47" s="626">
        <f aca="true" t="shared" si="16" ref="K47:K70">C47+D47+E47+F47+G47+H47+I47+J47</f>
        <v>0</v>
      </c>
      <c r="L47" s="84"/>
      <c r="M47" s="84"/>
      <c r="N47" s="84"/>
      <c r="O47" s="432"/>
      <c r="P47" s="253"/>
      <c r="Q47" s="84"/>
      <c r="R47" s="433">
        <f>SUM(K47:Q47)</f>
        <v>0</v>
      </c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</row>
    <row r="48" spans="1:35" s="36" customFormat="1" ht="18" customHeight="1" hidden="1">
      <c r="A48" s="302" t="s">
        <v>161</v>
      </c>
      <c r="B48" s="126"/>
      <c r="C48" s="241"/>
      <c r="D48" s="241"/>
      <c r="E48" s="564"/>
      <c r="F48" s="241"/>
      <c r="G48" s="564"/>
      <c r="H48" s="241"/>
      <c r="I48" s="564"/>
      <c r="J48" s="241"/>
      <c r="K48" s="627">
        <f t="shared" si="16"/>
        <v>0</v>
      </c>
      <c r="L48" s="84"/>
      <c r="M48" s="84"/>
      <c r="N48" s="84"/>
      <c r="O48" s="246"/>
      <c r="P48" s="253"/>
      <c r="Q48" s="84"/>
      <c r="R48" s="426">
        <f>SUM(K48:Q48)</f>
        <v>0</v>
      </c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</row>
    <row r="49" spans="1:35" s="225" customFormat="1" ht="18" customHeight="1" hidden="1" thickBot="1">
      <c r="A49" s="237" t="s">
        <v>24</v>
      </c>
      <c r="B49" s="299"/>
      <c r="C49" s="300"/>
      <c r="D49" s="300"/>
      <c r="E49" s="585"/>
      <c r="F49" s="300"/>
      <c r="G49" s="585"/>
      <c r="H49" s="300"/>
      <c r="I49" s="585"/>
      <c r="J49" s="300"/>
      <c r="K49" s="628">
        <f t="shared" si="16"/>
        <v>0</v>
      </c>
      <c r="L49" s="301"/>
      <c r="M49" s="301"/>
      <c r="N49" s="301"/>
      <c r="O49" s="401"/>
      <c r="P49" s="157"/>
      <c r="Q49" s="301"/>
      <c r="R49" s="427">
        <f>SUM(K49:Q49)</f>
        <v>0</v>
      </c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</row>
    <row r="50" spans="1:35" s="36" customFormat="1" ht="14.25">
      <c r="A50" s="456" t="s">
        <v>161</v>
      </c>
      <c r="B50" s="450"/>
      <c r="C50" s="451">
        <v>37334</v>
      </c>
      <c r="D50" s="451">
        <v>23971</v>
      </c>
      <c r="E50" s="586">
        <v>45074</v>
      </c>
      <c r="F50" s="452">
        <v>48612</v>
      </c>
      <c r="G50" s="586">
        <v>18331</v>
      </c>
      <c r="H50" s="452">
        <v>30348</v>
      </c>
      <c r="I50" s="586">
        <v>5241</v>
      </c>
      <c r="J50" s="452">
        <v>3321</v>
      </c>
      <c r="K50" s="629">
        <f t="shared" si="16"/>
        <v>212232</v>
      </c>
      <c r="L50" s="453"/>
      <c r="M50" s="453"/>
      <c r="N50" s="453" t="s">
        <v>187</v>
      </c>
      <c r="O50" s="552"/>
      <c r="P50" s="454"/>
      <c r="Q50" s="453"/>
      <c r="R50" s="455">
        <f>SUM(K50:Q50)</f>
        <v>212232</v>
      </c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</row>
    <row r="51" spans="1:35" s="36" customFormat="1" ht="15">
      <c r="A51" s="216" t="s">
        <v>162</v>
      </c>
      <c r="B51" s="126"/>
      <c r="C51" s="241"/>
      <c r="D51" s="241"/>
      <c r="E51" s="564">
        <f>3000+1056</f>
        <v>4056</v>
      </c>
      <c r="F51" s="241">
        <f>1000+352</f>
        <v>1352</v>
      </c>
      <c r="G51" s="564"/>
      <c r="H51" s="241"/>
      <c r="I51" s="564"/>
      <c r="J51" s="241"/>
      <c r="K51" s="627">
        <f t="shared" si="16"/>
        <v>5408</v>
      </c>
      <c r="L51" s="84"/>
      <c r="M51" s="84"/>
      <c r="N51" s="84"/>
      <c r="O51" s="657">
        <f>13926-3982-4000-1408</f>
        <v>4536</v>
      </c>
      <c r="P51" s="157"/>
      <c r="Q51" s="84"/>
      <c r="R51" s="429">
        <f aca="true" t="shared" si="17" ref="R51:R65">SUM(K51:P51)</f>
        <v>9944</v>
      </c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</row>
    <row r="52" spans="1:35" s="36" customFormat="1" ht="15">
      <c r="A52" s="216" t="s">
        <v>163</v>
      </c>
      <c r="B52" s="126"/>
      <c r="C52" s="241"/>
      <c r="D52" s="241"/>
      <c r="E52" s="564"/>
      <c r="F52" s="241"/>
      <c r="G52" s="564"/>
      <c r="H52" s="241"/>
      <c r="I52" s="564"/>
      <c r="J52" s="241"/>
      <c r="K52" s="627">
        <f t="shared" si="16"/>
        <v>0</v>
      </c>
      <c r="L52" s="84"/>
      <c r="M52" s="84"/>
      <c r="N52" s="84"/>
      <c r="O52" s="250">
        <v>258410</v>
      </c>
      <c r="P52" s="157"/>
      <c r="Q52" s="84"/>
      <c r="R52" s="429">
        <f t="shared" si="17"/>
        <v>258410</v>
      </c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</row>
    <row r="53" spans="1:35" s="36" customFormat="1" ht="15">
      <c r="A53" s="216" t="s">
        <v>164</v>
      </c>
      <c r="B53" s="126"/>
      <c r="C53" s="241">
        <f>26673+2000+2000</f>
        <v>30673</v>
      </c>
      <c r="D53" s="241">
        <f>8998+6000+4000</f>
        <v>18998</v>
      </c>
      <c r="E53" s="564">
        <f>16892+2000</f>
        <v>18892</v>
      </c>
      <c r="F53" s="241">
        <f>25990+12000+5920</f>
        <v>43910</v>
      </c>
      <c r="G53" s="564">
        <v>6830</v>
      </c>
      <c r="H53" s="241">
        <f>13000+6000</f>
        <v>19000</v>
      </c>
      <c r="I53" s="564">
        <f>9679+2000+2000</f>
        <v>13679</v>
      </c>
      <c r="J53" s="241">
        <v>2000</v>
      </c>
      <c r="K53" s="627">
        <f t="shared" si="16"/>
        <v>153982</v>
      </c>
      <c r="L53" s="84"/>
      <c r="M53" s="84"/>
      <c r="N53" s="84"/>
      <c r="O53" s="656">
        <f>150000-110062-30000-13920+3982</f>
        <v>0</v>
      </c>
      <c r="P53" s="157"/>
      <c r="Q53" s="84"/>
      <c r="R53" s="429">
        <f t="shared" si="17"/>
        <v>153982</v>
      </c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</row>
    <row r="54" spans="1:35" s="36" customFormat="1" ht="15">
      <c r="A54" s="216" t="s">
        <v>165</v>
      </c>
      <c r="B54" s="116"/>
      <c r="C54" s="241"/>
      <c r="D54" s="241">
        <v>8000</v>
      </c>
      <c r="E54" s="564"/>
      <c r="F54" s="241"/>
      <c r="G54" s="564"/>
      <c r="H54" s="241"/>
      <c r="I54" s="564"/>
      <c r="J54" s="241"/>
      <c r="K54" s="627">
        <f t="shared" si="16"/>
        <v>8000</v>
      </c>
      <c r="L54" s="37"/>
      <c r="M54" s="37"/>
      <c r="N54" s="37">
        <v>1843</v>
      </c>
      <c r="O54" s="241">
        <f>12000-8000-1843</f>
        <v>2157</v>
      </c>
      <c r="P54" s="156"/>
      <c r="Q54" s="37"/>
      <c r="R54" s="429">
        <f t="shared" si="17"/>
        <v>12000</v>
      </c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</row>
    <row r="55" spans="1:35" s="36" customFormat="1" ht="15">
      <c r="A55" s="216" t="s">
        <v>92</v>
      </c>
      <c r="B55" s="116"/>
      <c r="C55" s="241"/>
      <c r="D55" s="241"/>
      <c r="E55" s="564"/>
      <c r="F55" s="241"/>
      <c r="G55" s="564"/>
      <c r="H55" s="241"/>
      <c r="I55" s="564"/>
      <c r="J55" s="241"/>
      <c r="K55" s="627">
        <f t="shared" si="16"/>
        <v>0</v>
      </c>
      <c r="L55" s="37"/>
      <c r="M55" s="37"/>
      <c r="N55" s="37"/>
      <c r="O55" s="241">
        <v>73000</v>
      </c>
      <c r="P55" s="38"/>
      <c r="Q55" s="37"/>
      <c r="R55" s="429">
        <f t="shared" si="17"/>
        <v>73000</v>
      </c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</row>
    <row r="56" spans="1:35" s="36" customFormat="1" ht="15">
      <c r="A56" s="216" t="s">
        <v>25</v>
      </c>
      <c r="B56" s="116"/>
      <c r="C56" s="241"/>
      <c r="D56" s="241"/>
      <c r="E56" s="564">
        <f>3000+1056</f>
        <v>4056</v>
      </c>
      <c r="F56" s="241"/>
      <c r="G56" s="564"/>
      <c r="H56" s="241"/>
      <c r="I56" s="564"/>
      <c r="J56" s="241"/>
      <c r="K56" s="627">
        <f t="shared" si="16"/>
        <v>4056</v>
      </c>
      <c r="L56" s="37"/>
      <c r="M56" s="37"/>
      <c r="N56" s="37"/>
      <c r="O56" s="241">
        <f>58571-4056-54515</f>
        <v>0</v>
      </c>
      <c r="P56" s="38"/>
      <c r="Q56" s="37"/>
      <c r="R56" s="429">
        <f t="shared" si="17"/>
        <v>4056</v>
      </c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</row>
    <row r="57" spans="1:35" s="36" customFormat="1" ht="15">
      <c r="A57" s="216" t="s">
        <v>166</v>
      </c>
      <c r="B57" s="116"/>
      <c r="C57" s="241"/>
      <c r="D57" s="241"/>
      <c r="E57" s="564"/>
      <c r="F57" s="241"/>
      <c r="G57" s="564"/>
      <c r="H57" s="241"/>
      <c r="I57" s="564"/>
      <c r="J57" s="241"/>
      <c r="K57" s="627">
        <f t="shared" si="16"/>
        <v>0</v>
      </c>
      <c r="L57" s="37"/>
      <c r="M57" s="37"/>
      <c r="N57" s="37"/>
      <c r="O57" s="241">
        <v>25000</v>
      </c>
      <c r="P57" s="38"/>
      <c r="Q57" s="37"/>
      <c r="R57" s="429">
        <f t="shared" si="17"/>
        <v>25000</v>
      </c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</row>
    <row r="58" spans="1:35" s="39" customFormat="1" ht="15" hidden="1">
      <c r="A58" s="216"/>
      <c r="B58" s="116"/>
      <c r="C58" s="241"/>
      <c r="D58" s="241"/>
      <c r="E58" s="564"/>
      <c r="F58" s="241"/>
      <c r="G58" s="564"/>
      <c r="H58" s="241"/>
      <c r="I58" s="564"/>
      <c r="J58" s="241"/>
      <c r="K58" s="458">
        <f t="shared" si="16"/>
        <v>0</v>
      </c>
      <c r="L58" s="37"/>
      <c r="M58" s="37"/>
      <c r="N58" s="37"/>
      <c r="O58" s="241"/>
      <c r="P58" s="48"/>
      <c r="Q58" s="37"/>
      <c r="R58" s="429">
        <f t="shared" si="17"/>
        <v>0</v>
      </c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</row>
    <row r="59" spans="1:35" s="36" customFormat="1" ht="15">
      <c r="A59" s="216" t="s">
        <v>122</v>
      </c>
      <c r="B59" s="116"/>
      <c r="C59" s="37"/>
      <c r="D59" s="37">
        <v>0</v>
      </c>
      <c r="E59" s="578">
        <v>0</v>
      </c>
      <c r="F59" s="37">
        <v>0</v>
      </c>
      <c r="G59" s="578">
        <v>0</v>
      </c>
      <c r="H59" s="37">
        <v>0</v>
      </c>
      <c r="I59" s="578">
        <v>0</v>
      </c>
      <c r="J59" s="37">
        <v>0</v>
      </c>
      <c r="K59" s="458">
        <f t="shared" si="16"/>
        <v>0</v>
      </c>
      <c r="L59" s="37">
        <v>0</v>
      </c>
      <c r="M59" s="37">
        <v>0</v>
      </c>
      <c r="N59" s="37">
        <v>0</v>
      </c>
      <c r="O59" s="241">
        <v>10000</v>
      </c>
      <c r="P59" s="38">
        <v>0</v>
      </c>
      <c r="Q59" s="37"/>
      <c r="R59" s="429">
        <f t="shared" si="17"/>
        <v>10000</v>
      </c>
      <c r="S59" s="553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</row>
    <row r="60" spans="1:35" s="39" customFormat="1" ht="15">
      <c r="A60" s="216" t="s">
        <v>121</v>
      </c>
      <c r="B60" s="116"/>
      <c r="C60" s="37"/>
      <c r="D60" s="37"/>
      <c r="E60" s="578"/>
      <c r="F60" s="37"/>
      <c r="G60" s="578"/>
      <c r="H60" s="37"/>
      <c r="I60" s="578"/>
      <c r="J60" s="37"/>
      <c r="K60" s="458">
        <f t="shared" si="16"/>
        <v>0</v>
      </c>
      <c r="L60" s="37"/>
      <c r="M60" s="37"/>
      <c r="N60" s="37"/>
      <c r="O60" s="241">
        <v>125429</v>
      </c>
      <c r="P60" s="48"/>
      <c r="Q60" s="37"/>
      <c r="R60" s="429">
        <f t="shared" si="17"/>
        <v>125429</v>
      </c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541"/>
      <c r="AG60" s="541"/>
      <c r="AH60" s="541"/>
      <c r="AI60" s="541"/>
    </row>
    <row r="61" spans="1:35" s="36" customFormat="1" ht="15">
      <c r="A61" s="216" t="s">
        <v>123</v>
      </c>
      <c r="B61" s="116"/>
      <c r="C61" s="37"/>
      <c r="D61" s="37"/>
      <c r="E61" s="578"/>
      <c r="F61" s="37"/>
      <c r="G61" s="578"/>
      <c r="H61" s="37"/>
      <c r="I61" s="578"/>
      <c r="J61" s="37"/>
      <c r="K61" s="458">
        <f t="shared" si="16"/>
        <v>0</v>
      </c>
      <c r="L61" s="37"/>
      <c r="M61" s="37"/>
      <c r="N61" s="37"/>
      <c r="O61" s="241">
        <v>35000</v>
      </c>
      <c r="P61" s="48"/>
      <c r="Q61" s="37"/>
      <c r="R61" s="429">
        <f t="shared" si="17"/>
        <v>35000</v>
      </c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</row>
    <row r="62" spans="1:35" s="36" customFormat="1" ht="18" customHeight="1" hidden="1">
      <c r="A62" s="443"/>
      <c r="B62" s="117"/>
      <c r="C62" s="37"/>
      <c r="D62" s="37"/>
      <c r="E62" s="578"/>
      <c r="F62" s="37"/>
      <c r="G62" s="578"/>
      <c r="H62" s="37"/>
      <c r="I62" s="578"/>
      <c r="J62" s="37"/>
      <c r="K62" s="458">
        <f t="shared" si="16"/>
        <v>0</v>
      </c>
      <c r="L62" s="37"/>
      <c r="M62" s="37"/>
      <c r="N62" s="37"/>
      <c r="O62" s="554"/>
      <c r="P62" s="37"/>
      <c r="Q62" s="37"/>
      <c r="R62" s="429">
        <f t="shared" si="17"/>
        <v>0</v>
      </c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</row>
    <row r="63" spans="1:35" s="36" customFormat="1" ht="18" customHeight="1">
      <c r="A63" s="466" t="s">
        <v>167</v>
      </c>
      <c r="B63" s="117"/>
      <c r="C63" s="47"/>
      <c r="D63" s="47"/>
      <c r="E63" s="587"/>
      <c r="F63" s="47"/>
      <c r="G63" s="587"/>
      <c r="H63" s="47"/>
      <c r="I63" s="587"/>
      <c r="J63" s="47"/>
      <c r="K63" s="458">
        <f t="shared" si="16"/>
        <v>0</v>
      </c>
      <c r="L63" s="37"/>
      <c r="M63" s="37"/>
      <c r="N63" s="37"/>
      <c r="O63" s="555">
        <v>10000</v>
      </c>
      <c r="P63" s="37"/>
      <c r="Q63" s="37"/>
      <c r="R63" s="429">
        <f t="shared" si="17"/>
        <v>10000</v>
      </c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</row>
    <row r="64" spans="1:35" s="36" customFormat="1" ht="18" customHeight="1">
      <c r="A64" s="466" t="s">
        <v>168</v>
      </c>
      <c r="B64" s="117"/>
      <c r="C64" s="47"/>
      <c r="D64" s="47"/>
      <c r="E64" s="587"/>
      <c r="F64" s="47"/>
      <c r="G64" s="587"/>
      <c r="H64" s="47"/>
      <c r="I64" s="587"/>
      <c r="J64" s="47"/>
      <c r="K64" s="458">
        <f t="shared" si="16"/>
        <v>0</v>
      </c>
      <c r="L64" s="37"/>
      <c r="M64" s="37"/>
      <c r="N64" s="37"/>
      <c r="O64" s="555">
        <f>27500-20501</f>
        <v>6999</v>
      </c>
      <c r="P64" s="37"/>
      <c r="Q64" s="37"/>
      <c r="R64" s="429">
        <f t="shared" si="17"/>
        <v>6999</v>
      </c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</row>
    <row r="65" spans="1:35" s="36" customFormat="1" ht="18" customHeight="1">
      <c r="A65" s="466" t="s">
        <v>124</v>
      </c>
      <c r="B65" s="117"/>
      <c r="C65" s="47">
        <f>7631+250</f>
        <v>7881</v>
      </c>
      <c r="D65" s="47">
        <f>1094+385+110</f>
        <v>1589</v>
      </c>
      <c r="E65" s="587">
        <f>11885+4184+1189+70+1135+400+114</f>
        <v>18977</v>
      </c>
      <c r="F65" s="47">
        <v>7631</v>
      </c>
      <c r="G65" s="587">
        <v>7912</v>
      </c>
      <c r="H65" s="47">
        <f>14352+70</f>
        <v>14422</v>
      </c>
      <c r="I65" s="587"/>
      <c r="J65" s="47"/>
      <c r="K65" s="458">
        <f t="shared" si="16"/>
        <v>58412</v>
      </c>
      <c r="L65" s="37"/>
      <c r="M65" s="37"/>
      <c r="N65" s="37"/>
      <c r="O65" s="555">
        <f>122000-7631-7631-7912-17258-14352-70-250-70-2229-785-224</f>
        <v>63588</v>
      </c>
      <c r="P65" s="37"/>
      <c r="Q65" s="37"/>
      <c r="R65" s="429">
        <f t="shared" si="17"/>
        <v>122000</v>
      </c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</row>
    <row r="66" spans="1:35" s="36" customFormat="1" ht="18" customHeight="1">
      <c r="A66" s="466" t="s">
        <v>169</v>
      </c>
      <c r="B66" s="117"/>
      <c r="C66" s="47"/>
      <c r="D66" s="47"/>
      <c r="E66" s="587"/>
      <c r="F66" s="47"/>
      <c r="G66" s="587"/>
      <c r="H66" s="47"/>
      <c r="I66" s="587"/>
      <c r="J66" s="47"/>
      <c r="K66" s="458">
        <f t="shared" si="16"/>
        <v>0</v>
      </c>
      <c r="L66" s="37"/>
      <c r="M66" s="37"/>
      <c r="N66" s="37"/>
      <c r="O66" s="555">
        <v>65500</v>
      </c>
      <c r="P66" s="37"/>
      <c r="Q66" s="37"/>
      <c r="R66" s="429">
        <f>SUM(K66:P66)</f>
        <v>65500</v>
      </c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</row>
    <row r="67" spans="1:18" s="435" customFormat="1" ht="15" customHeight="1">
      <c r="A67" s="448" t="s">
        <v>170</v>
      </c>
      <c r="B67" s="230"/>
      <c r="C67" s="449">
        <v>19755</v>
      </c>
      <c r="D67" s="449">
        <v>9006</v>
      </c>
      <c r="E67" s="588">
        <v>13073</v>
      </c>
      <c r="F67" s="449">
        <v>12782</v>
      </c>
      <c r="G67" s="588">
        <v>6972</v>
      </c>
      <c r="H67" s="449">
        <v>11475</v>
      </c>
      <c r="I67" s="588">
        <v>4648</v>
      </c>
      <c r="J67" s="449">
        <v>1598</v>
      </c>
      <c r="K67" s="630">
        <f t="shared" si="16"/>
        <v>79309</v>
      </c>
      <c r="L67" s="445"/>
      <c r="M67" s="445"/>
      <c r="N67" s="445"/>
      <c r="O67" s="445"/>
      <c r="P67" s="446"/>
      <c r="Q67" s="457">
        <v>0</v>
      </c>
      <c r="R67" s="447">
        <f>SUM(K67:Q67)+Q67</f>
        <v>79309</v>
      </c>
    </row>
    <row r="68" spans="1:35" s="36" customFormat="1" ht="15">
      <c r="A68" s="444" t="s">
        <v>125</v>
      </c>
      <c r="B68" s="128"/>
      <c r="C68" s="85">
        <f>56038-6000</f>
        <v>50038</v>
      </c>
      <c r="D68" s="85">
        <f>1204+3610</f>
        <v>4814</v>
      </c>
      <c r="E68" s="85">
        <v>674</v>
      </c>
      <c r="F68" s="85">
        <f>7000+1600</f>
        <v>8600</v>
      </c>
      <c r="G68" s="85">
        <v>0</v>
      </c>
      <c r="H68" s="85">
        <f>619-0.87</f>
        <v>618.13</v>
      </c>
      <c r="I68" s="85">
        <v>18</v>
      </c>
      <c r="J68" s="85">
        <v>0</v>
      </c>
      <c r="K68" s="458">
        <f t="shared" si="16"/>
        <v>64762.13</v>
      </c>
      <c r="L68" s="91"/>
      <c r="M68" s="91"/>
      <c r="N68" s="91"/>
      <c r="O68" s="91"/>
      <c r="P68" s="99"/>
      <c r="Q68" s="99">
        <f>452791-442914+427332-62500-62500-302333-9876+9876-619-18-1204-7000+1716+0.87-1600</f>
        <v>1151.87</v>
      </c>
      <c r="R68" s="429">
        <f>SUM(K68:Q68)</f>
        <v>65914</v>
      </c>
      <c r="S68" s="547">
        <v>65915</v>
      </c>
      <c r="T68" s="655"/>
      <c r="U68" s="547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</row>
    <row r="69" spans="1:35" s="36" customFormat="1" ht="15">
      <c r="A69" s="127" t="s">
        <v>171</v>
      </c>
      <c r="B69" s="128"/>
      <c r="C69" s="85">
        <f>374621-2000</f>
        <v>372621</v>
      </c>
      <c r="D69" s="85">
        <v>112886</v>
      </c>
      <c r="E69" s="589">
        <f>494885+5100</f>
        <v>499985</v>
      </c>
      <c r="F69" s="91">
        <f>531741-5100</f>
        <v>526641</v>
      </c>
      <c r="G69" s="589">
        <f>12880+2000</f>
        <v>14880</v>
      </c>
      <c r="H69" s="91">
        <v>194481</v>
      </c>
      <c r="I69" s="589">
        <v>63567</v>
      </c>
      <c r="J69" s="221">
        <v>5322</v>
      </c>
      <c r="K69" s="458">
        <f t="shared" si="16"/>
        <v>1790383</v>
      </c>
      <c r="L69" s="91"/>
      <c r="M69" s="91"/>
      <c r="N69" s="91">
        <v>8968</v>
      </c>
      <c r="O69" s="91"/>
      <c r="P69" s="99"/>
      <c r="Q69" s="99"/>
      <c r="R69" s="429">
        <f>SUM(K69:Q69)</f>
        <v>1799351</v>
      </c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</row>
    <row r="70" spans="1:35" s="36" customFormat="1" ht="15.75" thickBot="1">
      <c r="A70" s="129" t="s">
        <v>70</v>
      </c>
      <c r="B70" s="123"/>
      <c r="C70" s="85">
        <v>0</v>
      </c>
      <c r="D70" s="85">
        <v>32343</v>
      </c>
      <c r="E70" s="589">
        <v>111086</v>
      </c>
      <c r="F70" s="91">
        <v>3224</v>
      </c>
      <c r="G70" s="589">
        <v>23759</v>
      </c>
      <c r="H70" s="91">
        <f>37554+1787</f>
        <v>39341</v>
      </c>
      <c r="I70" s="589">
        <v>16844</v>
      </c>
      <c r="J70" s="221">
        <v>0</v>
      </c>
      <c r="K70" s="458">
        <f t="shared" si="16"/>
        <v>226597</v>
      </c>
      <c r="L70" s="92"/>
      <c r="M70" s="92"/>
      <c r="N70" s="92"/>
      <c r="O70" s="92"/>
      <c r="P70" s="100"/>
      <c r="Q70" s="100"/>
      <c r="R70" s="429">
        <f>SUM(K70:Q70)</f>
        <v>226597</v>
      </c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</row>
    <row r="71" spans="1:35" s="49" customFormat="1" ht="21" customHeight="1" thickBot="1">
      <c r="A71" s="130" t="s">
        <v>26</v>
      </c>
      <c r="B71" s="131"/>
      <c r="C71" s="93"/>
      <c r="D71" s="93">
        <v>0</v>
      </c>
      <c r="E71" s="590">
        <v>80000</v>
      </c>
      <c r="F71" s="93">
        <v>0</v>
      </c>
      <c r="G71" s="590">
        <f>98199+14730</f>
        <v>112929</v>
      </c>
      <c r="H71" s="93">
        <v>0</v>
      </c>
      <c r="I71" s="590">
        <v>0</v>
      </c>
      <c r="J71" s="222">
        <v>0</v>
      </c>
      <c r="K71" s="631">
        <f>SUM(C71:J71)</f>
        <v>192929</v>
      </c>
      <c r="L71" s="93"/>
      <c r="M71" s="93"/>
      <c r="N71" s="93"/>
      <c r="O71" s="93"/>
      <c r="P71" s="101"/>
      <c r="Q71" s="409"/>
      <c r="R71" s="430">
        <f>K71+L71+M71+N71+O71+P71</f>
        <v>192929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</row>
    <row r="72" spans="1:35" s="50" customFormat="1" ht="15.75" hidden="1" thickBot="1">
      <c r="A72" s="133"/>
      <c r="B72" s="134"/>
      <c r="C72" s="8"/>
      <c r="D72" s="8"/>
      <c r="E72" s="591"/>
      <c r="F72" s="8"/>
      <c r="G72" s="591"/>
      <c r="H72" s="8"/>
      <c r="I72" s="591"/>
      <c r="J72" s="223"/>
      <c r="K72" s="632">
        <f>SUM(C72:I72)</f>
        <v>0</v>
      </c>
      <c r="L72" s="8"/>
      <c r="M72" s="8"/>
      <c r="N72" s="8"/>
      <c r="O72" s="8"/>
      <c r="P72" s="103"/>
      <c r="Q72" s="410"/>
      <c r="R72" s="290">
        <f>SUM(K72:P72)</f>
        <v>0</v>
      </c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</row>
    <row r="73" spans="1:20" ht="23.25" customHeight="1" thickBot="1">
      <c r="A73" s="135" t="s">
        <v>77</v>
      </c>
      <c r="B73" s="275">
        <v>5691770</v>
      </c>
      <c r="C73" s="89">
        <f>C74+C75+C76+C77+C85+C86</f>
        <v>604516</v>
      </c>
      <c r="D73" s="89">
        <f>D74+D75+D76+D77+D85+D86</f>
        <v>226424</v>
      </c>
      <c r="E73" s="570">
        <f>E74+E75+E76+E77+E85+E86</f>
        <v>668324</v>
      </c>
      <c r="F73" s="89">
        <f>F74+F75+F76+F77+F85+F86</f>
        <v>744441</v>
      </c>
      <c r="G73" s="570">
        <f>G74+G75+G76+G77+G85+G86</f>
        <v>208792</v>
      </c>
      <c r="H73" s="89">
        <f>H74+H75+H76+H77+H86</f>
        <v>1084261</v>
      </c>
      <c r="I73" s="570">
        <f>I74+I75+I76+I77+I85+I86</f>
        <v>386347</v>
      </c>
      <c r="J73" s="89">
        <f>J74+J75+J76+J77+J85+J86</f>
        <v>20687</v>
      </c>
      <c r="K73" s="633">
        <f aca="true" t="shared" si="18" ref="K73:K79">SUM(C73:J73)</f>
        <v>3943792</v>
      </c>
      <c r="L73" s="89">
        <f>L77</f>
        <v>2486560</v>
      </c>
      <c r="M73" s="89">
        <f>M74+M75+M77++M85+M86</f>
        <v>34705</v>
      </c>
      <c r="N73" s="89">
        <f>N74+N75+N77++N85+N86</f>
        <v>132685</v>
      </c>
      <c r="O73" s="89">
        <f>O74+O75+O76+O77+O86</f>
        <v>14583</v>
      </c>
      <c r="P73" s="89">
        <f>P74+P75+P77+P86+P76</f>
        <v>0</v>
      </c>
      <c r="Q73" s="89">
        <f>Q74+Q75+Q76+Q77+Q85+Q86</f>
        <v>0</v>
      </c>
      <c r="R73" s="89">
        <f>K73+L73+M73+N73+O73+P73+Q73</f>
        <v>6612325</v>
      </c>
      <c r="S73" s="59">
        <v>6443076</v>
      </c>
      <c r="T73" s="59">
        <f>S74+S75+S76+T77</f>
        <v>3408818</v>
      </c>
    </row>
    <row r="74" spans="1:35" s="50" customFormat="1" ht="15">
      <c r="A74" s="307" t="s">
        <v>27</v>
      </c>
      <c r="B74" s="277">
        <v>1146718</v>
      </c>
      <c r="C74" s="248">
        <f>420465-26041+8439</f>
        <v>402863</v>
      </c>
      <c r="D74" s="248">
        <f>80966-27490+595</f>
        <v>54071</v>
      </c>
      <c r="E74" s="592">
        <f>254600+1841+5917</f>
        <v>262358</v>
      </c>
      <c r="F74" s="248">
        <f>331865+21149+8572</f>
        <v>361586</v>
      </c>
      <c r="G74" s="592">
        <f>122298+41940+4723</f>
        <v>168961</v>
      </c>
      <c r="H74" s="248">
        <f>168903-13612+3246</f>
        <v>158537</v>
      </c>
      <c r="I74" s="592">
        <f>136509+667+3158</f>
        <v>140334</v>
      </c>
      <c r="J74" s="248">
        <f>12163+1546+350</f>
        <v>14059</v>
      </c>
      <c r="K74" s="634">
        <f t="shared" si="18"/>
        <v>1562769</v>
      </c>
      <c r="L74" s="94"/>
      <c r="M74" s="94"/>
      <c r="N74" s="94"/>
      <c r="O74" s="403"/>
      <c r="P74" s="46"/>
      <c r="Q74" s="411"/>
      <c r="R74" s="291">
        <f aca="true" t="shared" si="19" ref="R74:R86">SUM(K74:Q74)</f>
        <v>1562769</v>
      </c>
      <c r="S74" s="557">
        <v>1562769</v>
      </c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</row>
    <row r="75" spans="1:35" s="51" customFormat="1" ht="30">
      <c r="A75" s="308" t="s">
        <v>126</v>
      </c>
      <c r="B75" s="278">
        <v>796400</v>
      </c>
      <c r="C75" s="249">
        <f>94179-9998</f>
        <v>84181</v>
      </c>
      <c r="D75" s="249">
        <f>129387-7165</f>
        <v>122222</v>
      </c>
      <c r="E75" s="593">
        <f>326694-2329</f>
        <v>324365</v>
      </c>
      <c r="F75" s="249">
        <f>314225-8216</f>
        <v>306009</v>
      </c>
      <c r="G75" s="593">
        <v>0</v>
      </c>
      <c r="H75" s="249">
        <f>293834-10243</f>
        <v>283591</v>
      </c>
      <c r="I75" s="593">
        <v>200681</v>
      </c>
      <c r="J75" s="250">
        <v>0</v>
      </c>
      <c r="K75" s="635">
        <f t="shared" si="18"/>
        <v>1321049</v>
      </c>
      <c r="L75" s="95"/>
      <c r="M75" s="95"/>
      <c r="N75" s="95"/>
      <c r="O75" s="404"/>
      <c r="P75" s="104"/>
      <c r="Q75" s="47"/>
      <c r="R75" s="292">
        <f t="shared" si="19"/>
        <v>1321049</v>
      </c>
      <c r="S75" s="557">
        <f>R75+R76</f>
        <v>1846049</v>
      </c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8"/>
      <c r="AH75" s="558"/>
      <c r="AI75" s="558"/>
    </row>
    <row r="76" spans="1:35" s="51" customFormat="1" ht="15">
      <c r="A76" s="308" t="s">
        <v>127</v>
      </c>
      <c r="B76" s="278"/>
      <c r="C76" s="249">
        <v>117472</v>
      </c>
      <c r="D76" s="249">
        <v>45266</v>
      </c>
      <c r="E76" s="593">
        <v>77741</v>
      </c>
      <c r="F76" s="249">
        <v>76846</v>
      </c>
      <c r="G76" s="593">
        <v>39831</v>
      </c>
      <c r="H76" s="249">
        <v>101301</v>
      </c>
      <c r="I76" s="593">
        <v>45332</v>
      </c>
      <c r="J76" s="241">
        <v>6628</v>
      </c>
      <c r="K76" s="635">
        <f t="shared" si="18"/>
        <v>510417</v>
      </c>
      <c r="L76" s="303"/>
      <c r="M76" s="303"/>
      <c r="N76" s="303"/>
      <c r="O76" s="303">
        <v>14583</v>
      </c>
      <c r="P76" s="252"/>
      <c r="Q76" s="412"/>
      <c r="R76" s="292">
        <f t="shared" si="19"/>
        <v>525000</v>
      </c>
      <c r="S76" s="557"/>
      <c r="T76" s="558"/>
      <c r="U76" s="558"/>
      <c r="V76" s="558"/>
      <c r="W76" s="558"/>
      <c r="X76" s="558"/>
      <c r="Y76" s="558"/>
      <c r="Z76" s="558"/>
      <c r="AA76" s="558"/>
      <c r="AB76" s="558"/>
      <c r="AC76" s="558"/>
      <c r="AD76" s="558"/>
      <c r="AE76" s="558"/>
      <c r="AF76" s="558"/>
      <c r="AG76" s="558"/>
      <c r="AH76" s="558"/>
      <c r="AI76" s="558"/>
    </row>
    <row r="77" spans="1:35" s="324" customFormat="1" ht="19.5" customHeight="1">
      <c r="A77" s="467" t="s">
        <v>172</v>
      </c>
      <c r="B77" s="468">
        <f>B78+B81+B83</f>
        <v>2436083</v>
      </c>
      <c r="C77" s="469"/>
      <c r="D77" s="469"/>
      <c r="E77" s="594"/>
      <c r="F77" s="469"/>
      <c r="G77" s="594"/>
      <c r="H77" s="469">
        <f>H78+H82+H83+H84+H85</f>
        <v>534038</v>
      </c>
      <c r="I77" s="594"/>
      <c r="J77" s="469"/>
      <c r="K77" s="470">
        <f t="shared" si="18"/>
        <v>534038</v>
      </c>
      <c r="L77" s="469">
        <f>L78+L82+L83+L84+L85</f>
        <v>2486560</v>
      </c>
      <c r="M77" s="469"/>
      <c r="N77" s="469">
        <f>N78+N81+N83</f>
        <v>0</v>
      </c>
      <c r="O77" s="469">
        <f>O78+O81+O83</f>
        <v>0</v>
      </c>
      <c r="P77" s="469">
        <f>P78+P81+P83</f>
        <v>0</v>
      </c>
      <c r="Q77" s="469">
        <f>Q81+Q82+Q83</f>
        <v>0</v>
      </c>
      <c r="R77" s="471">
        <f t="shared" si="19"/>
        <v>3020598</v>
      </c>
      <c r="S77" s="439">
        <f>2570212+381386</f>
        <v>2951598</v>
      </c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</row>
    <row r="78" spans="1:35" s="36" customFormat="1" ht="18.75" customHeight="1">
      <c r="A78" s="310" t="s">
        <v>175</v>
      </c>
      <c r="B78" s="472">
        <v>1055372</v>
      </c>
      <c r="C78" s="315"/>
      <c r="D78" s="311"/>
      <c r="E78" s="595"/>
      <c r="F78" s="311"/>
      <c r="G78" s="595"/>
      <c r="H78" s="312">
        <f>H79+H80</f>
        <v>226583</v>
      </c>
      <c r="I78" s="595"/>
      <c r="J78" s="313"/>
      <c r="K78" s="636">
        <f t="shared" si="18"/>
        <v>226583</v>
      </c>
      <c r="L78" s="312">
        <f>L79+L80</f>
        <v>948066</v>
      </c>
      <c r="M78" s="311"/>
      <c r="N78" s="311"/>
      <c r="O78" s="311"/>
      <c r="P78" s="314"/>
      <c r="Q78" s="413"/>
      <c r="R78" s="311">
        <f t="shared" si="19"/>
        <v>1174649</v>
      </c>
      <c r="S78" s="439"/>
      <c r="T78" s="55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</row>
    <row r="79" spans="1:35" s="36" customFormat="1" ht="18.75" customHeight="1">
      <c r="A79" s="310" t="s">
        <v>178</v>
      </c>
      <c r="B79" s="472"/>
      <c r="C79" s="315"/>
      <c r="D79" s="311"/>
      <c r="E79" s="595"/>
      <c r="F79" s="311"/>
      <c r="G79" s="595"/>
      <c r="H79" s="312">
        <v>219396</v>
      </c>
      <c r="I79" s="595"/>
      <c r="J79" s="313"/>
      <c r="K79" s="636">
        <f t="shared" si="18"/>
        <v>219396</v>
      </c>
      <c r="L79" s="312">
        <v>921116</v>
      </c>
      <c r="M79" s="311"/>
      <c r="N79" s="311"/>
      <c r="O79" s="311"/>
      <c r="P79" s="314"/>
      <c r="Q79" s="413"/>
      <c r="R79" s="311">
        <f t="shared" si="19"/>
        <v>1140512</v>
      </c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</row>
    <row r="80" spans="1:35" s="36" customFormat="1" ht="18.75" customHeight="1">
      <c r="A80" s="506" t="s">
        <v>173</v>
      </c>
      <c r="B80" s="507">
        <v>43910</v>
      </c>
      <c r="C80" s="559"/>
      <c r="D80" s="512"/>
      <c r="E80" s="596"/>
      <c r="F80" s="512"/>
      <c r="G80" s="596"/>
      <c r="H80" s="512">
        <v>7187</v>
      </c>
      <c r="I80" s="596"/>
      <c r="J80" s="512"/>
      <c r="K80" s="637">
        <f>H80</f>
        <v>7187</v>
      </c>
      <c r="L80" s="512">
        <v>26950</v>
      </c>
      <c r="M80" s="512"/>
      <c r="N80" s="512"/>
      <c r="O80" s="512"/>
      <c r="P80" s="512"/>
      <c r="Q80" s="512">
        <f>1920-1920</f>
        <v>0</v>
      </c>
      <c r="R80" s="511">
        <f t="shared" si="19"/>
        <v>34137</v>
      </c>
      <c r="S80" s="431">
        <f>R78+R82+R83+R84+R85+R86</f>
        <v>3203507</v>
      </c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</row>
    <row r="81" spans="1:35" s="36" customFormat="1" ht="19.5" customHeight="1">
      <c r="A81" s="508" t="s">
        <v>174</v>
      </c>
      <c r="B81" s="509">
        <v>371491</v>
      </c>
      <c r="C81" s="510"/>
      <c r="D81" s="511"/>
      <c r="E81" s="597"/>
      <c r="F81" s="511"/>
      <c r="G81" s="597"/>
      <c r="H81" s="512">
        <v>3732</v>
      </c>
      <c r="I81" s="597"/>
      <c r="J81" s="513"/>
      <c r="K81" s="638">
        <f>SUM(H81:J81)</f>
        <v>3732</v>
      </c>
      <c r="L81" s="512">
        <v>10460</v>
      </c>
      <c r="M81" s="511"/>
      <c r="N81" s="511"/>
      <c r="O81" s="511"/>
      <c r="P81" s="514"/>
      <c r="Q81" s="457">
        <f>Q78+Q80</f>
        <v>0</v>
      </c>
      <c r="R81" s="511">
        <f t="shared" si="19"/>
        <v>14192</v>
      </c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</row>
    <row r="82" spans="1:35" s="36" customFormat="1" ht="19.5" customHeight="1">
      <c r="A82" s="474" t="s">
        <v>78</v>
      </c>
      <c r="B82" s="475"/>
      <c r="C82" s="476"/>
      <c r="D82" s="154"/>
      <c r="E82" s="598"/>
      <c r="F82" s="154"/>
      <c r="G82" s="598"/>
      <c r="H82" s="477">
        <v>79757</v>
      </c>
      <c r="I82" s="598"/>
      <c r="J82" s="478"/>
      <c r="K82" s="639">
        <f>SUM(C82:J82)</f>
        <v>79757</v>
      </c>
      <c r="L82" s="477">
        <v>333720</v>
      </c>
      <c r="M82" s="154"/>
      <c r="N82" s="154"/>
      <c r="O82" s="154"/>
      <c r="P82" s="479"/>
      <c r="Q82" s="480">
        <f>676-676</f>
        <v>0</v>
      </c>
      <c r="R82" s="154">
        <f>K82+L82+Q82</f>
        <v>413477</v>
      </c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</row>
    <row r="83" spans="1:35" s="36" customFormat="1" ht="18.75" customHeight="1">
      <c r="A83" s="486" t="s">
        <v>79</v>
      </c>
      <c r="B83" s="487">
        <v>1009220</v>
      </c>
      <c r="C83" s="488"/>
      <c r="D83" s="489"/>
      <c r="E83" s="599"/>
      <c r="F83" s="489"/>
      <c r="G83" s="599"/>
      <c r="H83" s="490">
        <v>88405</v>
      </c>
      <c r="I83" s="599"/>
      <c r="J83" s="489"/>
      <c r="K83" s="640">
        <f>SUM(H83:J83)</f>
        <v>88405</v>
      </c>
      <c r="L83" s="490">
        <v>373777</v>
      </c>
      <c r="M83" s="489"/>
      <c r="N83" s="489"/>
      <c r="O83" s="489"/>
      <c r="P83" s="491"/>
      <c r="Q83" s="492"/>
      <c r="R83" s="489">
        <f t="shared" si="19"/>
        <v>462182</v>
      </c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</row>
    <row r="84" spans="1:35" s="36" customFormat="1" ht="18.75" customHeight="1">
      <c r="A84" s="486" t="s">
        <v>176</v>
      </c>
      <c r="B84" s="493"/>
      <c r="C84" s="488"/>
      <c r="D84" s="489"/>
      <c r="E84" s="599"/>
      <c r="F84" s="489"/>
      <c r="G84" s="599"/>
      <c r="H84" s="490">
        <v>100320</v>
      </c>
      <c r="I84" s="599"/>
      <c r="J84" s="489"/>
      <c r="K84" s="640">
        <f>SUM(H84:J84)</f>
        <v>100320</v>
      </c>
      <c r="L84" s="490">
        <f>419584</f>
        <v>419584</v>
      </c>
      <c r="M84" s="489"/>
      <c r="N84" s="489"/>
      <c r="O84" s="489"/>
      <c r="P84" s="491"/>
      <c r="Q84" s="492"/>
      <c r="R84" s="489">
        <f t="shared" si="19"/>
        <v>519904</v>
      </c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</row>
    <row r="85" spans="1:35" s="231" customFormat="1" ht="19.5" customHeight="1">
      <c r="A85" s="481" t="s">
        <v>177</v>
      </c>
      <c r="B85" s="482">
        <v>220160</v>
      </c>
      <c r="C85" s="428"/>
      <c r="D85" s="91"/>
      <c r="E85" s="589"/>
      <c r="F85" s="91"/>
      <c r="G85" s="589"/>
      <c r="H85" s="483">
        <f>28973+5000+5000</f>
        <v>38973</v>
      </c>
      <c r="I85" s="589"/>
      <c r="J85" s="91"/>
      <c r="K85" s="641">
        <f>SUM(H85:J85)</f>
        <v>38973</v>
      </c>
      <c r="L85" s="483">
        <f>352413+5000+29000+25000</f>
        <v>411413</v>
      </c>
      <c r="M85" s="91"/>
      <c r="N85" s="91"/>
      <c r="O85" s="91"/>
      <c r="P85" s="268"/>
      <c r="Q85" s="91"/>
      <c r="R85" s="484">
        <f t="shared" si="19"/>
        <v>450386</v>
      </c>
      <c r="S85" s="435">
        <v>381386</v>
      </c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</row>
    <row r="86" spans="1:35" s="36" customFormat="1" ht="19.5" customHeight="1" thickBot="1">
      <c r="A86" s="270" t="s">
        <v>80</v>
      </c>
      <c r="B86" s="279">
        <v>97622</v>
      </c>
      <c r="C86" s="250"/>
      <c r="D86" s="250">
        <f>225+4640</f>
        <v>4865</v>
      </c>
      <c r="E86" s="600">
        <v>3860</v>
      </c>
      <c r="F86" s="47"/>
      <c r="G86" s="587"/>
      <c r="H86" s="250">
        <v>6794</v>
      </c>
      <c r="I86" s="587"/>
      <c r="J86" s="47"/>
      <c r="K86" s="642">
        <f>SUM(C86:J86)</f>
        <v>15519</v>
      </c>
      <c r="L86" s="250"/>
      <c r="M86" s="250">
        <f>31505+3200</f>
        <v>34705</v>
      </c>
      <c r="N86" s="250">
        <f>11600+21085+100000</f>
        <v>132685</v>
      </c>
      <c r="O86" s="250">
        <f>48204-21085-3860-225-4640-6794-11600</f>
        <v>0</v>
      </c>
      <c r="P86" s="52"/>
      <c r="Q86" s="408"/>
      <c r="R86" s="647">
        <f t="shared" si="19"/>
        <v>182909</v>
      </c>
      <c r="S86" s="553">
        <f>M86</f>
        <v>34705</v>
      </c>
      <c r="T86" s="551" t="s">
        <v>155</v>
      </c>
      <c r="U86" s="649">
        <f>R86-S86</f>
        <v>148204</v>
      </c>
      <c r="V86" s="649" t="s">
        <v>156</v>
      </c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</row>
    <row r="87" spans="1:35" s="286" customFormat="1" ht="19.5" customHeight="1" hidden="1" thickBot="1">
      <c r="A87" s="282" t="s">
        <v>109</v>
      </c>
      <c r="B87" s="283"/>
      <c r="C87" s="284"/>
      <c r="D87" s="284"/>
      <c r="E87" s="601"/>
      <c r="F87" s="269"/>
      <c r="G87" s="610"/>
      <c r="H87" s="285"/>
      <c r="I87" s="610"/>
      <c r="J87" s="269"/>
      <c r="K87" s="642">
        <f>SUM(C87:J87)</f>
        <v>0</v>
      </c>
      <c r="L87" s="285"/>
      <c r="M87" s="284"/>
      <c r="N87" s="250">
        <v>48204</v>
      </c>
      <c r="O87" s="269"/>
      <c r="P87" s="269"/>
      <c r="Q87" s="414"/>
      <c r="R87" s="293">
        <f>K87+L87+M87+N87+O87+P87+Q87</f>
        <v>48204</v>
      </c>
      <c r="S87" s="560">
        <v>48204</v>
      </c>
      <c r="T87" s="560" t="s">
        <v>156</v>
      </c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</row>
    <row r="88" spans="1:35" s="36" customFormat="1" ht="18.75" customHeight="1" thickBot="1">
      <c r="A88" s="494" t="s">
        <v>59</v>
      </c>
      <c r="B88" s="495"/>
      <c r="C88" s="496">
        <f>44199+58929.5+105915.5+3467+30972+23616+58929.5+105915.5+3467</f>
        <v>435411</v>
      </c>
      <c r="D88" s="496">
        <f>23847+97492+9835-3467+55073+107327-3467</f>
        <v>286640</v>
      </c>
      <c r="E88" s="602">
        <f>103858.5+16000+147207.5+226911.5+103662.5+226911.5+70061</f>
        <v>894612.5</v>
      </c>
      <c r="F88" s="496">
        <f>97906+14980+228299.5+132228+12367+20296+67732+176439.5+132228+83164+33831+36240</f>
        <v>1035711</v>
      </c>
      <c r="G88" s="602">
        <f>16336+39505+34829.5+34829.5</f>
        <v>125500</v>
      </c>
      <c r="H88" s="496">
        <f>24113.5+2390+32726+79304+2640+32726+79304+3976</f>
        <v>257179.5</v>
      </c>
      <c r="I88" s="602">
        <f>3900</f>
        <v>3900</v>
      </c>
      <c r="J88" s="496"/>
      <c r="K88" s="643">
        <f aca="true" t="shared" si="20" ref="K88:K93">SUM(C88:I88)+J88</f>
        <v>3038954</v>
      </c>
      <c r="L88" s="497"/>
      <c r="M88" s="497"/>
      <c r="N88" s="497"/>
      <c r="O88" s="497"/>
      <c r="P88" s="497"/>
      <c r="Q88" s="497"/>
      <c r="R88" s="494">
        <f>K88+N88+Q88</f>
        <v>3038954</v>
      </c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</row>
    <row r="89" spans="1:35" s="36" customFormat="1" ht="20.25" customHeight="1" hidden="1">
      <c r="A89" s="498" t="s">
        <v>60</v>
      </c>
      <c r="B89" s="499"/>
      <c r="C89" s="500"/>
      <c r="D89" s="500"/>
      <c r="E89" s="603"/>
      <c r="F89" s="500"/>
      <c r="G89" s="603"/>
      <c r="H89" s="500"/>
      <c r="I89" s="603"/>
      <c r="J89" s="500"/>
      <c r="K89" s="643">
        <f t="shared" si="20"/>
        <v>0</v>
      </c>
      <c r="L89" s="501"/>
      <c r="M89" s="501"/>
      <c r="N89" s="501"/>
      <c r="O89" s="501"/>
      <c r="P89" s="501"/>
      <c r="Q89" s="501"/>
      <c r="R89" s="648">
        <f>SUM(K89:P89)</f>
        <v>0</v>
      </c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</row>
    <row r="90" spans="1:35" s="36" customFormat="1" ht="19.5" customHeight="1" thickBot="1">
      <c r="A90" s="494" t="s">
        <v>61</v>
      </c>
      <c r="B90" s="495"/>
      <c r="C90" s="496"/>
      <c r="D90" s="496"/>
      <c r="E90" s="602">
        <f>27300+82000+90500+97000+29000+30000</f>
        <v>355800</v>
      </c>
      <c r="F90" s="496"/>
      <c r="G90" s="602"/>
      <c r="H90" s="496"/>
      <c r="I90" s="602"/>
      <c r="J90" s="496"/>
      <c r="K90" s="643">
        <f t="shared" si="20"/>
        <v>355800</v>
      </c>
      <c r="L90" s="497"/>
      <c r="M90" s="497"/>
      <c r="N90" s="497"/>
      <c r="O90" s="497"/>
      <c r="P90" s="497"/>
      <c r="Q90" s="497"/>
      <c r="R90" s="494">
        <f>K90+L90+M90+N90+O90+P90+Q90</f>
        <v>355800</v>
      </c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1"/>
      <c r="AH90" s="431"/>
      <c r="AI90" s="431"/>
    </row>
    <row r="91" spans="1:35" s="36" customFormat="1" ht="18.75" customHeight="1" hidden="1">
      <c r="A91" s="498" t="s">
        <v>62</v>
      </c>
      <c r="B91" s="499"/>
      <c r="C91" s="500"/>
      <c r="D91" s="500"/>
      <c r="E91" s="603"/>
      <c r="F91" s="500"/>
      <c r="G91" s="603"/>
      <c r="H91" s="500"/>
      <c r="I91" s="603"/>
      <c r="J91" s="500"/>
      <c r="K91" s="643">
        <f t="shared" si="20"/>
        <v>0</v>
      </c>
      <c r="L91" s="501"/>
      <c r="M91" s="501"/>
      <c r="N91" s="501"/>
      <c r="O91" s="501"/>
      <c r="P91" s="501"/>
      <c r="Q91" s="501"/>
      <c r="R91" s="648">
        <f>SUM(K91:P91)</f>
        <v>0</v>
      </c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</row>
    <row r="92" spans="1:35" s="36" customFormat="1" ht="18.75" customHeight="1" thickBot="1">
      <c r="A92" s="502" t="s">
        <v>63</v>
      </c>
      <c r="B92" s="495"/>
      <c r="C92" s="496">
        <f>16380+16380+15670+1820+23310-640+280</f>
        <v>73200</v>
      </c>
      <c r="D92" s="496">
        <f>4320+4320+4320+560+6640</f>
        <v>20160</v>
      </c>
      <c r="E92" s="602">
        <f>19950+20050-130.72+17880+910+280+630+24600-100+200</f>
        <v>84269.28</v>
      </c>
      <c r="F92" s="496">
        <f>15120-560-160+12960-58.67-205.33+11900+58.67+1505+280+16880-1504.5</f>
        <v>56215.17</v>
      </c>
      <c r="G92" s="602">
        <f>3870+3870+3870+1575+9670-570</f>
        <v>22285</v>
      </c>
      <c r="H92" s="496">
        <v>0</v>
      </c>
      <c r="I92" s="602">
        <f>11040-480+10060+8460-100+280+8960</f>
        <v>38220</v>
      </c>
      <c r="J92" s="496">
        <v>0</v>
      </c>
      <c r="K92" s="643">
        <f t="shared" si="20"/>
        <v>294349.45</v>
      </c>
      <c r="L92" s="496"/>
      <c r="M92" s="496"/>
      <c r="N92" s="496"/>
      <c r="O92" s="503">
        <f>100+96+336+240+840+100-1712</f>
        <v>0</v>
      </c>
      <c r="P92" s="504"/>
      <c r="Q92" s="505">
        <f>560+160+480-1200+205.33+58.67+130.72+100-58.67-436.05</f>
        <v>0</v>
      </c>
      <c r="R92" s="494">
        <f>K92+L92+M92+N92+O92+P92+Q92</f>
        <v>294349.45</v>
      </c>
      <c r="S92" s="431">
        <f>R92-'[31]poslané z MŠ'!$U$31</f>
        <v>0</v>
      </c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1"/>
      <c r="AH92" s="431"/>
      <c r="AI92" s="431"/>
    </row>
    <row r="93" spans="1:35" s="36" customFormat="1" ht="18.75" customHeight="1" thickBot="1">
      <c r="A93" s="502" t="s">
        <v>64</v>
      </c>
      <c r="B93" s="495"/>
      <c r="C93" s="496">
        <f>280+840-280</f>
        <v>840</v>
      </c>
      <c r="D93" s="496"/>
      <c r="E93" s="602">
        <f>7200+223.44-6097.16</f>
        <v>1326.2799999999997</v>
      </c>
      <c r="F93" s="496">
        <v>3555</v>
      </c>
      <c r="G93" s="602">
        <f>990+990</f>
        <v>1980</v>
      </c>
      <c r="H93" s="496">
        <f>330+1100+550-550</f>
        <v>1430</v>
      </c>
      <c r="I93" s="602">
        <v>0</v>
      </c>
      <c r="J93" s="496"/>
      <c r="K93" s="643">
        <f t="shared" si="20"/>
        <v>9131.279999999999</v>
      </c>
      <c r="L93" s="496"/>
      <c r="M93" s="496"/>
      <c r="N93" s="496"/>
      <c r="O93" s="496"/>
      <c r="P93" s="505"/>
      <c r="Q93" s="505">
        <f>6097.16-6097.16</f>
        <v>0</v>
      </c>
      <c r="R93" s="494">
        <f>SUM(K93:P93)+Q93</f>
        <v>9131.279999999999</v>
      </c>
      <c r="S93" s="431">
        <f>R93-'[31]poslané z MŠ'!$T$31</f>
        <v>0</v>
      </c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</row>
    <row r="94" spans="1:35" s="42" customFormat="1" ht="15.75" thickBot="1">
      <c r="A94" s="136"/>
      <c r="B94" s="137"/>
      <c r="C94" s="61"/>
      <c r="D94" s="61"/>
      <c r="E94" s="604"/>
      <c r="F94" s="61"/>
      <c r="G94" s="604"/>
      <c r="H94" s="61"/>
      <c r="I94" s="612"/>
      <c r="J94" s="62"/>
      <c r="K94" s="644"/>
      <c r="L94" s="61"/>
      <c r="M94" s="61"/>
      <c r="N94" s="61"/>
      <c r="O94" s="61"/>
      <c r="P94" s="63"/>
      <c r="Q94" s="63"/>
      <c r="R94" s="62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</row>
    <row r="95" spans="1:35" s="53" customFormat="1" ht="21" customHeight="1" thickBot="1">
      <c r="A95" s="138" t="s">
        <v>65</v>
      </c>
      <c r="B95" s="280">
        <f>B99</f>
        <v>0</v>
      </c>
      <c r="C95" s="96">
        <f>C96+C103+C104</f>
        <v>0</v>
      </c>
      <c r="D95" s="96">
        <f>D96+D103</f>
        <v>0</v>
      </c>
      <c r="E95" s="605">
        <f aca="true" t="shared" si="21" ref="E95:J95">E96+E104+E103</f>
        <v>0</v>
      </c>
      <c r="F95" s="96">
        <f t="shared" si="21"/>
        <v>0</v>
      </c>
      <c r="G95" s="605">
        <f t="shared" si="21"/>
        <v>0</v>
      </c>
      <c r="H95" s="96">
        <f t="shared" si="21"/>
        <v>0</v>
      </c>
      <c r="I95" s="605">
        <f t="shared" si="21"/>
        <v>0</v>
      </c>
      <c r="J95" s="96">
        <f t="shared" si="21"/>
        <v>0</v>
      </c>
      <c r="K95" s="465">
        <f>SUM(C95:I95)+J95</f>
        <v>0</v>
      </c>
      <c r="L95" s="96">
        <f>L96+L104+L103</f>
        <v>0</v>
      </c>
      <c r="M95" s="96">
        <f>M96+M104+M103</f>
        <v>0</v>
      </c>
      <c r="N95" s="96">
        <f>N96+N104+N103</f>
        <v>740000</v>
      </c>
      <c r="O95" s="96">
        <f>O96+O103</f>
        <v>0</v>
      </c>
      <c r="P95" s="96">
        <f>P96+P103</f>
        <v>0</v>
      </c>
      <c r="Q95" s="96"/>
      <c r="R95" s="96">
        <f>SUM(K95:P95)</f>
        <v>740000</v>
      </c>
      <c r="S95" s="561" t="s">
        <v>203</v>
      </c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</row>
    <row r="96" spans="1:35" s="53" customFormat="1" ht="15" customHeight="1" thickBot="1">
      <c r="A96" s="138" t="s">
        <v>66</v>
      </c>
      <c r="B96" s="281"/>
      <c r="C96" s="97">
        <f aca="true" t="shared" si="22" ref="C96:J96">C97+C99+C100+C101+C102</f>
        <v>0</v>
      </c>
      <c r="D96" s="97">
        <f t="shared" si="22"/>
        <v>0</v>
      </c>
      <c r="E96" s="606">
        <f t="shared" si="22"/>
        <v>0</v>
      </c>
      <c r="F96" s="97">
        <f t="shared" si="22"/>
        <v>0</v>
      </c>
      <c r="G96" s="606">
        <f t="shared" si="22"/>
        <v>0</v>
      </c>
      <c r="H96" s="97">
        <f t="shared" si="22"/>
        <v>0</v>
      </c>
      <c r="I96" s="606">
        <f t="shared" si="22"/>
        <v>0</v>
      </c>
      <c r="J96" s="97">
        <f t="shared" si="22"/>
        <v>0</v>
      </c>
      <c r="K96" s="465">
        <f>SUM(C96:I96)+J96</f>
        <v>0</v>
      </c>
      <c r="L96" s="97">
        <f>L97+L99+L100+L101+L102</f>
        <v>0</v>
      </c>
      <c r="M96" s="97">
        <f>M97+M99+M100+M101+M102</f>
        <v>0</v>
      </c>
      <c r="N96" s="97">
        <f>N97+N99+N100+N101+N102</f>
        <v>740000</v>
      </c>
      <c r="O96" s="97">
        <f>O97+O99+O100+O101+O102+O98</f>
        <v>0</v>
      </c>
      <c r="P96" s="97">
        <f>P97+P99+P100+P101+P102+P98</f>
        <v>0</v>
      </c>
      <c r="Q96" s="97"/>
      <c r="R96" s="96">
        <f>R97+R98+R99+R100+R102</f>
        <v>740000</v>
      </c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</row>
    <row r="97" spans="1:35" s="36" customFormat="1" ht="15.75" customHeight="1">
      <c r="A97" s="139" t="s">
        <v>71</v>
      </c>
      <c r="B97" s="140"/>
      <c r="C97" s="54"/>
      <c r="D97" s="54"/>
      <c r="E97" s="607">
        <f>90000-90000</f>
        <v>0</v>
      </c>
      <c r="F97" s="54"/>
      <c r="G97" s="607"/>
      <c r="H97" s="54"/>
      <c r="I97" s="607"/>
      <c r="J97" s="37"/>
      <c r="K97" s="645">
        <f>SUM(C97:I97)</f>
        <v>0</v>
      </c>
      <c r="L97" s="105"/>
      <c r="M97" s="105"/>
      <c r="N97" s="54">
        <f>300000+90000+50000+300000</f>
        <v>740000</v>
      </c>
      <c r="O97" s="54"/>
      <c r="P97" s="54"/>
      <c r="Q97" s="54"/>
      <c r="R97" s="54">
        <f>SUM(K97:P97)</f>
        <v>740000</v>
      </c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</row>
    <row r="98" spans="1:35" s="36" customFormat="1" ht="15.75" customHeight="1" hidden="1">
      <c r="A98" s="141"/>
      <c r="B98" s="128"/>
      <c r="C98" s="47"/>
      <c r="D98" s="47"/>
      <c r="E98" s="587"/>
      <c r="F98" s="47"/>
      <c r="G98" s="587"/>
      <c r="H98" s="47"/>
      <c r="I98" s="587"/>
      <c r="J98" s="47"/>
      <c r="K98" s="645">
        <f>SUM(C98:I98)</f>
        <v>0</v>
      </c>
      <c r="L98" s="55"/>
      <c r="M98" s="55"/>
      <c r="N98" s="47"/>
      <c r="O98" s="47"/>
      <c r="P98" s="47"/>
      <c r="Q98" s="47"/>
      <c r="R98" s="43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</row>
    <row r="99" spans="1:35" s="36" customFormat="1" ht="21.75" customHeight="1" hidden="1">
      <c r="A99" s="141"/>
      <c r="B99" s="128"/>
      <c r="C99" s="43"/>
      <c r="D99" s="43"/>
      <c r="E99" s="580"/>
      <c r="F99" s="43"/>
      <c r="G99" s="580"/>
      <c r="H99" s="43"/>
      <c r="I99" s="580"/>
      <c r="J99" s="43"/>
      <c r="K99" s="645">
        <f>SUM(C99:I99)</f>
        <v>0</v>
      </c>
      <c r="L99" s="43"/>
      <c r="M99" s="43"/>
      <c r="N99" s="43"/>
      <c r="O99" s="43"/>
      <c r="P99" s="43"/>
      <c r="Q99" s="43"/>
      <c r="R99" s="43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</row>
    <row r="100" spans="1:35" s="36" customFormat="1" ht="15" customHeight="1">
      <c r="A100" s="141" t="s">
        <v>69</v>
      </c>
      <c r="B100" s="128"/>
      <c r="C100" s="7"/>
      <c r="D100" s="7"/>
      <c r="E100" s="608"/>
      <c r="F100" s="7"/>
      <c r="G100" s="580"/>
      <c r="H100" s="7"/>
      <c r="I100" s="608"/>
      <c r="J100" s="7"/>
      <c r="K100" s="645">
        <f>SUM(C100:J100)</f>
        <v>0</v>
      </c>
      <c r="L100" s="43"/>
      <c r="M100" s="43"/>
      <c r="N100" s="7"/>
      <c r="O100" s="43"/>
      <c r="P100" s="43"/>
      <c r="Q100" s="43"/>
      <c r="R100" s="43">
        <f>SUM(K100:P100)</f>
        <v>0</v>
      </c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1"/>
      <c r="AH100" s="431"/>
      <c r="AI100" s="431"/>
    </row>
    <row r="101" spans="1:35" s="36" customFormat="1" ht="18" customHeight="1" hidden="1">
      <c r="A101" s="142" t="s">
        <v>62</v>
      </c>
      <c r="B101" s="143"/>
      <c r="C101" s="56"/>
      <c r="D101" s="56"/>
      <c r="E101" s="598"/>
      <c r="F101" s="56"/>
      <c r="G101" s="598"/>
      <c r="H101" s="56"/>
      <c r="I101" s="598"/>
      <c r="J101" s="56"/>
      <c r="K101" s="645">
        <f>SUM(C101:I101)</f>
        <v>0</v>
      </c>
      <c r="L101" s="56"/>
      <c r="M101" s="56"/>
      <c r="N101" s="56"/>
      <c r="O101" s="154"/>
      <c r="P101" s="56"/>
      <c r="Q101" s="106"/>
      <c r="R101" s="106">
        <f>SUM(K101:P101)</f>
        <v>0</v>
      </c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</row>
    <row r="102" spans="1:35" s="36" customFormat="1" ht="15" customHeight="1" thickBot="1">
      <c r="A102" s="144" t="s">
        <v>70</v>
      </c>
      <c r="B102" s="145"/>
      <c r="C102" s="396"/>
      <c r="D102" s="43"/>
      <c r="E102" s="580"/>
      <c r="F102" s="43"/>
      <c r="G102" s="580"/>
      <c r="H102" s="43"/>
      <c r="I102" s="580"/>
      <c r="J102" s="43"/>
      <c r="K102" s="645">
        <f>SUM(C102:J102)</f>
        <v>0</v>
      </c>
      <c r="L102" s="43"/>
      <c r="M102" s="43"/>
      <c r="N102" s="43"/>
      <c r="O102" s="43"/>
      <c r="P102" s="43"/>
      <c r="Q102" s="98"/>
      <c r="R102" s="98">
        <f>SUM(K102:P102)</f>
        <v>0</v>
      </c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1"/>
      <c r="AG102" s="431"/>
      <c r="AH102" s="431"/>
      <c r="AI102" s="431"/>
    </row>
    <row r="103" spans="1:18" ht="13.5" customHeight="1" thickBot="1">
      <c r="A103" s="146" t="s">
        <v>59</v>
      </c>
      <c r="B103" s="147"/>
      <c r="C103" s="77"/>
      <c r="D103" s="57"/>
      <c r="E103" s="609"/>
      <c r="F103" s="57"/>
      <c r="G103" s="609"/>
      <c r="H103" s="57"/>
      <c r="I103" s="609"/>
      <c r="J103" s="78"/>
      <c r="K103" s="646"/>
      <c r="L103" s="81"/>
      <c r="M103" s="57"/>
      <c r="N103" s="57"/>
      <c r="O103" s="57"/>
      <c r="P103" s="57"/>
      <c r="Q103" s="57"/>
      <c r="R103" s="294">
        <f>SUM(K103:P103)</f>
        <v>0</v>
      </c>
    </row>
    <row r="104" spans="1:18" ht="15.75" customHeight="1" hidden="1" thickBot="1">
      <c r="A104" s="148" t="s">
        <v>62</v>
      </c>
      <c r="B104" s="149"/>
      <c r="C104" s="77"/>
      <c r="D104" s="78"/>
      <c r="E104" s="78"/>
      <c r="F104" s="78"/>
      <c r="G104" s="78"/>
      <c r="H104" s="78"/>
      <c r="I104" s="78"/>
      <c r="J104" s="78"/>
      <c r="K104" s="234">
        <f>SUM(C104:I104)</f>
        <v>0</v>
      </c>
      <c r="L104" s="78"/>
      <c r="M104" s="78"/>
      <c r="N104" s="78"/>
      <c r="O104" s="78"/>
      <c r="P104" s="78"/>
      <c r="Q104" s="78"/>
      <c r="R104" s="79">
        <f>SUM(K104:P104)</f>
        <v>0</v>
      </c>
    </row>
    <row r="105" spans="1:2" ht="12.75">
      <c r="A105" s="59"/>
      <c r="B105" s="150"/>
    </row>
    <row r="106" spans="1:18" ht="12.75" hidden="1">
      <c r="A106" s="151"/>
      <c r="B106" s="150"/>
      <c r="G106" s="132"/>
      <c r="P106" s="59" t="s">
        <v>67</v>
      </c>
      <c r="R106" s="59">
        <f>R97+R98+R100+R102</f>
        <v>740000</v>
      </c>
    </row>
    <row r="107" spans="1:2" ht="12.75">
      <c r="A107" s="152"/>
      <c r="B107" s="150"/>
    </row>
    <row r="108" spans="1:16" ht="12.75">
      <c r="A108" s="152"/>
      <c r="B108" s="59"/>
      <c r="P108" s="153"/>
    </row>
    <row r="109" ht="12.75">
      <c r="P109" s="153"/>
    </row>
    <row r="110" ht="12.75">
      <c r="P110" s="153"/>
    </row>
    <row r="111" ht="12.75">
      <c r="A111" s="66"/>
    </row>
    <row r="112" spans="13:18" ht="12.75">
      <c r="M112" s="562"/>
      <c r="N112" s="562"/>
      <c r="O112" s="562"/>
      <c r="P112" s="562"/>
      <c r="Q112" s="562"/>
      <c r="R112" s="562"/>
    </row>
    <row r="113" spans="13:18" ht="12.75">
      <c r="M113" s="562"/>
      <c r="N113" s="562"/>
      <c r="O113" s="562"/>
      <c r="P113" s="562"/>
      <c r="Q113" s="562"/>
      <c r="R113" s="562"/>
    </row>
    <row r="114" spans="13:18" ht="12.75">
      <c r="M114" s="562"/>
      <c r="N114" s="563"/>
      <c r="O114" s="563"/>
      <c r="P114" s="562"/>
      <c r="Q114" s="562"/>
      <c r="R114" s="562"/>
    </row>
    <row r="115" spans="13:18" ht="12.75">
      <c r="M115" s="562"/>
      <c r="N115" s="75"/>
      <c r="O115" s="75"/>
      <c r="P115" s="562"/>
      <c r="Q115" s="562"/>
      <c r="R115" s="562"/>
    </row>
    <row r="116" spans="13:18" ht="12.75">
      <c r="M116" s="562"/>
      <c r="N116" s="562"/>
      <c r="O116" s="562"/>
      <c r="P116" s="562"/>
      <c r="Q116" s="562"/>
      <c r="R116" s="562"/>
    </row>
    <row r="117" spans="13:18" ht="12.75">
      <c r="M117" s="562"/>
      <c r="N117" s="562"/>
      <c r="O117" s="562"/>
      <c r="P117" s="562"/>
      <c r="Q117" s="562"/>
      <c r="R117" s="562"/>
    </row>
    <row r="118" spans="13:18" ht="12.75">
      <c r="M118" s="562"/>
      <c r="N118" s="562"/>
      <c r="O118" s="562"/>
      <c r="P118" s="562"/>
      <c r="Q118" s="562"/>
      <c r="R118" s="562"/>
    </row>
    <row r="119" spans="13:18" ht="12.75">
      <c r="M119" s="562"/>
      <c r="N119" s="562"/>
      <c r="O119" s="562"/>
      <c r="P119" s="562"/>
      <c r="Q119" s="562"/>
      <c r="R119" s="562"/>
    </row>
    <row r="120" spans="13:18" ht="12.75">
      <c r="M120" s="562"/>
      <c r="N120" s="562"/>
      <c r="O120" s="562"/>
      <c r="P120" s="562"/>
      <c r="Q120" s="562"/>
      <c r="R120" s="562"/>
    </row>
  </sheetData>
  <sheetProtection/>
  <mergeCells count="1">
    <mergeCell ref="A1:R1"/>
  </mergeCells>
  <printOptions horizontalCentered="1" verticalCentered="1"/>
  <pageMargins left="0.2362204724409449" right="0.15748031496062992" top="0.28" bottom="0.31496062992125984" header="0.1968503937007874" footer="0.11811023622047245"/>
  <pageSetup fitToHeight="1" fitToWidth="1" horizontalDpi="600" verticalDpi="600" orientation="landscape" paperSize="9" scale="40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jevcakova</cp:lastModifiedBy>
  <cp:lastPrinted>2014-11-28T11:02:29Z</cp:lastPrinted>
  <dcterms:created xsi:type="dcterms:W3CDTF">2011-05-10T07:34:41Z</dcterms:created>
  <dcterms:modified xsi:type="dcterms:W3CDTF">2016-02-15T14:50:20Z</dcterms:modified>
  <cp:category/>
  <cp:version/>
  <cp:contentType/>
  <cp:contentStatus/>
</cp:coreProperties>
</file>